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<sst xmlns="http://schemas.openxmlformats.org/spreadsheetml/2006/main" count="20801" uniqueCount="10144">
  <si>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</si>
  <si>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</si>
  <si>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</si>
  <si>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</si>
  <si>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</si>
  <si>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</si>
  <si>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</si>
  <si>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</si>
  <si>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</si>
  <si>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</si>
  <si>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</si>
  <si>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</si>
  <si>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</si>
  <si>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</si>
  <si>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</si>
  <si>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</si>
  <si>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</si>
  <si>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</si>
  <si>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</si>
  <si>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</si>
  <si>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</si>
  <si>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</si>
  <si>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</si>
  <si>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</si>
  <si>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</si>
  <si>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</si>
  <si>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</si>
  <si>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</si>
  <si>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BBY</t>
  </si>
  <si>
    <t>UNM</t>
  </si>
  <si>
    <t>FDX</t>
  </si>
  <si>
    <t>SLGN</t>
  </si>
  <si>
    <t>LEG</t>
  </si>
  <si>
    <t>SKM</t>
  </si>
  <si>
    <t>RGLD</t>
  </si>
  <si>
    <t>ADM</t>
  </si>
  <si>
    <t>EFSI</t>
  </si>
  <si>
    <t>CINF</t>
  </si>
  <si>
    <t>PH</t>
  </si>
  <si>
    <t>TNC</t>
  </si>
  <si>
    <t>BDX</t>
  </si>
  <si>
    <t>NOC</t>
  </si>
  <si>
    <t>LHX</t>
  </si>
  <si>
    <t>INTU</t>
  </si>
  <si>
    <t>SWK</t>
  </si>
  <si>
    <t>WBA</t>
  </si>
  <si>
    <t>BANF</t>
  </si>
  <si>
    <t>SYK</t>
  </si>
  <si>
    <t>FMS</t>
  </si>
  <si>
    <t>CAH</t>
  </si>
  <si>
    <t>MMM</t>
  </si>
  <si>
    <t>WSM</t>
  </si>
  <si>
    <t>CP</t>
  </si>
  <si>
    <t>UGI</t>
  </si>
  <si>
    <t>ATO</t>
  </si>
  <si>
    <t>JW.A</t>
  </si>
  <si>
    <t>CTBI</t>
  </si>
  <si>
    <t>MDU</t>
  </si>
  <si>
    <t>SEIC</t>
  </si>
  <si>
    <t>MATW</t>
  </si>
  <si>
    <t>NIDB</t>
  </si>
  <si>
    <t>MET</t>
  </si>
  <si>
    <t>WMT</t>
  </si>
  <si>
    <t>EMR</t>
  </si>
  <si>
    <t>LOW</t>
  </si>
  <si>
    <t>JNJ</t>
  </si>
  <si>
    <t>FMCB</t>
  </si>
  <si>
    <t>BRC</t>
  </si>
  <si>
    <t>ROP</t>
  </si>
  <si>
    <t>MCK</t>
  </si>
  <si>
    <t>V</t>
  </si>
  <si>
    <t>AFL</t>
  </si>
  <si>
    <t>SON</t>
  </si>
  <si>
    <t>BKH</t>
  </si>
  <si>
    <t>AIZ</t>
  </si>
  <si>
    <t>SYY</t>
  </si>
  <si>
    <t>MDT</t>
  </si>
  <si>
    <t>BEN</t>
  </si>
  <si>
    <t>WHR</t>
  </si>
  <si>
    <t>TMO</t>
  </si>
  <si>
    <t>KO</t>
  </si>
  <si>
    <t>CPKF</t>
  </si>
  <si>
    <t>TGT</t>
  </si>
  <si>
    <t>ORCL</t>
  </si>
  <si>
    <t>ANTM</t>
  </si>
  <si>
    <t>ABC</t>
  </si>
  <si>
    <t>NWN</t>
  </si>
  <si>
    <t>QCOM</t>
  </si>
  <si>
    <t>TRV</t>
  </si>
  <si>
    <t>ABBV</t>
  </si>
  <si>
    <t>VFC</t>
  </si>
  <si>
    <t>NFG</t>
  </si>
  <si>
    <t>AMP</t>
  </si>
  <si>
    <t>EXPD</t>
  </si>
  <si>
    <t>RNR</t>
  </si>
  <si>
    <t>CBSH</t>
  </si>
  <si>
    <t>LANC</t>
  </si>
  <si>
    <t>ADP</t>
  </si>
  <si>
    <t>PNR</t>
  </si>
  <si>
    <t>TSN</t>
  </si>
  <si>
    <t>DG</t>
  </si>
  <si>
    <t>EBTC</t>
  </si>
  <si>
    <t>PSBQ</t>
  </si>
  <si>
    <t>GD</t>
  </si>
  <si>
    <t>AROW</t>
  </si>
  <si>
    <t>CL</t>
  </si>
  <si>
    <t>SCL</t>
  </si>
  <si>
    <t>LECO</t>
  </si>
  <si>
    <t>CAT</t>
  </si>
  <si>
    <t>GPC</t>
  </si>
  <si>
    <t>TXT</t>
  </si>
  <si>
    <t>KR</t>
  </si>
  <si>
    <t>FFMR</t>
  </si>
  <si>
    <t>HRL</t>
  </si>
  <si>
    <t>AXP</t>
  </si>
  <si>
    <t>PPG</t>
  </si>
  <si>
    <t>CSX</t>
  </si>
  <si>
    <t>JKHY</t>
  </si>
  <si>
    <t>MKC</t>
  </si>
  <si>
    <t>SPGI</t>
  </si>
  <si>
    <t>RE</t>
  </si>
  <si>
    <t>COST</t>
  </si>
  <si>
    <t>CSVI</t>
  </si>
  <si>
    <t>MCO</t>
  </si>
  <si>
    <t>THFF</t>
  </si>
  <si>
    <t>OZK</t>
  </si>
  <si>
    <t>TROW</t>
  </si>
  <si>
    <t>BRO</t>
  </si>
  <si>
    <t>CSL</t>
  </si>
  <si>
    <t>DOV</t>
  </si>
  <si>
    <t>AMAT</t>
  </si>
  <si>
    <t>SRCE</t>
  </si>
  <si>
    <t>GRC</t>
  </si>
  <si>
    <t>FUL</t>
  </si>
  <si>
    <t>CB</t>
  </si>
  <si>
    <t>MCD</t>
  </si>
  <si>
    <t>UBSI</t>
  </si>
  <si>
    <t>CHD</t>
  </si>
  <si>
    <t>CTAS</t>
  </si>
  <si>
    <t>ITW</t>
  </si>
  <si>
    <t>NDSN</t>
  </si>
  <si>
    <t>FELE</t>
  </si>
  <si>
    <t>RPM</t>
  </si>
  <si>
    <t>PG</t>
  </si>
  <si>
    <t>NKE</t>
  </si>
  <si>
    <t>SJW</t>
  </si>
  <si>
    <t>ATR</t>
  </si>
  <si>
    <t>GWW</t>
  </si>
  <si>
    <t>ABT</t>
  </si>
  <si>
    <t>AOS</t>
  </si>
  <si>
    <t>MSFT</t>
  </si>
  <si>
    <t>TR</t>
  </si>
  <si>
    <t>LIN</t>
  </si>
  <si>
    <t>TSCO</t>
  </si>
  <si>
    <t>MGEE</t>
  </si>
  <si>
    <t>EBAY</t>
  </si>
  <si>
    <t>TMP</t>
  </si>
  <si>
    <t>MSA</t>
  </si>
  <si>
    <t>ECL</t>
  </si>
  <si>
    <t>AAPL</t>
  </si>
  <si>
    <t>UNF</t>
  </si>
  <si>
    <t>BF.B</t>
  </si>
  <si>
    <t>SHW</t>
  </si>
  <si>
    <t>CWT</t>
  </si>
  <si>
    <t>BAM</t>
  </si>
  <si>
    <t>RLI</t>
  </si>
  <si>
    <t>MORN</t>
  </si>
  <si>
    <t>NUE</t>
  </si>
  <si>
    <t>AWR</t>
  </si>
  <si>
    <t>ALB</t>
  </si>
  <si>
    <t>WST</t>
  </si>
  <si>
    <t>BMI</t>
  </si>
  <si>
    <t>MSEX</t>
  </si>
  <si>
    <t>CI</t>
  </si>
  <si>
    <t>LAD</t>
  </si>
  <si>
    <t>CMCSA</t>
  </si>
  <si>
    <t>LAZ</t>
  </si>
  <si>
    <t>VZ</t>
  </si>
  <si>
    <t>OGN</t>
  </si>
  <si>
    <t>PNGAY</t>
  </si>
  <si>
    <t>SAP</t>
  </si>
  <si>
    <t>ENB</t>
  </si>
  <si>
    <t>TTE</t>
  </si>
  <si>
    <t>AMGN</t>
  </si>
  <si>
    <t>DDS</t>
  </si>
  <si>
    <t>INTC</t>
  </si>
  <si>
    <t>WU</t>
  </si>
  <si>
    <t>EPD</t>
  </si>
  <si>
    <t>IPG</t>
  </si>
  <si>
    <t>FLIC</t>
  </si>
  <si>
    <t>NTIOF</t>
  </si>
  <si>
    <t>FNV</t>
  </si>
  <si>
    <t>OMC</t>
  </si>
  <si>
    <t>SRE</t>
  </si>
  <si>
    <t>RY</t>
  </si>
  <si>
    <t>MURGF</t>
  </si>
  <si>
    <t>GEF</t>
  </si>
  <si>
    <t>NC</t>
  </si>
  <si>
    <t>SUN</t>
  </si>
  <si>
    <t>BMO</t>
  </si>
  <si>
    <t>HBI</t>
  </si>
  <si>
    <t>HRB</t>
  </si>
  <si>
    <t>SWX</t>
  </si>
  <si>
    <t>MRK</t>
  </si>
  <si>
    <t>MO</t>
  </si>
  <si>
    <t>BLK</t>
  </si>
  <si>
    <t>TTC</t>
  </si>
  <si>
    <t>HII</t>
  </si>
  <si>
    <t>NVS</t>
  </si>
  <si>
    <t>RDEIY</t>
  </si>
  <si>
    <t>LMT</t>
  </si>
  <si>
    <t>CMI</t>
  </si>
  <si>
    <t>SLF</t>
  </si>
  <si>
    <t>NJR</t>
  </si>
  <si>
    <t>TDS</t>
  </si>
  <si>
    <t>EVRG</t>
  </si>
  <si>
    <t>TD</t>
  </si>
  <si>
    <t>BNS</t>
  </si>
  <si>
    <t>FOXA</t>
  </si>
  <si>
    <t>YUM</t>
  </si>
  <si>
    <t>BIP</t>
  </si>
  <si>
    <t>KDP</t>
  </si>
  <si>
    <t>MSM</t>
  </si>
  <si>
    <t>CM</t>
  </si>
  <si>
    <t>RBA</t>
  </si>
  <si>
    <t>BR</t>
  </si>
  <si>
    <t>IMO</t>
  </si>
  <si>
    <t>ORI</t>
  </si>
  <si>
    <t>CDUAF</t>
  </si>
  <si>
    <t>GILD</t>
  </si>
  <si>
    <t>PB</t>
  </si>
  <si>
    <t>SNA</t>
  </si>
  <si>
    <t>FTS</t>
  </si>
  <si>
    <t>POR</t>
  </si>
  <si>
    <t>PBCT</t>
  </si>
  <si>
    <t>BAH</t>
  </si>
  <si>
    <t>CHRW</t>
  </si>
  <si>
    <t>CIO</t>
  </si>
  <si>
    <t>XOM</t>
  </si>
  <si>
    <t>TXN</t>
  </si>
  <si>
    <t>EMN</t>
  </si>
  <si>
    <t>MDLZ</t>
  </si>
  <si>
    <t>RBGLY</t>
  </si>
  <si>
    <t>UHT</t>
  </si>
  <si>
    <t>HD</t>
  </si>
  <si>
    <t>FLO</t>
  </si>
  <si>
    <t>UNH</t>
  </si>
  <si>
    <t>EIX</t>
  </si>
  <si>
    <t>AXS</t>
  </si>
  <si>
    <t>K</t>
  </si>
  <si>
    <t>IBM</t>
  </si>
  <si>
    <t>LNT</t>
  </si>
  <si>
    <t>EQIX</t>
  </si>
  <si>
    <t>YORW</t>
  </si>
  <si>
    <t>RELX</t>
  </si>
  <si>
    <t>WEYS</t>
  </si>
  <si>
    <t>CVX</t>
  </si>
  <si>
    <t>ICE</t>
  </si>
  <si>
    <t>DE</t>
  </si>
  <si>
    <t>SBUX</t>
  </si>
  <si>
    <t>NEP</t>
  </si>
  <si>
    <t>DTE</t>
  </si>
  <si>
    <t>UPS</t>
  </si>
  <si>
    <t>WABC</t>
  </si>
  <si>
    <t>SIEGY</t>
  </si>
  <si>
    <t>UVV</t>
  </si>
  <si>
    <t>KMB</t>
  </si>
  <si>
    <t>RTX</t>
  </si>
  <si>
    <t>DPZ</t>
  </si>
  <si>
    <t>SJM</t>
  </si>
  <si>
    <t>RSG</t>
  </si>
  <si>
    <t>CONE</t>
  </si>
  <si>
    <t>CSCO</t>
  </si>
  <si>
    <t>ARTNA</t>
  </si>
  <si>
    <t>SPTN</t>
  </si>
  <si>
    <t>MTB</t>
  </si>
  <si>
    <t>AAP</t>
  </si>
  <si>
    <t>CVS</t>
  </si>
  <si>
    <t>ETR</t>
  </si>
  <si>
    <t>SBSI</t>
  </si>
  <si>
    <t>OTTR</t>
  </si>
  <si>
    <t>LRLCF</t>
  </si>
  <si>
    <t>PRGO</t>
  </si>
  <si>
    <t>AMX</t>
  </si>
  <si>
    <t>HON</t>
  </si>
  <si>
    <t>CTSH</t>
  </si>
  <si>
    <t>CLX</t>
  </si>
  <si>
    <t>PEG</t>
  </si>
  <si>
    <t>INGR</t>
  </si>
  <si>
    <t>ED</t>
  </si>
  <si>
    <t>NSC</t>
  </si>
  <si>
    <t>XEL</t>
  </si>
  <si>
    <t>AJG</t>
  </si>
  <si>
    <t>PEP</t>
  </si>
  <si>
    <t>MGRC</t>
  </si>
  <si>
    <t>RHHBY</t>
  </si>
  <si>
    <t>MWA</t>
  </si>
  <si>
    <t>SBAC</t>
  </si>
  <si>
    <t>CARR</t>
  </si>
  <si>
    <t>RMD</t>
  </si>
  <si>
    <t>UNP</t>
  </si>
  <si>
    <t>HSY</t>
  </si>
  <si>
    <t>IFF</t>
  </si>
  <si>
    <t>NEE</t>
  </si>
  <si>
    <t>CNI</t>
  </si>
  <si>
    <t>AUY</t>
  </si>
  <si>
    <t>APD</t>
  </si>
  <si>
    <t>AWK</t>
  </si>
  <si>
    <t>ERIE</t>
  </si>
  <si>
    <t>NVO</t>
  </si>
  <si>
    <t>ROK</t>
  </si>
  <si>
    <t>CFR</t>
  </si>
  <si>
    <t>UMBF</t>
  </si>
  <si>
    <t>OTIS</t>
  </si>
  <si>
    <t>WTRG</t>
  </si>
  <si>
    <t>ESS</t>
  </si>
  <si>
    <t>FRT</t>
  </si>
  <si>
    <t>TT</t>
  </si>
  <si>
    <t>WM</t>
  </si>
  <si>
    <t>CBU</t>
  </si>
  <si>
    <t>XYL</t>
  </si>
  <si>
    <t>ZTS</t>
  </si>
  <si>
    <t>LLY</t>
  </si>
  <si>
    <t>HMLP</t>
  </si>
  <si>
    <t>JACK</t>
  </si>
  <si>
    <t>VTRS</t>
  </si>
  <si>
    <t>MFGP</t>
  </si>
  <si>
    <t>MMP</t>
  </si>
  <si>
    <t>TRTN</t>
  </si>
  <si>
    <t>T</t>
  </si>
  <si>
    <t>MDC</t>
  </si>
  <si>
    <t>DKS</t>
  </si>
  <si>
    <t>FL</t>
  </si>
  <si>
    <t>LYB</t>
  </si>
  <si>
    <t>ALLY</t>
  </si>
  <si>
    <t>TFC</t>
  </si>
  <si>
    <t>TYCB</t>
  </si>
  <si>
    <t>SVC</t>
  </si>
  <si>
    <t>DDAIF</t>
  </si>
  <si>
    <t>BTI</t>
  </si>
  <si>
    <t>MCHP</t>
  </si>
  <si>
    <t>TX</t>
  </si>
  <si>
    <t>DHI</t>
  </si>
  <si>
    <t>GWLIF</t>
  </si>
  <si>
    <t>THO</t>
  </si>
  <si>
    <t>FNF</t>
  </si>
  <si>
    <t>C</t>
  </si>
  <si>
    <t>SYF</t>
  </si>
  <si>
    <t>SNY</t>
  </si>
  <si>
    <t>GLOP</t>
  </si>
  <si>
    <t>LNC</t>
  </si>
  <si>
    <t>DFS</t>
  </si>
  <si>
    <t>ALL</t>
  </si>
  <si>
    <t>EQNR</t>
  </si>
  <si>
    <t>PNW</t>
  </si>
  <si>
    <t>SMG</t>
  </si>
  <si>
    <t>MPLX</t>
  </si>
  <si>
    <t>AEG</t>
  </si>
  <si>
    <t>BASFY</t>
  </si>
  <si>
    <t>RLJ</t>
  </si>
  <si>
    <t>IVZ</t>
  </si>
  <si>
    <t>M</t>
  </si>
  <si>
    <t>UL</t>
  </si>
  <si>
    <t>NHI</t>
  </si>
  <si>
    <t>SJI</t>
  </si>
  <si>
    <t>STN</t>
  </si>
  <si>
    <t>ROST</t>
  </si>
  <si>
    <t>JBL</t>
  </si>
  <si>
    <t>CC</t>
  </si>
  <si>
    <t>SR</t>
  </si>
  <si>
    <t>HPQ</t>
  </si>
  <si>
    <t>OGS</t>
  </si>
  <si>
    <t>PHM</t>
  </si>
  <si>
    <t>GPS</t>
  </si>
  <si>
    <t>PFG</t>
  </si>
  <si>
    <t>CE</t>
  </si>
  <si>
    <t>OGE</t>
  </si>
  <si>
    <t>FAF</t>
  </si>
  <si>
    <t>PM</t>
  </si>
  <si>
    <t>DGX</t>
  </si>
  <si>
    <t>PRU</t>
  </si>
  <si>
    <t>OKE</t>
  </si>
  <si>
    <t>PGR</t>
  </si>
  <si>
    <t>RCI</t>
  </si>
  <si>
    <t>HPE</t>
  </si>
  <si>
    <t>VIAC</t>
  </si>
  <si>
    <t>WRK</t>
  </si>
  <si>
    <t>PDCO</t>
  </si>
  <si>
    <t>NAVI</t>
  </si>
  <si>
    <t>LRCX</t>
  </si>
  <si>
    <t>KSS</t>
  </si>
  <si>
    <t>ALE</t>
  </si>
  <si>
    <t>NLSN</t>
  </si>
  <si>
    <t>SAXPY</t>
  </si>
  <si>
    <t>WFC</t>
  </si>
  <si>
    <t>CPB</t>
  </si>
  <si>
    <t>R</t>
  </si>
  <si>
    <t>MGA</t>
  </si>
  <si>
    <t>COLD</t>
  </si>
  <si>
    <t>BMWYY</t>
  </si>
  <si>
    <t>PFE</t>
  </si>
  <si>
    <t>APLE</t>
  </si>
  <si>
    <t>GE</t>
  </si>
  <si>
    <t>CFG</t>
  </si>
  <si>
    <t>PKX</t>
  </si>
  <si>
    <t>ESRT</t>
  </si>
  <si>
    <t>BK</t>
  </si>
  <si>
    <t>HUN</t>
  </si>
  <si>
    <t>JPM</t>
  </si>
  <si>
    <t>AEP</t>
  </si>
  <si>
    <t>ASML</t>
  </si>
  <si>
    <t>KEY</t>
  </si>
  <si>
    <t>O</t>
  </si>
  <si>
    <t>HAL</t>
  </si>
  <si>
    <t>USB</t>
  </si>
  <si>
    <t>AON</t>
  </si>
  <si>
    <t>KLAC</t>
  </si>
  <si>
    <t>PNC</t>
  </si>
  <si>
    <t>GIS</t>
  </si>
  <si>
    <t>GOLD</t>
  </si>
  <si>
    <t>MA</t>
  </si>
  <si>
    <t>BWA</t>
  </si>
  <si>
    <t>COP</t>
  </si>
  <si>
    <t>CUBE</t>
  </si>
  <si>
    <t>SO</t>
  </si>
  <si>
    <t>BUD</t>
  </si>
  <si>
    <t>AGM</t>
  </si>
  <si>
    <t>PSB</t>
  </si>
  <si>
    <t>BAC</t>
  </si>
  <si>
    <t>WEC</t>
  </si>
  <si>
    <t>HOG</t>
  </si>
  <si>
    <t>WPC</t>
  </si>
  <si>
    <t>WY</t>
  </si>
  <si>
    <t>GNTX</t>
  </si>
  <si>
    <t>GS</t>
  </si>
  <si>
    <t>PACW</t>
  </si>
  <si>
    <t>DUK</t>
  </si>
  <si>
    <t>MMC</t>
  </si>
  <si>
    <t>NNN</t>
  </si>
  <si>
    <t>FITB</t>
  </si>
  <si>
    <t>EAF</t>
  </si>
  <si>
    <t>PAYX</t>
  </si>
  <si>
    <t>OSK</t>
  </si>
  <si>
    <t>CMA</t>
  </si>
  <si>
    <t>AMT</t>
  </si>
  <si>
    <t>STZ</t>
  </si>
  <si>
    <t>LOGI</t>
  </si>
  <si>
    <t>OXY</t>
  </si>
  <si>
    <t>OLN</t>
  </si>
  <si>
    <t>KLIC</t>
  </si>
  <si>
    <t>DLR</t>
  </si>
  <si>
    <t>NSRGY</t>
  </si>
  <si>
    <t>ABB</t>
  </si>
  <si>
    <t>DEO</t>
  </si>
  <si>
    <t>PSA</t>
  </si>
  <si>
    <t>MRVL</t>
  </si>
  <si>
    <t>AVB</t>
  </si>
  <si>
    <t>STLD</t>
  </si>
  <si>
    <t>HNI</t>
  </si>
  <si>
    <t>FAST</t>
  </si>
  <si>
    <t>KSU</t>
  </si>
  <si>
    <t>MT</t>
  </si>
  <si>
    <t>RACE</t>
  </si>
  <si>
    <t>APA</t>
  </si>
  <si>
    <t>FCX</t>
  </si>
  <si>
    <t>KKR</t>
  </si>
  <si>
    <t>TER</t>
  </si>
  <si>
    <t>INFY</t>
  </si>
  <si>
    <t>TRI</t>
  </si>
  <si>
    <t>SONY</t>
  </si>
  <si>
    <t>NVDA</t>
  </si>
  <si>
    <t>DHC</t>
  </si>
  <si>
    <t>VMC</t>
  </si>
  <si>
    <t>ERF</t>
  </si>
  <si>
    <t>SHLX</t>
  </si>
  <si>
    <t>SPH</t>
  </si>
  <si>
    <t>GORO</t>
  </si>
  <si>
    <t>HEP</t>
  </si>
  <si>
    <t>PAA</t>
  </si>
  <si>
    <t>PBR</t>
  </si>
  <si>
    <t>SNP</t>
  </si>
  <si>
    <t>AVAL</t>
  </si>
  <si>
    <t>EOG</t>
  </si>
  <si>
    <t>TPR</t>
  </si>
  <si>
    <t>ET</t>
  </si>
  <si>
    <t>PHG</t>
  </si>
  <si>
    <t>KRC</t>
  </si>
  <si>
    <t>ERIC</t>
  </si>
  <si>
    <t>PSX</t>
  </si>
  <si>
    <t>LUMN</t>
  </si>
  <si>
    <t>SLG</t>
  </si>
  <si>
    <t>PTR</t>
  </si>
  <si>
    <t>BAYRY</t>
  </si>
  <si>
    <t>SMFG</t>
  </si>
  <si>
    <t>MS</t>
  </si>
  <si>
    <t>AZN</t>
  </si>
  <si>
    <t>NYCB</t>
  </si>
  <si>
    <t>TS</t>
  </si>
  <si>
    <t>OPI</t>
  </si>
  <si>
    <t>MFC</t>
  </si>
  <si>
    <t>ARLP</t>
  </si>
  <si>
    <t>TGP</t>
  </si>
  <si>
    <t>HAS</t>
  </si>
  <si>
    <t>TAP</t>
  </si>
  <si>
    <t>UNIT</t>
  </si>
  <si>
    <t>BP</t>
  </si>
  <si>
    <t>HSBC</t>
  </si>
  <si>
    <t>DOW</t>
  </si>
  <si>
    <t>PGRE</t>
  </si>
  <si>
    <t>ITUB</t>
  </si>
  <si>
    <t>WSBC</t>
  </si>
  <si>
    <t>DRI</t>
  </si>
  <si>
    <t>TRST</t>
  </si>
  <si>
    <t>NTR</t>
  </si>
  <si>
    <t>RDS.B</t>
  </si>
  <si>
    <t>MED</t>
  </si>
  <si>
    <t>RF</t>
  </si>
  <si>
    <t>BDN</t>
  </si>
  <si>
    <t>PETS</t>
  </si>
  <si>
    <t>IMBBY</t>
  </si>
  <si>
    <t>WMB</t>
  </si>
  <si>
    <t>DD</t>
  </si>
  <si>
    <t>KMI</t>
  </si>
  <si>
    <t>HASI</t>
  </si>
  <si>
    <t>D</t>
  </si>
  <si>
    <t>WEN</t>
  </si>
  <si>
    <t>SUUIF</t>
  </si>
  <si>
    <t>WASH</t>
  </si>
  <si>
    <t>MKTX</t>
  </si>
  <si>
    <t>SAFE</t>
  </si>
  <si>
    <t>VALE</t>
  </si>
  <si>
    <t>SPG</t>
  </si>
  <si>
    <t>AMCR</t>
  </si>
  <si>
    <t>IP</t>
  </si>
  <si>
    <t>HIW</t>
  </si>
  <si>
    <t>CAG</t>
  </si>
  <si>
    <t>CNA</t>
  </si>
  <si>
    <t>ABEV</t>
  </si>
  <si>
    <t>NWL</t>
  </si>
  <si>
    <t>DTEGY</t>
  </si>
  <si>
    <t>RIO</t>
  </si>
  <si>
    <t>PDM</t>
  </si>
  <si>
    <t>GEL</t>
  </si>
  <si>
    <t>REG</t>
  </si>
  <si>
    <t>ING</t>
  </si>
  <si>
    <t>DEI</t>
  </si>
  <si>
    <t>AGNC</t>
  </si>
  <si>
    <t>BHP</t>
  </si>
  <si>
    <t>PCAR</t>
  </si>
  <si>
    <t>OFC</t>
  </si>
  <si>
    <t>BBD</t>
  </si>
  <si>
    <t>CUZ</t>
  </si>
  <si>
    <t>AKR</t>
  </si>
  <si>
    <t>CNP</t>
  </si>
  <si>
    <t>WSR</t>
  </si>
  <si>
    <t>LMRK</t>
  </si>
  <si>
    <t>EMRAF</t>
  </si>
  <si>
    <t>GRMN</t>
  </si>
  <si>
    <t>KHC</t>
  </si>
  <si>
    <t>NXRT</t>
  </si>
  <si>
    <t>HBAN</t>
  </si>
  <si>
    <t>KRG</t>
  </si>
  <si>
    <t>MCY</t>
  </si>
  <si>
    <t>ADC</t>
  </si>
  <si>
    <t>GLW</t>
  </si>
  <si>
    <t>FRFHF</t>
  </si>
  <si>
    <t>NGG</t>
  </si>
  <si>
    <t>KTB</t>
  </si>
  <si>
    <t>TJX</t>
  </si>
  <si>
    <t>NTAP</t>
  </si>
  <si>
    <t>NSP</t>
  </si>
  <si>
    <t>INVH</t>
  </si>
  <si>
    <t>SBS</t>
  </si>
  <si>
    <t>BXP</t>
  </si>
  <si>
    <t>MPW</t>
  </si>
  <si>
    <t>UE</t>
  </si>
  <si>
    <t>DEA</t>
  </si>
  <si>
    <t>RPT</t>
  </si>
  <si>
    <t>ALV</t>
  </si>
  <si>
    <t>AES</t>
  </si>
  <si>
    <t>WPP</t>
  </si>
  <si>
    <t>MPWR</t>
  </si>
  <si>
    <t>APO</t>
  </si>
  <si>
    <t>HMC</t>
  </si>
  <si>
    <t>MAC</t>
  </si>
  <si>
    <t>CAJ</t>
  </si>
  <si>
    <t>SKT</t>
  </si>
  <si>
    <t>TU</t>
  </si>
  <si>
    <t>DOC</t>
  </si>
  <si>
    <t>JNPR</t>
  </si>
  <si>
    <t>TSM</t>
  </si>
  <si>
    <t>UBS</t>
  </si>
  <si>
    <t>CCI</t>
  </si>
  <si>
    <t>RGA</t>
  </si>
  <si>
    <t>CNQ</t>
  </si>
  <si>
    <t>TM</t>
  </si>
  <si>
    <t>AVGO</t>
  </si>
  <si>
    <t>SLB</t>
  </si>
  <si>
    <t>STX</t>
  </si>
  <si>
    <t>BRX</t>
  </si>
  <si>
    <t>PLD</t>
  </si>
  <si>
    <t>EXPO</t>
  </si>
  <si>
    <t>ARE</t>
  </si>
  <si>
    <t>TRGP</t>
  </si>
  <si>
    <t>ELS</t>
  </si>
  <si>
    <t>OGZPY</t>
  </si>
  <si>
    <t>JCI</t>
  </si>
  <si>
    <t>TRSWF</t>
  </si>
  <si>
    <t>COR</t>
  </si>
  <si>
    <t>CWEN</t>
  </si>
  <si>
    <t>DRE</t>
  </si>
  <si>
    <t>CMP</t>
  </si>
  <si>
    <t>WPM</t>
  </si>
  <si>
    <t>EXC</t>
  </si>
  <si>
    <t>FR</t>
  </si>
  <si>
    <t>CME</t>
  </si>
  <si>
    <t>AMH</t>
  </si>
  <si>
    <t>ETN</t>
  </si>
  <si>
    <t>MAA</t>
  </si>
  <si>
    <t>KIM</t>
  </si>
  <si>
    <t>CPT</t>
  </si>
  <si>
    <t>ACN</t>
  </si>
  <si>
    <t>CF</t>
  </si>
  <si>
    <t>SCHL</t>
  </si>
  <si>
    <t>VGR</t>
  </si>
  <si>
    <t>KNOP</t>
  </si>
  <si>
    <t>ORAN</t>
  </si>
  <si>
    <t>DHT</t>
  </si>
  <si>
    <t>IIPR</t>
  </si>
  <si>
    <t>CORR</t>
  </si>
  <si>
    <t>GECC</t>
  </si>
  <si>
    <t>SCCO</t>
  </si>
  <si>
    <t>PSXP</t>
  </si>
  <si>
    <t>OHI</t>
  </si>
  <si>
    <t>IEP</t>
  </si>
  <si>
    <t>NEWT</t>
  </si>
  <si>
    <t>APAM</t>
  </si>
  <si>
    <t>SU</t>
  </si>
  <si>
    <t>TEF</t>
  </si>
  <si>
    <t>EIFZF</t>
  </si>
  <si>
    <t>TWO</t>
  </si>
  <si>
    <t>SBRA</t>
  </si>
  <si>
    <t>SFL</t>
  </si>
  <si>
    <t>TRP</t>
  </si>
  <si>
    <t>CLPR</t>
  </si>
  <si>
    <t>EFC</t>
  </si>
  <si>
    <t>NYMT</t>
  </si>
  <si>
    <t>LTC</t>
  </si>
  <si>
    <t>VICI</t>
  </si>
  <si>
    <t>ORC</t>
  </si>
  <si>
    <t>EPR</t>
  </si>
  <si>
    <t>CQP</t>
  </si>
  <si>
    <t>PINE</t>
  </si>
  <si>
    <t>QSR</t>
  </si>
  <si>
    <t>MGP</t>
  </si>
  <si>
    <t>CWCO</t>
  </si>
  <si>
    <t>ORCC</t>
  </si>
  <si>
    <t>VOD</t>
  </si>
  <si>
    <t>NLY</t>
  </si>
  <si>
    <t>PMT</t>
  </si>
  <si>
    <t>GSBD</t>
  </si>
  <si>
    <t>ACRE</t>
  </si>
  <si>
    <t>SRC</t>
  </si>
  <si>
    <t>AAT</t>
  </si>
  <si>
    <t>KREF</t>
  </si>
  <si>
    <t>HR</t>
  </si>
  <si>
    <t>USAC</t>
  </si>
  <si>
    <t>GNL</t>
  </si>
  <si>
    <t>NRZ</t>
  </si>
  <si>
    <t>EPRT</t>
  </si>
  <si>
    <t>AQN</t>
  </si>
  <si>
    <t>MRCC</t>
  </si>
  <si>
    <t>WSO</t>
  </si>
  <si>
    <t>IDEXY</t>
  </si>
  <si>
    <t>CTRE</t>
  </si>
  <si>
    <t>NTST</t>
  </si>
  <si>
    <t>CBRL</t>
  </si>
  <si>
    <t>CSWC</t>
  </si>
  <si>
    <t>CTO</t>
  </si>
  <si>
    <t>FCPT</t>
  </si>
  <si>
    <t>E</t>
  </si>
  <si>
    <t>HRZN</t>
  </si>
  <si>
    <t>AFIN</t>
  </si>
  <si>
    <t>EIC</t>
  </si>
  <si>
    <t>SSREY</t>
  </si>
  <si>
    <t>NMFC</t>
  </si>
  <si>
    <t>PFLT</t>
  </si>
  <si>
    <t>BEP</t>
  </si>
  <si>
    <t>STWD</t>
  </si>
  <si>
    <t>VST</t>
  </si>
  <si>
    <t>ARR</t>
  </si>
  <si>
    <t>VNO</t>
  </si>
  <si>
    <t>CHCT</t>
  </si>
  <si>
    <t>GBDC</t>
  </si>
  <si>
    <t>TSLX</t>
  </si>
  <si>
    <t>BRMK</t>
  </si>
  <si>
    <t>SACH</t>
  </si>
  <si>
    <t>VTR</t>
  </si>
  <si>
    <t>AM</t>
  </si>
  <si>
    <t>SUNS</t>
  </si>
  <si>
    <t>ILPT</t>
  </si>
  <si>
    <t>ARI</t>
  </si>
  <si>
    <t>FDUS</t>
  </si>
  <si>
    <t>UMH</t>
  </si>
  <si>
    <t>LWSCF</t>
  </si>
  <si>
    <t>CIM</t>
  </si>
  <si>
    <t>DX</t>
  </si>
  <si>
    <t>FE</t>
  </si>
  <si>
    <t>VIA</t>
  </si>
  <si>
    <t>TPVG</t>
  </si>
  <si>
    <t>BX</t>
  </si>
  <si>
    <t>BFS</t>
  </si>
  <si>
    <t>CRT</t>
  </si>
  <si>
    <t>EXR</t>
  </si>
  <si>
    <t>GSK</t>
  </si>
  <si>
    <t>SCM</t>
  </si>
  <si>
    <t>DANOY</t>
  </si>
  <si>
    <t>VLO</t>
  </si>
  <si>
    <t>STOR</t>
  </si>
  <si>
    <t>MAIN</t>
  </si>
  <si>
    <t>PBA</t>
  </si>
  <si>
    <t>SJT</t>
  </si>
  <si>
    <t>GLPI</t>
  </si>
  <si>
    <t>ARCC</t>
  </si>
  <si>
    <t>GWRS</t>
  </si>
  <si>
    <t>HTA</t>
  </si>
  <si>
    <t>GMRE</t>
  </si>
  <si>
    <t>NEM</t>
  </si>
  <si>
    <t>HTGC</t>
  </si>
  <si>
    <t>OXSQ</t>
  </si>
  <si>
    <t>BGS</t>
  </si>
  <si>
    <t>MNR</t>
  </si>
  <si>
    <t>NSA</t>
  </si>
  <si>
    <t>BXMT</t>
  </si>
  <si>
    <t>XRX</t>
  </si>
  <si>
    <t>SBR</t>
  </si>
  <si>
    <t>PRT</t>
  </si>
  <si>
    <t>CODI</t>
  </si>
  <si>
    <t>PSEC</t>
  </si>
  <si>
    <t>BCE</t>
  </si>
  <si>
    <t>GOOD</t>
  </si>
  <si>
    <t>BKR</t>
  </si>
  <si>
    <t>PSO</t>
  </si>
  <si>
    <t>LADR</t>
  </si>
  <si>
    <t>IRT</t>
  </si>
  <si>
    <t>ACC</t>
  </si>
  <si>
    <t>EVA</t>
  </si>
  <si>
    <t>OLP</t>
  </si>
  <si>
    <t>SJR</t>
  </si>
  <si>
    <t>EQR</t>
  </si>
  <si>
    <t>GLAD</t>
  </si>
  <si>
    <t>GROW</t>
  </si>
  <si>
    <t>GAIN</t>
  </si>
  <si>
    <t>PEAK</t>
  </si>
  <si>
    <t>ABR</t>
  </si>
  <si>
    <t>PLYM</t>
  </si>
  <si>
    <t>HP</t>
  </si>
  <si>
    <t>LSI</t>
  </si>
  <si>
    <t>EGP</t>
  </si>
  <si>
    <t>IRM</t>
  </si>
  <si>
    <t>UDR</t>
  </si>
  <si>
    <t>DREUF</t>
  </si>
  <si>
    <t>APTS</t>
  </si>
  <si>
    <t>MPC</t>
  </si>
  <si>
    <t>LXP</t>
  </si>
  <si>
    <t>STAG</t>
  </si>
  <si>
    <t>PPRQF</t>
  </si>
  <si>
    <t>UBA</t>
  </si>
  <si>
    <t>DRETF</t>
  </si>
  <si>
    <t>AB</t>
  </si>
  <si>
    <t>WELL</t>
  </si>
  <si>
    <t>LAMR</t>
  </si>
  <si>
    <t>LAND</t>
  </si>
  <si>
    <t>PBT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</si>
  <si>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</si>
  <si>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</si>
  <si>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</si>
  <si>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</si>
  <si>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</si>
  <si>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</si>
  <si>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</si>
  <si>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</si>
  <si>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</si>
  <si>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</si>
  <si>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</si>
  <si>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</si>
  <si>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</si>
  <si>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</si>
  <si>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</si>
  <si>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</si>
  <si>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</si>
  <si>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</si>
  <si>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</si>
  <si>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</si>
  <si>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</si>
  <si>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</si>
  <si>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</si>
  <si>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</si>
  <si>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</si>
  <si>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</si>
  <si>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</si>
  <si>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</si>
  <si>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</si>
  <si>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</si>
  <si>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</si>
  <si>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</si>
  <si>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</si>
  <si>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</si>
  <si>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</si>
  <si>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</si>
  <si>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</si>
  <si>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</si>
  <si>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</si>
  <si>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</si>
  <si>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</si>
  <si>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</si>
  <si>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</si>
  <si>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</si>
  <si>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</si>
  <si>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</si>
  <si>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</si>
  <si>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</si>
  <si>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</si>
  <si>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</si>
  <si>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</si>
  <si>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</si>
  <si>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</si>
  <si>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</si>
  <si>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</si>
  <si>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</si>
  <si>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</si>
  <si>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</si>
  <si>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</si>
  <si>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</si>
  <si>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</si>
  <si>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</si>
  <si>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</si>
  <si>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</si>
  <si>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</si>
  <si>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</si>
  <si>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</si>
  <si>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</si>
  <si>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</si>
  <si>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</si>
  <si>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</si>
  <si>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</si>
  <si>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</si>
  <si>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</si>
  <si>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</si>
  <si>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</si>
  <si>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</si>
  <si>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</si>
  <si>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</si>
  <si>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</si>
  <si>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</si>
  <si>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</si>
  <si>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</si>
  <si>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</si>
  <si>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</si>
  <si>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</si>
  <si>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</si>
  <si>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</si>
  <si>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</si>
  <si>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</si>
  <si>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</si>
  <si>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</si>
  <si>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</si>
  <si>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</si>
  <si>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</si>
  <si>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</si>
  <si>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</si>
  <si>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</si>
  <si>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</si>
  <si>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</si>
  <si>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</si>
  <si>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</si>
  <si>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</si>
  <si>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</si>
  <si>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</si>
  <si>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</si>
  <si>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</si>
  <si>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</si>
  <si>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</si>
  <si>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</si>
  <si>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</si>
  <si>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</si>
  <si>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</si>
  <si>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</si>
  <si>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</si>
  <si>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</si>
  <si>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</si>
  <si>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</si>
  <si>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</si>
  <si>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</si>
  <si>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</si>
  <si>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</si>
  <si>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</si>
  <si>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</si>
  <si>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</si>
  <si>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</si>
  <si>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</si>
  <si>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</si>
  <si>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</si>
  <si>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</si>
  <si>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</si>
  <si>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</si>
  <si>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</si>
  <si>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</si>
  <si>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</si>
  <si>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</si>
  <si>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</si>
  <si>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</si>
  <si>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</si>
  <si>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</si>
  <si>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</si>
  <si>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</si>
  <si>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</si>
  <si>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</si>
  <si>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</si>
  <si>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</si>
  <si>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</si>
  <si>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</si>
  <si>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</si>
  <si>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</si>
  <si>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</si>
  <si>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</si>
  <si>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</si>
  <si>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</si>
  <si>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</si>
  <si>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</si>
  <si>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</si>
  <si>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</si>
  <si>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</si>
  <si>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</si>
  <si>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</si>
  <si>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</si>
  <si>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</si>
  <si>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</si>
  <si>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</si>
  <si>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</si>
  <si>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</si>
  <si>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</si>
  <si>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</si>
  <si>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</si>
  <si>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</si>
  <si>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</si>
  <si>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</si>
  <si>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</si>
  <si>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</si>
  <si>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</si>
  <si>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</si>
  <si>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</si>
  <si>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</si>
  <si>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</si>
  <si>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</si>
  <si>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</si>
  <si>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</si>
  <si>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</si>
  <si>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</si>
  <si>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</si>
  <si>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</si>
  <si>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</si>
  <si>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</si>
  <si>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</si>
  <si>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</si>
  <si>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</si>
  <si>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</si>
  <si>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</si>
  <si>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</si>
  <si>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</si>
  <si>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</si>
  <si>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</si>
  <si>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</si>
  <si>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</si>
  <si>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</si>
  <si>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</si>
  <si>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</si>
  <si>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</si>
  <si>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</si>
  <si>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</si>
  <si>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</si>
  <si>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</si>
  <si>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</si>
  <si>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</si>
  <si>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</si>
  <si>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</si>
  <si>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</si>
  <si>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</si>
  <si>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</si>
  <si>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</si>
  <si>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</si>
  <si>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</si>
  <si>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</si>
  <si>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</si>
  <si>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</si>
  <si>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</si>
  <si>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</si>
  <si>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</si>
  <si>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</si>
  <si>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</si>
  <si>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</si>
  <si>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</si>
  <si>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</si>
  <si>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</si>
  <si>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</si>
  <si>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</si>
  <si>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</si>
  <si>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</si>
  <si>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</si>
  <si>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</si>
  <si>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</si>
  <si>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</si>
  <si>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</si>
  <si>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</si>
  <si>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</si>
  <si>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</si>
  <si>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</si>
  <si>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</si>
  <si>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</si>
  <si>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</si>
  <si>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</si>
  <si>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</si>
  <si>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</si>
  <si>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</si>
  <si>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</si>
  <si>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</si>
  <si>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</si>
  <si>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</si>
  <si>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</si>
  <si>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</si>
  <si>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</si>
  <si>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</si>
  <si>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</si>
  <si>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</si>
  <si>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</si>
  <si>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</si>
  <si>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</si>
  <si>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</si>
  <si>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</si>
  <si>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</si>
  <si>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</si>
  <si>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</si>
  <si>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</si>
  <si>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</si>
  <si>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</si>
  <si>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</si>
  <si>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</si>
  <si>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</si>
  <si>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</si>
  <si>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</si>
  <si>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</si>
  <si>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</si>
  <si>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</si>
  <si>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</si>
  <si>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</si>
  <si>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</si>
  <si>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</si>
  <si>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</si>
  <si>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</si>
  <si>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</si>
  <si>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</si>
  <si>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</si>
  <si>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</si>
  <si>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</si>
  <si>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</si>
  <si>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</si>
  <si>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</si>
  <si>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</si>
  <si>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</si>
  <si>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</si>
  <si>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</si>
  <si>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</si>
  <si>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</si>
  <si>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</si>
  <si>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</si>
  <si>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</si>
  <si>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</si>
  <si>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</si>
  <si>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</si>
  <si>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</si>
  <si>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</si>
  <si>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</si>
  <si>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</si>
  <si>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</si>
  <si>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</si>
  <si>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</si>
  <si>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</si>
  <si>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</si>
  <si>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</si>
  <si>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</si>
  <si>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</si>
  <si>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</si>
  <si>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</si>
  <si>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</si>
  <si>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</si>
  <si>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</si>
  <si>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</si>
  <si>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</si>
  <si>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</si>
  <si>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</si>
  <si>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</si>
  <si>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</si>
  <si>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</si>
  <si>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</si>
  <si>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</si>
  <si>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</si>
  <si>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</si>
  <si>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</si>
  <si>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</si>
  <si>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</si>
  <si>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</si>
  <si>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</si>
  <si>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</si>
  <si>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</si>
  <si>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</si>
  <si>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</si>
  <si>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</si>
  <si>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</si>
  <si>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</si>
  <si>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</si>
  <si>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</si>
  <si>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</si>
  <si>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</si>
  <si>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</si>
  <si>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</si>
  <si>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</si>
  <si>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</si>
  <si>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</si>
  <si>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</si>
  <si>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</si>
  <si>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</si>
  <si>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</si>
  <si>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</si>
  <si>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</si>
  <si>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</si>
  <si>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</si>
  <si>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</si>
  <si>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</si>
  <si>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</si>
  <si>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</si>
  <si>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</si>
  <si>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</si>
  <si>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</si>
  <si>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</si>
  <si>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</si>
  <si>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</si>
  <si>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</si>
  <si>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</si>
  <si>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</si>
  <si>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</si>
  <si>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</si>
  <si>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</si>
  <si>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</si>
  <si>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</si>
  <si>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</si>
  <si>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</si>
  <si>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</si>
  <si>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</si>
  <si>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</si>
  <si>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</si>
  <si>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</si>
  <si>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</si>
  <si>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</si>
  <si>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</si>
  <si>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</si>
  <si>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</si>
  <si>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</si>
  <si>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</si>
  <si>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</si>
  <si>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</si>
  <si>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</si>
  <si>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</si>
  <si>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</si>
  <si>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</si>
  <si>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</si>
  <si>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</si>
  <si>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</si>
  <si>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</si>
  <si>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</si>
  <si>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</si>
  <si>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</si>
  <si>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</si>
  <si>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</si>
  <si>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</si>
  <si>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</si>
  <si>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</si>
  <si>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</si>
  <si>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</si>
  <si>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</si>
  <si>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</si>
  <si>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</si>
  <si>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</si>
  <si>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</si>
  <si>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</si>
  <si>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</si>
  <si>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</si>
  <si>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</si>
  <si>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</si>
  <si>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</si>
  <si>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</si>
  <si>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</si>
  <si>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</si>
  <si>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</si>
  <si>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</si>
  <si>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</si>
  <si>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</si>
  <si>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</si>
  <si>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</si>
  <si>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</si>
  <si>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</si>
  <si>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</si>
  <si>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</si>
  <si>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</si>
  <si>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</si>
  <si>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</si>
  <si>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</si>
  <si>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</si>
  <si>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</si>
  <si>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</si>
  <si>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</si>
  <si>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</si>
  <si>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</si>
  <si>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</si>
  <si>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</si>
  <si>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</si>
  <si>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</si>
  <si>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</si>
  <si>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</si>
  <si>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</si>
  <si>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</si>
  <si>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</si>
  <si>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</si>
  <si>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</si>
  <si>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</si>
  <si>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</si>
  <si>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</si>
  <si>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</si>
  <si>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</si>
  <si>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</si>
  <si>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</si>
  <si>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</si>
  <si>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</si>
  <si>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</si>
  <si>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</si>
  <si>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</si>
  <si>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</si>
  <si>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</si>
  <si>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</si>
  <si>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</si>
  <si>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</si>
  <si>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</si>
  <si>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</si>
  <si>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</si>
  <si>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</si>
  <si>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</si>
  <si>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</si>
  <si>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</si>
  <si>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</si>
  <si>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</si>
  <si>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</si>
  <si>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</si>
  <si>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</si>
  <si>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</si>
  <si>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</si>
  <si>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</si>
  <si>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</si>
  <si>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</si>
  <si>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</si>
  <si>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</si>
  <si>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</si>
  <si>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</si>
  <si>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</si>
  <si>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</si>
  <si>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</si>
  <si>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</si>
  <si>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</si>
  <si>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</si>
  <si>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</si>
  <si>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</si>
  <si>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</si>
  <si>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</si>
  <si>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</si>
  <si>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</si>
  <si>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</si>
  <si>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</si>
  <si>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</si>
  <si>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</si>
  <si>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</si>
  <si>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</si>
  <si>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</si>
  <si>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</si>
  <si>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</si>
  <si>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</si>
  <si>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</si>
  <si>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</si>
  <si>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</si>
  <si>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</si>
  <si>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</si>
  <si>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</si>
  <si>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</si>
  <si>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</si>
  <si>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</si>
  <si>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</si>
  <si>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</si>
  <si>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</si>
  <si>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</si>
  <si>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</si>
  <si>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</si>
  <si>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</si>
  <si>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</si>
  <si>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</si>
  <si>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</si>
  <si>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</si>
  <si>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</si>
  <si>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</si>
  <si>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</si>
  <si>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</si>
  <si>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</si>
  <si>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</si>
  <si>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</si>
  <si>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</si>
  <si>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</si>
  <si>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</si>
  <si>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</si>
  <si>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</si>
  <si>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</si>
  <si>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</si>
  <si>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</si>
  <si>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</si>
  <si>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</si>
  <si>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</si>
  <si>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</si>
  <si>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</si>
  <si>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</si>
  <si>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</si>
  <si>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</si>
  <si>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</si>
  <si>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</si>
  <si>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</si>
  <si>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</si>
  <si>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</si>
  <si>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</si>
  <si>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</si>
  <si>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</si>
  <si>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</si>
  <si>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</si>
  <si>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</si>
  <si>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</si>
  <si>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</si>
  <si>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</si>
  <si>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</si>
  <si>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</si>
  <si>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</si>
  <si>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</si>
  <si>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</si>
  <si>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</si>
  <si>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</si>
  <si>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</si>
  <si>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</si>
  <si>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</si>
  <si>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</si>
  <si>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</si>
  <si>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</si>
  <si>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</si>
  <si>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</si>
  <si>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</si>
  <si>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</si>
  <si>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</si>
  <si>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</si>
  <si>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</si>
  <si>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</si>
  <si>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</si>
  <si>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</si>
  <si>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</si>
  <si>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</si>
  <si>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</si>
  <si>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</si>
  <si>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</si>
  <si>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</si>
  <si>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</si>
  <si>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</si>
  <si>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</si>
  <si>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</si>
  <si>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</si>
  <si>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</si>
  <si>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</si>
  <si>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</si>
  <si>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</si>
  <si>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</si>
  <si>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</si>
  <si>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</si>
  <si>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</si>
  <si>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</si>
  <si>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</si>
  <si>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</si>
  <si>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</si>
  <si>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</si>
  <si>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</si>
  <si>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</si>
  <si>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</si>
  <si>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</si>
  <si>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</si>
  <si>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</si>
  <si>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</si>
  <si>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</si>
  <si>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</si>
  <si>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</si>
  <si>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</si>
  <si>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</si>
  <si>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</si>
  <si>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</si>
  <si>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</si>
  <si>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</si>
  <si>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</si>
  <si>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</si>
  <si>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</si>
  <si>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</si>
  <si>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</si>
  <si>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</si>
  <si>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</si>
  <si>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</si>
  <si>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</si>
  <si>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</si>
  <si>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</si>
  <si>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</si>
  <si>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</si>
  <si>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</si>
  <si>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</si>
  <si>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</si>
  <si>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</si>
  <si>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</si>
  <si>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</si>
  <si>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</si>
  <si>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</si>
  <si>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</si>
  <si>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</si>
  <si>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</si>
  <si>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</si>
  <si>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</si>
  <si>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</si>
  <si>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</si>
  <si>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</si>
  <si>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</si>
  <si>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</si>
  <si>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</si>
  <si>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</si>
  <si>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</si>
  <si>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</si>
  <si>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</si>
  <si>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</si>
  <si>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</si>
  <si>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</si>
  <si>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</si>
  <si>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</si>
  <si>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</si>
  <si>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</si>
  <si>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</si>
  <si>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</si>
  <si>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</si>
  <si>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</si>
  <si>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</si>
  <si>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</si>
  <si>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</si>
  <si>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</si>
  <si>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</si>
  <si>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</si>
  <si>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</si>
  <si>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</si>
  <si>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</si>
  <si>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</si>
  <si>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</si>
  <si>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</si>
  <si>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</si>
  <si>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</si>
  <si>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</si>
  <si>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</si>
  <si>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</si>
  <si>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</si>
  <si>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</si>
  <si>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</si>
  <si>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</si>
  <si>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</si>
  <si>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</si>
  <si>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</si>
  <si>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</si>
  <si>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</si>
  <si>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</si>
  <si>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</si>
  <si>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</si>
  <si>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</si>
  <si>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</si>
  <si>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</si>
  <si>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</si>
  <si>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</si>
  <si>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</si>
  <si>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</si>
  <si>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</si>
  <si>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</si>
  <si>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</si>
  <si>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</si>
  <si>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</si>
  <si>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</si>
  <si>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</si>
  <si>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</si>
  <si>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</si>
  <si>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</si>
  <si>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</si>
  <si>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</si>
  <si>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</si>
  <si>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</si>
  <si>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</si>
  <si>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</si>
  <si>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</si>
  <si>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</si>
  <si>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</si>
  <si>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</si>
  <si>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</si>
  <si>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</si>
  <si>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</si>
  <si>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</si>
  <si>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</si>
  <si>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</si>
  <si>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</si>
  <si>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</si>
  <si>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</si>
  <si>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</si>
  <si>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</si>
  <si>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</si>
  <si>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</si>
  <si>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</si>
  <si>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</si>
  <si>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</si>
  <si>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</si>
  <si>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</si>
  <si>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</si>
  <si>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</si>
  <si>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</si>
  <si>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</si>
  <si>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</si>
  <si>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</si>
  <si>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</si>
  <si>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</si>
  <si>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</si>
  <si>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</si>
  <si>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</si>
  <si>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</si>
  <si>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</si>
  <si>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</si>
  <si>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</si>
  <si>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</si>
  <si>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</si>
  <si>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</si>
  <si>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</si>
  <si>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</si>
  <si>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</si>
  <si>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</si>
  <si>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</si>
  <si>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</si>
  <si>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</si>
  <si>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</si>
  <si>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</si>
  <si>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</si>
  <si>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</si>
  <si>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</si>
  <si>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</si>
  <si>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</si>
  <si>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</si>
  <si>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</si>
  <si>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</si>
  <si>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</si>
  <si>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</si>
  <si>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</si>
  <si>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</si>
  <si>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</si>
  <si>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</si>
  <si>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</si>
  <si>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</si>
  <si>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</si>
  <si>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</si>
  <si>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</si>
  <si>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</si>
  <si>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</si>
  <si>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</si>
  <si>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</si>
  <si>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</si>
  <si>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</si>
  <si>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</si>
  <si>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</si>
  <si>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</si>
  <si>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</si>
  <si>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</si>
  <si>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</si>
  <si>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</si>
  <si>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</si>
  <si>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</si>
  <si>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</si>
  <si>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</si>
  <si>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</si>
  <si>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</si>
  <si>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</si>
  <si>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</si>
  <si>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</si>
  <si>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</si>
  <si>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</si>
  <si>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</si>
  <si>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</si>
  <si>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</si>
  <si>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</si>
  <si>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</si>
  <si>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</si>
  <si>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</si>
  <si>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</si>
  <si>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</si>
  <si>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</si>
  <si>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</si>
  <si>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</si>
  <si>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</si>
  <si>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</si>
  <si>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</si>
  <si>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</si>
  <si>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</si>
  <si>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</si>
  <si>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</si>
  <si>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</si>
  <si>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</si>
  <si>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</si>
  <si>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</si>
  <si>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</si>
  <si>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</si>
  <si>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</si>
  <si>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</si>
  <si>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</si>
  <si>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</si>
  <si>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</si>
  <si>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</si>
  <si>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</si>
  <si>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</si>
  <si>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</si>
  <si>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</si>
  <si>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</si>
  <si>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</si>
  <si>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</si>
  <si>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</si>
  <si>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</si>
  <si>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</si>
  <si>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</si>
  <si>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</si>
  <si>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</si>
  <si>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</si>
  <si>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</si>
  <si>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</si>
  <si>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</si>
  <si>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</si>
  <si>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</si>
  <si>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</si>
  <si>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</si>
  <si>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</si>
  <si>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</si>
  <si>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</si>
  <si>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</si>
  <si>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</si>
  <si>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</si>
  <si>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</si>
  <si>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</si>
  <si>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</si>
  <si>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</si>
  <si>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</si>
  <si>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</si>
  <si>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</si>
  <si>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</si>
  <si>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</si>
  <si>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</si>
  <si>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</si>
  <si>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</si>
  <si>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</si>
  <si>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</si>
  <si>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</si>
  <si>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</si>
  <si>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</si>
  <si>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</si>
  <si>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</si>
  <si>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</si>
  <si>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</si>
  <si>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</si>
  <si>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</si>
  <si>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</si>
  <si>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</si>
  <si>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</si>
  <si>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</si>
  <si>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</si>
  <si>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</si>
  <si>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</si>
  <si>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</si>
  <si>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</si>
  <si>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</si>
  <si>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</si>
  <si>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</si>
  <si>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</si>
  <si>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</si>
  <si>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</si>
  <si>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</si>
  <si>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</si>
  <si>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</si>
  <si>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</si>
  <si>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</si>
  <si>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</si>
  <si>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</si>
  <si>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</si>
  <si>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</si>
  <si>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</si>
  <si>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</si>
  <si>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</si>
  <si>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</si>
  <si>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</si>
  <si>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</si>
  <si>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</si>
  <si>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</si>
  <si>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</si>
  <si>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</si>
  <si>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</si>
  <si>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</si>
  <si>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</si>
  <si>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</si>
  <si>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</si>
  <si>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</si>
  <si>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</si>
  <si>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</si>
  <si>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</si>
  <si>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</si>
  <si>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</si>
  <si>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</si>
  <si>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</si>
  <si>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</si>
  <si>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</si>
  <si>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</si>
  <si>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</si>
  <si>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</si>
  <si>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</si>
  <si>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</si>
  <si>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</si>
  <si>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</si>
  <si>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</si>
  <si>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</si>
  <si>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</si>
  <si>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</si>
  <si>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</si>
  <si>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</si>
  <si>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</si>
  <si>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</si>
  <si>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</si>
  <si>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</si>
  <si>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</si>
  <si>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</si>
  <si>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</si>
  <si>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</si>
  <si>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</si>
  <si>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</si>
  <si>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</si>
  <si>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</si>
  <si>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</si>
  <si>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</si>
  <si>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</si>
  <si>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</si>
  <si>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</si>
  <si>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</si>
  <si>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</si>
  <si>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</si>
  <si>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</si>
  <si>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</si>
  <si>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</si>
  <si>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</si>
  <si>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</si>
  <si>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</si>
  <si>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</si>
  <si>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</si>
  <si>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</si>
  <si>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</si>
  <si>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</si>
  <si>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</si>
  <si>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</si>
  <si>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</si>
  <si>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</si>
  <si>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</si>
  <si>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</si>
  <si>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</si>
  <si>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</si>
  <si>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</si>
  <si>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</si>
  <si>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</si>
  <si>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</si>
  <si>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</si>
  <si>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</si>
  <si>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</si>
  <si>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</si>
  <si>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</si>
  <si>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</si>
  <si>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</si>
  <si>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</si>
  <si>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</si>
  <si>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</si>
  <si>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</si>
  <si>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</si>
  <si>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</si>
  <si>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</si>
  <si>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</si>
  <si>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</si>
  <si>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</si>
  <si>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</si>
  <si>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</si>
  <si>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</si>
  <si>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</si>
  <si>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</si>
  <si>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</si>
  <si>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</si>
  <si>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</si>
  <si>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</si>
  <si>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</si>
  <si>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</si>
  <si>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</si>
  <si>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</si>
  <si>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</si>
  <si>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</si>
  <si>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</si>
  <si>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</si>
  <si>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</si>
  <si>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</si>
  <si>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</si>
  <si>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</si>
  <si>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</si>
  <si>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</si>
  <si>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</si>
  <si>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</si>
  <si>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</si>
  <si>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</si>
  <si>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</si>
  <si>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</si>
  <si>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</si>
  <si>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</si>
  <si>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</si>
  <si>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</si>
  <si>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</si>
  <si>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</si>
  <si>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</si>
  <si>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</si>
  <si>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</si>
  <si>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</si>
  <si>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</si>
  <si>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</si>
  <si>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</si>
  <si>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</si>
  <si>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</si>
  <si>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</si>
  <si>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</si>
  <si>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</si>
  <si>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</si>
  <si>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</si>
  <si>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</si>
  <si>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</si>
  <si>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</si>
  <si>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</si>
  <si>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</si>
  <si>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</si>
  <si>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</si>
  <si>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</si>
  <si>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</si>
  <si>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</si>
  <si>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</si>
  <si>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</si>
  <si>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</si>
  <si>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</si>
  <si>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</si>
  <si>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</si>
  <si>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</si>
  <si>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</si>
  <si>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</si>
  <si>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</si>
  <si>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</si>
  <si>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</si>
  <si>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</si>
  <si>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</si>
  <si>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</si>
  <si>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</si>
  <si>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</si>
  <si>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</si>
  <si>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</si>
  <si>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</si>
  <si>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</si>
  <si>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</si>
  <si>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</si>
  <si>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</si>
  <si>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</si>
  <si>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</si>
  <si>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</si>
  <si>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</si>
  <si>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</si>
  <si>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</si>
  <si>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</si>
  <si>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</si>
  <si>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</si>
  <si>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</si>
  <si>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</si>
  <si>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</si>
  <si>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</si>
  <si>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</si>
  <si>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</si>
  <si>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</si>
  <si>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</si>
  <si>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</si>
  <si>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</si>
  <si>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</si>
  <si>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</si>
  <si>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</si>
  <si>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</si>
  <si>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</si>
  <si>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</si>
  <si>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</si>
  <si>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</si>
  <si>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</si>
  <si>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</si>
  <si>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</si>
  <si>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</si>
  <si>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</si>
  <si>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</si>
  <si>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</si>
  <si>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</si>
  <si>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</si>
  <si>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</si>
  <si>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</si>
  <si>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</si>
  <si>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</si>
  <si>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</si>
  <si>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</si>
  <si>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</si>
  <si>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</si>
  <si>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</si>
  <si>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</si>
  <si>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</si>
  <si>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</si>
  <si>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</si>
  <si>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</si>
  <si>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</si>
  <si>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</si>
  <si>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</si>
  <si>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</si>
  <si>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</si>
  <si>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</si>
  <si>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</si>
  <si>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</si>
  <si>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</si>
  <si>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</si>
  <si>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</si>
  <si>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</si>
  <si>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</si>
  <si>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</si>
  <si>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</si>
  <si>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</si>
  <si>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</si>
  <si>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</si>
  <si>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</si>
  <si>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</si>
  <si>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</si>
  <si>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</si>
  <si>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</si>
  <si>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</si>
  <si>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</si>
  <si>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</si>
  <si>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</si>
  <si>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</si>
  <si>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</si>
  <si>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</si>
  <si>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</si>
  <si>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</si>
  <si>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</si>
  <si>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</si>
  <si>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</si>
  <si>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</si>
  <si>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</si>
  <si>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</si>
  <si>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</si>
  <si>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</si>
  <si>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</si>
  <si>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</si>
  <si>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</si>
  <si>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</si>
  <si>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</si>
  <si>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</si>
  <si>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</si>
  <si>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</si>
  <si>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</si>
  <si>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</si>
  <si>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</si>
  <si>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</si>
  <si>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</si>
  <si>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</si>
  <si>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</si>
  <si>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</si>
  <si>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</si>
  <si>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</si>
  <si>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</si>
  <si>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</si>
  <si>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</si>
  <si>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</si>
  <si>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</si>
  <si>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</si>
  <si>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</si>
  <si>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</si>
  <si>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</si>
  <si>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</si>
  <si>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</si>
  <si>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</si>
  <si>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</si>
  <si>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</si>
  <si>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</si>
  <si>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</si>
  <si>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</si>
  <si>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</si>
  <si>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</si>
  <si>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</si>
  <si>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</si>
  <si>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</si>
  <si>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</si>
  <si>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</si>
  <si>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</si>
  <si>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</si>
  <si>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</si>
  <si>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</si>
  <si>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</si>
  <si>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</si>
  <si>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</si>
  <si>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</si>
  <si>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</si>
  <si>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</si>
  <si>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</si>
  <si>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</si>
  <si>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</si>
  <si>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</si>
  <si>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</si>
  <si>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</si>
  <si>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</si>
  <si>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</si>
  <si>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</si>
  <si>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</si>
  <si>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</si>
  <si>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</si>
  <si>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</si>
  <si>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</si>
  <si>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</si>
  <si>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</si>
  <si>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</si>
  <si>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</si>
  <si>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</si>
  <si>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</si>
  <si>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</si>
  <si>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</si>
  <si>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</si>
  <si>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</si>
  <si>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</si>
  <si>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</si>
  <si>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</si>
  <si>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</si>
  <si>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</si>
  <si>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</si>
  <si>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</si>
  <si>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</si>
  <si>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</si>
  <si>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</si>
  <si>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</si>
  <si>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</si>
  <si>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</si>
  <si>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</si>
  <si>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</si>
  <si>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</si>
  <si>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</si>
  <si>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</si>
  <si>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</si>
  <si>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</si>
  <si>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</si>
  <si>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</si>
  <si>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</si>
  <si>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</si>
  <si>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</si>
  <si>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</si>
  <si>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</si>
  <si>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</si>
  <si>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</si>
  <si>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</si>
  <si>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</si>
  <si>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</si>
  <si>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</si>
  <si>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</si>
  <si>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</si>
  <si>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</si>
  <si>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</si>
  <si>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</si>
  <si>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</si>
  <si>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</si>
  <si>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</si>
  <si>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</si>
  <si>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</si>
  <si>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</si>
  <si>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</si>
  <si>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</si>
  <si>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</si>
  <si>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</si>
  <si>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</si>
  <si>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</si>
  <si>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</si>
  <si>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</si>
  <si>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</si>
  <si>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</si>
  <si>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</si>
  <si>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</si>
  <si>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</si>
  <si>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</si>
  <si>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</si>
  <si>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</si>
  <si>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</si>
  <si>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</si>
  <si>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</si>
  <si>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</si>
  <si>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</si>
  <si>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</si>
  <si>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</si>
  <si>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</si>
  <si>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</si>
  <si>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</si>
  <si>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</si>
  <si>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</si>
  <si>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</si>
  <si>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</si>
  <si>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</si>
  <si>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</si>
  <si>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</si>
  <si>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</si>
  <si>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</si>
  <si>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</si>
  <si>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</si>
  <si>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</si>
  <si>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</si>
  <si>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</si>
  <si>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</si>
  <si>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</si>
  <si>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</si>
  <si>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</si>
  <si>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</si>
  <si>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</si>
  <si>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</si>
  <si>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</si>
  <si>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</si>
  <si>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</si>
  <si>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</si>
  <si>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</si>
  <si>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</si>
  <si>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</si>
  <si>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</si>
  <si>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</si>
  <si>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</si>
  <si>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</si>
  <si>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</si>
  <si>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</si>
  <si>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</si>
  <si>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</si>
  <si>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</si>
  <si>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</si>
  <si>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</si>
  <si>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</si>
  <si>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</si>
  <si>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</si>
  <si>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</si>
  <si>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</si>
  <si>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</si>
  <si>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</si>
  <si>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</si>
  <si>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</si>
  <si>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</si>
  <si>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</si>
  <si>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</si>
  <si>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</si>
  <si>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</si>
  <si>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</si>
  <si>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</si>
  <si>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</si>
  <si>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</si>
  <si>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</si>
  <si>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</si>
  <si>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</si>
  <si>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</si>
  <si>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</si>
  <si>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</si>
  <si>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</si>
  <si>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</si>
  <si>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</si>
  <si>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</si>
  <si>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</si>
  <si>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</si>
  <si>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</si>
  <si>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</si>
  <si>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</si>
  <si>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</si>
  <si>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</si>
  <si>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</si>
  <si>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</si>
  <si>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</si>
  <si>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</si>
  <si>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</si>
  <si>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</si>
  <si>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</si>
  <si>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</si>
  <si>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</si>
  <si>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</si>
  <si>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</si>
  <si>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</si>
  <si>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</si>
  <si>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</si>
  <si>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</si>
  <si>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</si>
  <si>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</si>
  <si>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</si>
  <si>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</si>
  <si>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</si>
  <si>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</si>
  <si>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</si>
  <si>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</si>
  <si>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</si>
  <si>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</si>
  <si>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</si>
  <si>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</si>
  <si>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</si>
  <si>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</si>
  <si>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</si>
  <si>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</si>
  <si>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</si>
  <si>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</si>
  <si>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</si>
  <si>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</si>
  <si>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</si>
  <si>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</si>
  <si>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</si>
  <si>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</si>
  <si>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</si>
  <si>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</si>
  <si>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</si>
  <si>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</si>
  <si>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</si>
  <si>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</si>
  <si>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</si>
  <si>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</si>
  <si>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</si>
  <si>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</si>
  <si>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</si>
  <si>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</si>
  <si>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</si>
  <si>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</si>
  <si>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</si>
  <si>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</si>
  <si>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</si>
  <si>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</si>
  <si>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</si>
  <si>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</si>
  <si>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</si>
  <si>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</si>
  <si>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</si>
  <si>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</si>
  <si>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</si>
  <si>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</si>
  <si>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</si>
  <si>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</si>
  <si>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</si>
  <si>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</si>
  <si>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</si>
  <si>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</si>
  <si>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</si>
  <si>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</si>
  <si>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</si>
  <si>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</si>
  <si>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</si>
  <si>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</si>
  <si>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</si>
  <si>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</si>
  <si>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</si>
  <si>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</si>
  <si>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</si>
  <si>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</si>
  <si>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</si>
  <si>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</si>
  <si>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</si>
  <si>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</si>
  <si>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</si>
  <si>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</si>
  <si>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</si>
  <si>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</si>
  <si>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</si>
  <si>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</si>
  <si>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</si>
  <si>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</si>
  <si>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</si>
  <si>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</si>
  <si>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</si>
  <si>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</si>
  <si>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</si>
  <si>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</si>
  <si>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</si>
  <si>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</si>
  <si>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</si>
  <si>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</si>
  <si>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</si>
  <si>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</si>
  <si>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</si>
  <si>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</si>
  <si>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</si>
  <si>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</si>
  <si>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</si>
  <si>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</si>
  <si>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</si>
  <si>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</si>
  <si>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</si>
  <si>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</si>
  <si>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</si>
  <si>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</si>
  <si>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</si>
  <si>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</si>
  <si>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</si>
  <si>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</si>
  <si>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</si>
  <si>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</si>
  <si>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</si>
  <si>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</si>
  <si>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</si>
  <si>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</si>
  <si>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</si>
  <si>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</si>
  <si>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</si>
  <si>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</si>
  <si>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</si>
  <si>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</si>
  <si>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</si>
  <si>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</si>
  <si>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</si>
  <si>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</si>
  <si>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</si>
  <si>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</si>
  <si>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</si>
  <si>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</si>
  <si>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</si>
  <si>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</si>
  <si>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</si>
  <si>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</si>
  <si>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</si>
  <si>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</si>
  <si>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</si>
  <si>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</si>
  <si>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</si>
  <si>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</si>
  <si>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</si>
  <si>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</si>
  <si>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</si>
  <si>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</si>
  <si>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</si>
  <si>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</si>
  <si>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</si>
  <si>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</si>
  <si>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</si>
  <si>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</si>
  <si>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</si>
  <si>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</si>
  <si>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</si>
  <si>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</si>
  <si>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</si>
  <si>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</si>
  <si>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</si>
  <si>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</si>
  <si>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</si>
  <si>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</si>
  <si>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</si>
  <si>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</si>
  <si>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</si>
  <si>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</si>
  <si>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</si>
  <si>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</si>
  <si>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</si>
  <si>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</si>
  <si>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</si>
  <si>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</si>
  <si>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</si>
  <si>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</si>
  <si>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</si>
  <si>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</si>
  <si>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</si>
  <si>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</si>
  <si>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</si>
  <si>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</si>
  <si>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</si>
  <si>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</si>
  <si>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</si>
  <si>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</si>
  <si>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</si>
  <si>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</si>
  <si>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</si>
  <si>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</si>
  <si>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</si>
  <si>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</si>
  <si>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</si>
  <si>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</si>
  <si>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</si>
  <si>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</si>
  <si>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</si>
  <si>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</si>
  <si>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</si>
  <si>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</si>
  <si>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</si>
  <si>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</si>
  <si>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</si>
  <si>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</si>
  <si>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</si>
  <si>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</si>
  <si>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</si>
  <si>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</si>
  <si>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</si>
  <si>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</si>
  <si>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</si>
  <si>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</si>
  <si>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</si>
  <si>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</si>
  <si>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</si>
  <si>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</si>
  <si>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</si>
  <si>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</si>
  <si>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</si>
  <si>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</si>
  <si>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</si>
  <si>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</si>
  <si>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</si>
  <si>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</si>
  <si>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</si>
  <si>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</si>
  <si>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</si>
  <si>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</si>
  <si>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</si>
  <si>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</si>
  <si>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</si>
  <si>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</si>
  <si>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</si>
  <si>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</si>
  <si>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</si>
  <si>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</si>
  <si>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</si>
  <si>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</si>
  <si>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</si>
  <si>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</si>
  <si>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</si>
  <si>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</si>
  <si>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</si>
  <si>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</si>
  <si>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</si>
  <si>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</si>
  <si>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</si>
  <si>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</si>
  <si>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</si>
  <si>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</si>
  <si>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</si>
  <si>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</si>
  <si>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</si>
  <si>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</si>
  <si>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</si>
  <si>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</si>
  <si>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</si>
  <si>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</si>
  <si>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</si>
  <si>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</si>
  <si>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</si>
  <si>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</si>
  <si>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</si>
  <si>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</si>
  <si>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</si>
  <si>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</si>
  <si>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</si>
  <si>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</si>
  <si>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</si>
  <si>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</si>
  <si>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</si>
  <si>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</si>
  <si>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</si>
  <si>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</si>
  <si>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</si>
  <si>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</si>
  <si>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</si>
  <si>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</si>
  <si>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</si>
  <si>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</si>
  <si>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</si>
  <si>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</si>
  <si>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</si>
  <si>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</si>
  <si>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</si>
  <si>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</si>
  <si>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</si>
  <si>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</si>
  <si>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</si>
  <si>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</si>
  <si>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</si>
  <si>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</si>
  <si>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</si>
  <si>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</si>
  <si>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</si>
  <si>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</si>
  <si>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</si>
  <si>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</si>
  <si>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</si>
  <si>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</si>
  <si>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</si>
  <si>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</si>
  <si>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</si>
  <si>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</si>
  <si>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</si>
  <si>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</si>
  <si>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</si>
  <si>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</si>
  <si>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</si>
  <si>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</si>
  <si>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</si>
  <si>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</si>
  <si>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</si>
  <si>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</si>
  <si>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</si>
  <si>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</si>
  <si>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</si>
  <si>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</si>
  <si>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</si>
  <si>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</si>
  <si>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</si>
  <si>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</si>
  <si>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</si>
  <si>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</si>
  <si>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</si>
  <si>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</si>
  <si>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</si>
  <si>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</si>
  <si>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</si>
  <si>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</si>
  <si>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</si>
  <si>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</si>
  <si>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</si>
  <si>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</si>
  <si>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</si>
  <si>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</si>
  <si>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</si>
  <si>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</si>
  <si>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</si>
  <si>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</si>
  <si>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</si>
  <si>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</si>
  <si>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</si>
  <si>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</si>
  <si>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</si>
  <si>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</si>
  <si>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</si>
  <si>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</si>
  <si>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</si>
  <si>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</si>
  <si>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</si>
  <si>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</si>
  <si>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</si>
  <si>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</si>
  <si>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</si>
  <si>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</si>
  <si>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</si>
  <si>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</si>
  <si>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</si>
  <si>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</si>
  <si>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</si>
  <si>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</si>
  <si>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</si>
  <si>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</si>
  <si>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</si>
  <si>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</si>
  <si>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</si>
  <si>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</si>
  <si>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</si>
  <si>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</si>
  <si>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</si>
  <si>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</si>
  <si>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</si>
  <si>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</si>
  <si>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</si>
  <si>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</si>
  <si>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</si>
  <si>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</si>
  <si>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</si>
  <si>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</si>
  <si>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</si>
  <si>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</si>
  <si>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</si>
  <si>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</si>
  <si>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</si>
  <si>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</si>
  <si>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</si>
  <si>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</si>
  <si>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</si>
  <si>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</si>
  <si>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</si>
  <si>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</si>
  <si>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</si>
  <si>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</si>
  <si>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</si>
  <si>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</si>
  <si>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</si>
  <si>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</si>
  <si>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</si>
  <si>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</si>
  <si>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</si>
  <si>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</si>
  <si>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</si>
  <si>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</si>
  <si>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</si>
  <si>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</si>
  <si>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</si>
  <si>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</si>
  <si>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</si>
  <si>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</si>
  <si>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</si>
  <si>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</si>
  <si>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</si>
  <si>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</si>
  <si>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</si>
  <si>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</si>
  <si>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</si>
  <si>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</si>
  <si>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</si>
  <si>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</si>
  <si>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</si>
  <si>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</si>
  <si>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</si>
  <si>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</si>
  <si>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</si>
  <si>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</si>
  <si>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</si>
  <si>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</si>
  <si>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</si>
  <si>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</si>
  <si>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</si>
  <si>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</si>
  <si>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</si>
  <si>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</si>
  <si>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</si>
  <si>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</si>
  <si>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</si>
  <si>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</si>
  <si>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</si>
  <si>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</si>
  <si>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</si>
  <si>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</si>
  <si>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</si>
  <si>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</si>
  <si>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</si>
  <si>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</si>
  <si>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</si>
  <si>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</si>
  <si>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</si>
  <si>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</si>
  <si>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</si>
  <si>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</si>
  <si>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</si>
  <si>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</si>
  <si>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</si>
  <si>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</si>
  <si>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</si>
  <si>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</si>
  <si>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</si>
  <si>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</si>
  <si>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</si>
  <si>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</si>
  <si>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</si>
  <si>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</si>
  <si>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</si>
  <si>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</si>
  <si>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</si>
  <si>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</si>
  <si>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</si>
  <si>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</si>
  <si>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</si>
  <si>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</si>
  <si>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</si>
  <si>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</si>
  <si>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</si>
  <si>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</si>
  <si>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</si>
  <si>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</si>
  <si>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</si>
  <si>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</si>
  <si>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</si>
  <si>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</si>
  <si>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</si>
  <si>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</si>
  <si>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</si>
  <si>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</si>
  <si>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</si>
  <si>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</si>
  <si>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</si>
  <si>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</si>
  <si>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</si>
  <si>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</si>
  <si>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</si>
  <si>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</si>
  <si>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</si>
  <si>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</si>
  <si>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</si>
  <si>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</si>
  <si>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</si>
  <si>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</si>
  <si>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</si>
  <si>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</si>
  <si>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</si>
  <si>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</si>
  <si>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</si>
  <si>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</si>
  <si>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</si>
  <si>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</si>
  <si>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</si>
  <si>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</si>
  <si>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</si>
  <si>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</si>
  <si>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</si>
  <si>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</si>
  <si>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</si>
  <si>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</si>
  <si>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</si>
  <si>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</si>
  <si>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</si>
  <si>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</si>
  <si>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</si>
  <si>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</si>
  <si>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</si>
  <si>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</si>
  <si>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</si>
  <si>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</si>
  <si>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</si>
  <si>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</si>
  <si>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</si>
  <si>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</si>
  <si>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</si>
  <si>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</si>
  <si>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</si>
  <si>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</si>
  <si>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</si>
  <si>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</si>
  <si>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</si>
  <si>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</si>
  <si>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</si>
  <si>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</si>
  <si>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</si>
  <si>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</si>
  <si>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</si>
  <si>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</si>
  <si>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</si>
  <si>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</si>
  <si>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</si>
  <si>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</si>
  <si>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</si>
  <si>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</si>
  <si>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</si>
  <si>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</si>
  <si>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</si>
  <si>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</si>
  <si>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</si>
  <si>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</si>
  <si>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</si>
  <si>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</si>
  <si>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</si>
  <si>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</si>
  <si>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</si>
  <si>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</si>
  <si>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</si>
  <si>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</si>
  <si>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</si>
  <si>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</si>
  <si>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</si>
  <si>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</si>
  <si>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</si>
  <si>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</si>
  <si>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</si>
  <si>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</si>
  <si>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</si>
  <si>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</si>
  <si>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</si>
  <si>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</si>
  <si>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</si>
  <si>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</si>
  <si>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</si>
  <si>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</si>
  <si>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</si>
  <si>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</si>
  <si>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</si>
  <si>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</si>
  <si>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</si>
  <si>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</si>
  <si>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</si>
  <si>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</si>
  <si>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</si>
  <si>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</si>
  <si>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</si>
  <si>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</si>
  <si>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</si>
  <si>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</si>
  <si>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</si>
  <si>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</si>
  <si>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</si>
  <si>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</si>
  <si>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</si>
  <si>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</si>
  <si>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</si>
  <si>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</si>
  <si>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</si>
  <si>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</si>
  <si>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</si>
  <si>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</si>
  <si>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</si>
  <si>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</si>
  <si>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</si>
  <si>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</si>
  <si>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</si>
  <si>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</si>
  <si>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</si>
  <si>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</si>
  <si>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</si>
  <si>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</si>
  <si>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</si>
  <si>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</si>
  <si>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</si>
  <si>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</si>
  <si>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</si>
  <si>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</si>
  <si>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</si>
  <si>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</si>
  <si>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</si>
  <si>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</si>
  <si>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</si>
  <si>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</si>
  <si>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</si>
  <si>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</si>
  <si>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</si>
  <si>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</si>
  <si>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</si>
  <si>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</si>
  <si>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</si>
  <si>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</si>
  <si>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</si>
  <si>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</si>
  <si>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</si>
  <si>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</si>
  <si>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</si>
  <si>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</si>
  <si>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</si>
  <si>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</si>
  <si>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</si>
  <si>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</si>
  <si>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</si>
  <si>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</si>
  <si>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</si>
  <si>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</si>
  <si>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</si>
  <si>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</si>
  <si>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</si>
  <si>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</si>
  <si>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</si>
  <si>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</si>
  <si>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</si>
  <si>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</si>
  <si>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</si>
  <si>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</si>
  <si>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</si>
  <si>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</si>
  <si>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</si>
  <si>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</si>
  <si>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</si>
  <si>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</si>
  <si>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</si>
  <si>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</si>
  <si>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</si>
  <si>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</si>
  <si>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</si>
  <si>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</si>
  <si>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</si>
  <si>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</si>
  <si>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</si>
  <si>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</si>
  <si>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</si>
  <si>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</si>
  <si>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</si>
  <si>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</si>
  <si>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</si>
  <si>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</si>
  <si>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</si>
  <si>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</si>
  <si>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</si>
  <si>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</si>
  <si>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</si>
  <si>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</si>
  <si>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</si>
  <si>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</si>
  <si>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</si>
  <si>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</si>
  <si>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</si>
  <si>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</si>
  <si>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</si>
  <si>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</si>
  <si>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</si>
  <si>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</si>
  <si>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</si>
  <si>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</si>
  <si>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</si>
  <si>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</si>
  <si>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</si>
  <si>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</si>
  <si>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</si>
  <si>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</si>
  <si>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</si>
  <si>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</si>
  <si>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</si>
  <si>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</si>
  <si>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</si>
  <si>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</si>
  <si>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</si>
  <si>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</si>
  <si>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</si>
  <si>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</si>
  <si>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</si>
  <si>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</si>
  <si>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</si>
  <si>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</si>
  <si>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</si>
  <si>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</si>
  <si>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</si>
  <si>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</si>
  <si>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</si>
  <si>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</si>
  <si>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</si>
  <si>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</si>
  <si>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</si>
  <si>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</si>
  <si>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</si>
  <si>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</si>
  <si>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</si>
  <si>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</si>
  <si>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</si>
  <si>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</si>
  <si>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</si>
  <si>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</si>
  <si>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</si>
  <si>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</si>
  <si>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</si>
  <si>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</si>
  <si>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</si>
  <si>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</si>
  <si>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</si>
  <si>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</si>
  <si>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</si>
  <si>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</si>
  <si>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</si>
  <si>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</si>
  <si>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</si>
  <si>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</si>
  <si>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</si>
  <si>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</si>
  <si>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</si>
  <si>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</si>
  <si>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</si>
  <si>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</si>
  <si>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</si>
  <si>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</si>
  <si>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</si>
  <si>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</si>
  <si>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</si>
  <si>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</si>
  <si>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</si>
  <si>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</si>
  <si>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</si>
  <si>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</si>
  <si>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</si>
  <si>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</si>
  <si>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</si>
  <si>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</si>
  <si>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</si>
  <si>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</si>
  <si>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</si>
  <si>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</si>
  <si>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</si>
  <si>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</si>
  <si>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</si>
  <si>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</si>
  <si>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</si>
  <si>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</si>
  <si>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</si>
  <si>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</si>
  <si>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</si>
  <si>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</si>
  <si>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</si>
  <si>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</si>
  <si>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</si>
  <si>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</si>
  <si>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</si>
  <si>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</si>
  <si>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</si>
  <si>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</si>
  <si>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</si>
  <si>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</si>
  <si>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</si>
  <si>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</si>
  <si>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</si>
  <si>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</si>
  <si>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</si>
  <si>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</si>
  <si>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</si>
  <si>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</si>
  <si>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</si>
  <si>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</si>
  <si>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</si>
  <si>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</si>
  <si>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</si>
  <si>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</si>
  <si>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</si>
  <si>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</si>
  <si>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</si>
  <si>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</si>
  <si>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</si>
  <si>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</si>
  <si>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</si>
  <si>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</si>
  <si>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</si>
  <si>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</si>
  <si>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</si>
  <si>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</si>
  <si>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</si>
  <si>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</si>
  <si>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</si>
  <si>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</si>
  <si>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</si>
  <si>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</si>
  <si>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</si>
  <si>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</si>
  <si>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</si>
  <si>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</si>
  <si>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</si>
  <si>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</si>
  <si>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</si>
  <si>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</si>
  <si>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</si>
  <si>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</si>
  <si>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</si>
  <si>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</si>
  <si>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</si>
  <si>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</si>
  <si>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</si>
  <si>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</si>
  <si>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</si>
  <si>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</si>
  <si>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</si>
  <si>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</si>
  <si>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</si>
  <si>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</si>
  <si>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</si>
  <si>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</si>
  <si>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</si>
  <si>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</si>
  <si>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</si>
  <si>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</si>
  <si>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</si>
  <si>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</si>
  <si>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</si>
  <si>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</si>
  <si>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</si>
  <si>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</si>
  <si>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</si>
  <si>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</si>
  <si>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</si>
  <si>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</si>
  <si>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</si>
  <si>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</si>
  <si>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</si>
  <si>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</si>
  <si>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</si>
  <si>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</si>
  <si>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</si>
  <si>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</si>
  <si>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</si>
  <si>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</si>
  <si>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</si>
  <si>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</si>
  <si>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</si>
  <si>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</si>
  <si>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</si>
  <si>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</si>
  <si>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</si>
  <si>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</si>
  <si>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</si>
  <si>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</si>
  <si>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</si>
  <si>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</si>
  <si>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</si>
  <si>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</si>
  <si>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</si>
  <si>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</si>
  <si>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</si>
  <si>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</si>
  <si>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</si>
  <si>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</si>
  <si>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</si>
  <si>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</si>
  <si>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</si>
  <si>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</si>
  <si>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</si>
  <si>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</si>
  <si>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</si>
  <si>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</si>
  <si>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</si>
  <si>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</si>
  <si>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</si>
  <si>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</si>
  <si>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</si>
  <si>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</si>
  <si>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</si>
  <si>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</si>
  <si>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</si>
  <si>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</si>
  <si>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</si>
  <si>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</si>
  <si>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</si>
  <si>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</si>
  <si>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</si>
  <si>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</si>
  <si>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</si>
  <si>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</si>
  <si>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</si>
  <si>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</si>
  <si>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</si>
  <si>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</si>
  <si>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</si>
  <si>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</si>
  <si>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</si>
  <si>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</si>
  <si>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</si>
  <si>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</si>
  <si>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</si>
  <si>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</si>
  <si>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</si>
  <si>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</si>
  <si>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</si>
  <si>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</si>
  <si>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</si>
  <si>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</si>
  <si>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</si>
  <si>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</si>
  <si>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</si>
  <si>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</si>
  <si>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</si>
  <si>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</si>
  <si>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</si>
  <si>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</si>
  <si>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</si>
  <si>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</si>
  <si>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</si>
  <si>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</si>
  <si>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</si>
  <si>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</si>
  <si>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</si>
  <si>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</si>
  <si>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</si>
  <si>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</si>
  <si>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</si>
  <si>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</si>
  <si>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</si>
  <si>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</si>
  <si>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</si>
  <si>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</si>
  <si>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</si>
  <si>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</si>
  <si>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</si>
  <si>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</si>
  <si>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</si>
  <si>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</si>
  <si>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</si>
  <si>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</si>
  <si>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</si>
  <si>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</si>
  <si>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</si>
  <si>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</si>
  <si>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</si>
  <si>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</si>
  <si>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</si>
  <si>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</si>
  <si>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</si>
  <si>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</si>
  <si>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</si>
  <si>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</si>
  <si>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</si>
  <si>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</si>
  <si>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</si>
  <si>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</si>
  <si>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</si>
  <si>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</si>
  <si>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</si>
  <si>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</si>
  <si>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</si>
  <si>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</si>
  <si>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</si>
  <si>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</si>
  <si>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</si>
  <si>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</si>
  <si>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</si>
  <si>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</si>
  <si>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</si>
  <si>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</si>
  <si>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</si>
  <si>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</si>
  <si>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</si>
  <si>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</si>
  <si>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</si>
  <si>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</si>
  <si>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</si>
  <si>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</si>
  <si>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</si>
  <si>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</si>
  <si>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</si>
  <si>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</si>
  <si>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</si>
  <si>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</si>
  <si>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</si>
  <si>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</si>
  <si>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</si>
  <si>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</si>
  <si>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</si>
  <si>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</si>
  <si>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</si>
  <si>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</si>
  <si>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</si>
  <si>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</si>
  <si>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</si>
  <si>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</si>
  <si>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</si>
  <si>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</si>
  <si>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</si>
  <si>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</si>
  <si>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</si>
  <si>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</si>
  <si>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</si>
  <si>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</si>
  <si>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</si>
  <si>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</si>
  <si>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</si>
  <si>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</si>
  <si>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</si>
  <si>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</si>
  <si>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</si>
  <si>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</si>
  <si>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</si>
  <si>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</si>
  <si>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</si>
  <si>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</si>
  <si>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</si>
  <si>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</si>
  <si>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</si>
  <si>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</si>
  <si>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</si>
  <si>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</si>
  <si>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</si>
  <si>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</si>
  <si>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</si>
  <si>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</si>
  <si>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</si>
  <si>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</si>
  <si>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</si>
  <si>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</si>
  <si>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</si>
  <si>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</si>
  <si>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</si>
  <si>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</si>
  <si>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</si>
  <si>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</si>
  <si>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</si>
  <si>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</si>
  <si>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</si>
  <si>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</si>
  <si>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</si>
  <si>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</si>
  <si>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</si>
  <si>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</si>
  <si>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</si>
  <si>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</si>
  <si>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</si>
  <si>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</si>
  <si>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</si>
  <si>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</si>
  <si>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</si>
  <si>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</si>
  <si>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</si>
  <si>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</si>
  <si>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</si>
  <si>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</si>
  <si>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</si>
  <si>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</si>
  <si>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</si>
  <si>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</si>
  <si>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</si>
  <si>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</si>
  <si>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</si>
  <si>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</si>
  <si>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</si>
  <si>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</si>
  <si>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</si>
  <si>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</si>
  <si>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</si>
  <si>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</si>
  <si>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</si>
  <si>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</si>
  <si>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</si>
  <si>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</si>
  <si>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</si>
  <si>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</si>
  <si>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</si>
  <si>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</si>
  <si>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</si>
  <si>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</si>
  <si>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</si>
  <si>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</si>
  <si>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</si>
  <si>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</si>
  <si>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</si>
  <si>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</si>
  <si>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</si>
  <si>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</si>
  <si>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</si>
  <si>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</si>
  <si>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</si>
  <si>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</si>
  <si>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</si>
  <si>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</si>
  <si>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</si>
  <si>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</si>
  <si>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</si>
  <si>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</si>
  <si>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</si>
  <si>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</si>
  <si>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</si>
  <si>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</si>
  <si>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</si>
  <si>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</si>
  <si>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</si>
  <si>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</si>
  <si>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</si>
  <si>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</si>
  <si>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</si>
  <si>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</si>
  <si>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</si>
  <si>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</si>
  <si>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</si>
  <si>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</si>
  <si>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</si>
  <si>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</si>
  <si>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</si>
  <si>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</si>
  <si>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</si>
  <si>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</si>
  <si>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</si>
  <si>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</si>
  <si>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</si>
  <si>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</si>
  <si>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</si>
  <si>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</si>
  <si>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</si>
  <si>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</si>
  <si>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</si>
  <si>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</si>
  <si>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</si>
  <si>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</si>
  <si>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</si>
  <si>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</si>
  <si>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</si>
  <si>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</si>
  <si>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</si>
  <si>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</si>
  <si>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</si>
  <si>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</si>
  <si>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</si>
  <si>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</si>
  <si>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</si>
  <si>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</si>
  <si>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</si>
  <si>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</si>
  <si>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</si>
  <si>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</si>
  <si>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</si>
  <si>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</si>
  <si>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</si>
  <si>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</si>
  <si>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</si>
  <si>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</si>
  <si>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</si>
  <si>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</si>
  <si>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</si>
  <si>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</si>
  <si>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</si>
  <si>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</si>
  <si>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</si>
  <si>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</si>
  <si>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</si>
  <si>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</si>
  <si>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</si>
  <si>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</si>
  <si>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</si>
  <si>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</si>
  <si>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</si>
  <si>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</si>
  <si>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</si>
  <si>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</si>
  <si>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</si>
  <si>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</si>
  <si>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</si>
  <si>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</si>
  <si>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</si>
  <si>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</si>
  <si>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</si>
  <si>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</si>
  <si>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</si>
  <si>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</si>
  <si>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</si>
  <si>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</si>
  <si>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</si>
  <si>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</si>
  <si>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</si>
  <si>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</si>
  <si>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</si>
  <si>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</si>
  <si>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</si>
  <si>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</si>
  <si>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</si>
  <si>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</si>
  <si>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</si>
  <si>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</si>
  <si>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</si>
  <si>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</si>
  <si>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</si>
  <si>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</si>
  <si>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</si>
  <si>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</si>
  <si>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</si>
  <si>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</si>
  <si>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</si>
  <si>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</si>
  <si>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</si>
  <si>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</si>
  <si>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</si>
  <si>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</si>
  <si>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</si>
  <si>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</si>
  <si>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</si>
  <si>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</si>
  <si>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</si>
  <si>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</si>
  <si>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</si>
  <si>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</si>
  <si>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</si>
  <si>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</si>
  <si>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</si>
  <si>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</si>
  <si>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</si>
  <si>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</si>
  <si>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</si>
  <si>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</si>
  <si>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</si>
  <si>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</si>
  <si>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</si>
  <si>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</si>
  <si>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</si>
  <si>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</si>
  <si>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</si>
  <si>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</si>
  <si>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</si>
  <si>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</si>
  <si>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</si>
  <si>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</si>
  <si>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</si>
  <si>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</si>
  <si>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</si>
  <si>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</si>
  <si>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</si>
  <si>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</si>
  <si>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</si>
  <si>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</si>
  <si>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</si>
  <si>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</si>
  <si>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</si>
  <si>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</si>
  <si>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</si>
  <si>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</si>
  <si>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</si>
  <si>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</si>
  <si>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</si>
  <si>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</si>
  <si>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</si>
  <si>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</si>
  <si>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</si>
  <si>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</si>
  <si>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</si>
  <si>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</si>
  <si>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</si>
  <si>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</si>
  <si>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</si>
  <si>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</si>
  <si>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</si>
  <si>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</si>
  <si>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</si>
  <si>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</si>
  <si>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</si>
  <si>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</si>
  <si>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</si>
  <si>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</si>
  <si>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</si>
  <si>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</si>
  <si>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</si>
  <si>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</si>
  <si>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</si>
  <si>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</si>
  <si>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</si>
  <si>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</si>
  <si>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</si>
  <si>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</si>
  <si>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</si>
  <si>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</si>
  <si>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</si>
  <si>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</si>
  <si>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</si>
  <si>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</si>
  <si>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</si>
  <si>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</si>
  <si>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</si>
  <si>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</si>
  <si>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</si>
  <si>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</si>
  <si>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</si>
  <si>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</si>
  <si>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</si>
  <si>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</si>
  <si>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</si>
  <si>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</si>
  <si>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</si>
  <si>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</si>
  <si>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</si>
  <si>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</si>
  <si>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</si>
  <si>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</si>
  <si>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</si>
  <si>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</si>
  <si>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</si>
  <si>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</si>
  <si>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</si>
  <si>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</si>
  <si>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</si>
  <si>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</si>
  <si>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</si>
  <si>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</si>
  <si>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</si>
  <si>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</si>
  <si>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</si>
  <si>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</si>
  <si>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</si>
  <si>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</si>
  <si>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</si>
  <si>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</si>
  <si>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</si>
  <si>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</si>
  <si>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</si>
  <si>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</si>
  <si>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</si>
  <si>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</si>
  <si>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</si>
  <si>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</si>
  <si>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</si>
  <si>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</si>
  <si>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</si>
  <si>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</si>
  <si>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</si>
  <si>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</si>
  <si>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</si>
  <si>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</si>
  <si>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</si>
  <si>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</si>
  <si>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</si>
  <si>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</si>
  <si>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</si>
  <si>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</si>
  <si>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</si>
  <si>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</si>
  <si>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</si>
  <si>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</si>
  <si>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</si>
  <si>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</si>
  <si>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</si>
  <si>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</si>
  <si>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</si>
  <si>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</si>
  <si>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</si>
  <si>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</si>
  <si>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</si>
  <si>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</si>
  <si>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</si>
  <si>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</si>
  <si>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</si>
  <si>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</si>
  <si>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</si>
  <si>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</si>
  <si>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</si>
  <si>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</si>
  <si>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</si>
  <si>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</si>
  <si>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</si>
  <si>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</si>
  <si>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</si>
  <si>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</si>
  <si>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</si>
  <si>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</si>
  <si>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</si>
  <si>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</si>
  <si>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</si>
  <si>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</si>
  <si>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</si>
  <si>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</si>
  <si>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</si>
  <si>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</si>
  <si>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</si>
  <si>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</si>
  <si>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</si>
  <si>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</si>
  <si>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</si>
  <si>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</si>
  <si>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</si>
  <si>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</si>
  <si>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</si>
  <si>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</si>
  <si>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</si>
  <si>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</si>
  <si>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</si>
  <si>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</si>
  <si>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</si>
  <si>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</si>
  <si>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</si>
  <si>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</si>
  <si>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</si>
  <si>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</si>
  <si>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</si>
  <si>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</si>
  <si>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</si>
  <si>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</si>
  <si>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</si>
  <si>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</si>
  <si>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</si>
  <si>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</si>
  <si>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</si>
  <si>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</si>
  <si>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</si>
  <si>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</si>
  <si>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</si>
  <si>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</si>
  <si>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</si>
  <si>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</si>
  <si>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</si>
  <si>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</si>
  <si>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</si>
  <si>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</si>
  <si>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</si>
  <si>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</si>
  <si>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</si>
  <si>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</si>
  <si>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</si>
  <si>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</si>
  <si>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</si>
  <si>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</si>
  <si>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</si>
  <si>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</si>
  <si>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</si>
  <si>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</si>
  <si>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</si>
  <si>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</si>
  <si>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</si>
  <si>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</si>
  <si>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</si>
  <si>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</si>
  <si>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</si>
  <si>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</si>
  <si>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</si>
  <si>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</si>
  <si>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</si>
  <si>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</si>
  <si>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</si>
  <si>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</si>
  <si>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</si>
  <si>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</si>
  <si>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</si>
  <si>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</si>
  <si>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</si>
  <si>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</si>
  <si>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</si>
  <si>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</si>
  <si>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</si>
  <si>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</si>
  <si>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</si>
  <si>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</si>
  <si>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</si>
  <si>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</si>
  <si>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</si>
  <si>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</si>
  <si>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</si>
  <si>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</si>
  <si>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</si>
  <si>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</si>
  <si>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</si>
  <si>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</si>
  <si>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</si>
  <si>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</si>
  <si>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</si>
  <si>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</si>
  <si>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</si>
  <si>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</si>
  <si>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</si>
  <si>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</si>
  <si>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</si>
  <si>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</si>
  <si>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</si>
  <si>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</si>
  <si>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</si>
  <si>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</si>
  <si>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</si>
  <si>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</si>
  <si>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</si>
  <si>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</si>
  <si>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</si>
  <si>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</si>
  <si>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</si>
  <si>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</si>
  <si>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</si>
  <si>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</si>
  <si>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</si>
  <si>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</si>
  <si>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</si>
  <si>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</si>
  <si>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</si>
  <si>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</si>
  <si>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</si>
  <si>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</si>
  <si>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</si>
  <si>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</si>
  <si>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</si>
  <si>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</si>
  <si>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</si>
  <si>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</si>
  <si>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</si>
  <si>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</si>
  <si>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</si>
  <si>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</si>
  <si>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</si>
  <si>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</si>
  <si>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</si>
  <si>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</si>
  <si>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</si>
  <si>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</si>
  <si>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</si>
  <si>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</si>
  <si>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</si>
  <si>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</si>
  <si>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</si>
  <si>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</si>
  <si>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</si>
  <si>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</si>
  <si>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</si>
  <si>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</si>
  <si>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</si>
  <si>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</si>
  <si>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</si>
  <si>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</si>
  <si>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</si>
  <si>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</si>
  <si>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</si>
  <si>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</si>
  <si>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</si>
  <si>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</si>
  <si>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</si>
  <si>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</si>
  <si>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</si>
  <si>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</si>
  <si>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</si>
  <si>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</si>
  <si>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</si>
  <si>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</si>
  <si>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</si>
  <si>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</si>
  <si>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</si>
  <si>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</si>
  <si>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</si>
  <si>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</si>
  <si>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</si>
  <si>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</si>
  <si>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</si>
  <si>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</si>
  <si>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</si>
  <si>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</si>
  <si>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</si>
  <si>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</si>
  <si>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</si>
  <si>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</si>
  <si>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</si>
  <si>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</si>
  <si>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</si>
  <si>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</si>
  <si>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</si>
  <si>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</si>
  <si>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</si>
  <si>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</si>
  <si>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</si>
  <si>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</si>
  <si>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</si>
  <si>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</si>
  <si>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</si>
  <si>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</si>
  <si>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</si>
  <si>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</si>
  <si>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</si>
  <si>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</si>
  <si>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</si>
  <si>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</si>
  <si>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</si>
  <si>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</si>
  <si>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</si>
  <si>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</si>
  <si>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</si>
  <si>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</si>
  <si>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</si>
  <si>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</si>
  <si>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</si>
  <si>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</si>
  <si>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</si>
  <si>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</si>
  <si>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</si>
  <si>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</si>
  <si>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</si>
  <si>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</si>
  <si>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</si>
  <si>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</si>
  <si>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</si>
  <si>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</si>
  <si>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</si>
  <si>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</si>
  <si>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</si>
  <si>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</si>
  <si>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</si>
  <si>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</si>
  <si>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</si>
  <si>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</si>
  <si>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</si>
  <si>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</si>
  <si>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</si>
  <si>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</si>
  <si>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</si>
  <si>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</si>
  <si>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</si>
  <si>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</si>
  <si>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</si>
  <si>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</si>
  <si>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</si>
  <si>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</si>
  <si>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</si>
  <si>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</si>
  <si>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</si>
  <si>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</si>
  <si>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</si>
  <si>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</si>
  <si>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</si>
  <si>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</si>
  <si>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</si>
  <si>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</si>
  <si>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</si>
  <si>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</si>
  <si>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</si>
  <si>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</si>
  <si>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</si>
  <si>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</si>
  <si>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</si>
  <si>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</si>
  <si>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</si>
  <si>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</si>
  <si>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</si>
  <si>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</si>
  <si>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</si>
  <si>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</si>
  <si>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</si>
  <si>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</si>
  <si>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</si>
  <si>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</si>
  <si>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</si>
  <si>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</si>
  <si>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</si>
  <si>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</si>
  <si>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</si>
  <si>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</si>
  <si>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</si>
  <si>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</si>
  <si>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</si>
  <si>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</si>
  <si>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</si>
  <si>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</si>
  <si>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</si>
  <si>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</si>
  <si>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</si>
  <si>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</si>
  <si>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</si>
  <si>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</si>
  <si>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</si>
  <si>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</si>
  <si>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</si>
  <si>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</si>
  <si>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</si>
  <si>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</si>
  <si>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</si>
  <si>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</si>
  <si>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</si>
  <si>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</si>
  <si>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</si>
  <si>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</si>
  <si>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</si>
  <si>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</si>
  <si>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</si>
  <si>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</si>
  <si>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</si>
  <si>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</si>
  <si>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</si>
  <si>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</si>
  <si>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</si>
  <si>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</si>
  <si>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</si>
  <si>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</si>
  <si>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</si>
  <si>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</si>
  <si>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</si>
  <si>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</si>
  <si>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</si>
  <si>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</si>
  <si>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</si>
  <si>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</si>
  <si>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</si>
  <si>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</si>
  <si>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</si>
  <si>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</si>
  <si>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</si>
  <si>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</si>
  <si>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</si>
  <si>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</si>
  <si>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</si>
  <si>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</si>
  <si>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</si>
  <si>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</si>
  <si>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</si>
  <si>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</si>
  <si>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</si>
  <si>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</si>
  <si>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</si>
  <si>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</si>
  <si>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</si>
  <si>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</si>
  <si>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</si>
  <si>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</si>
  <si>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</si>
  <si>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</si>
  <si>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</si>
  <si>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</si>
  <si>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</si>
  <si>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</si>
  <si>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</si>
  <si>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</si>
  <si>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</si>
  <si>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</si>
  <si>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</si>
  <si>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</si>
  <si>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</si>
  <si>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</si>
  <si>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</si>
  <si>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</si>
  <si>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</si>
  <si>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</si>
  <si>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</si>
  <si>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</si>
  <si>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</si>
  <si>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</si>
  <si>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</si>
  <si>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</si>
  <si>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</si>
  <si>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</si>
  <si>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</si>
  <si>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</si>
  <si>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</si>
  <si>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</si>
  <si>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</si>
  <si>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</si>
  <si>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</si>
  <si>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</si>
  <si>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</si>
  <si>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</si>
  <si>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</si>
  <si>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</si>
  <si>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</si>
  <si>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</si>
  <si>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</si>
  <si>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</si>
  <si>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</si>
  <si>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</si>
  <si>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</si>
  <si>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</si>
  <si>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</si>
  <si>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</si>
  <si>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</si>
  <si>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</si>
  <si>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</si>
  <si>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</si>
  <si>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</si>
  <si>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</si>
  <si>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</si>
  <si>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</si>
  <si>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</si>
  <si>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</si>
  <si>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</si>
  <si>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</si>
  <si>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</si>
  <si>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</si>
  <si>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</si>
  <si>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</si>
  <si>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</si>
  <si>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</si>
  <si>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</si>
  <si>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</si>
  <si>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</si>
  <si>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</si>
  <si>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</si>
  <si>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</si>
  <si>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</si>
  <si>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</si>
  <si>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</si>
  <si>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</si>
  <si>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</si>
  <si>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</si>
  <si>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</si>
  <si>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</si>
  <si>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</si>
  <si>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</si>
  <si>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</si>
  <si>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</si>
  <si>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</si>
  <si>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</si>
  <si>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</si>
  <si>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</si>
  <si>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</si>
  <si>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</si>
  <si>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</si>
  <si>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</si>
  <si>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</si>
  <si>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</si>
  <si>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</si>
  <si>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</si>
  <si>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</si>
  <si>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</si>
  <si>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</si>
  <si>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</si>
  <si>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</si>
  <si>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</si>
  <si>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</si>
  <si>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</si>
  <si>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</si>
  <si>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</si>
  <si>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</si>
  <si>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</si>
  <si>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</si>
  <si>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</si>
  <si>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</si>
  <si>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</si>
  <si>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</si>
  <si>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</si>
  <si>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</si>
  <si>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</si>
  <si>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</si>
  <si>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</si>
  <si>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</si>
  <si>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</si>
  <si>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</si>
  <si>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</si>
  <si>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</si>
  <si>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</si>
  <si>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</si>
  <si>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</si>
  <si>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</si>
  <si>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</si>
  <si>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</si>
  <si>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</si>
  <si>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</si>
  <si>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</si>
  <si>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</si>
  <si>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</si>
  <si>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</si>
  <si>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</si>
  <si>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</si>
  <si>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</si>
  <si>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</si>
  <si>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</si>
  <si>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</si>
  <si>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</si>
  <si>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</si>
  <si>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</si>
  <si>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</si>
  <si>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</si>
  <si>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</si>
  <si>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</si>
  <si>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</si>
  <si>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</si>
  <si>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</si>
  <si>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</si>
  <si>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</si>
  <si>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</si>
  <si>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</si>
  <si>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</si>
  <si>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</si>
  <si>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</si>
  <si>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</si>
  <si>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</si>
  <si>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</si>
  <si>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</si>
  <si>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</si>
  <si>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</si>
  <si>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</si>
  <si>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</si>
  <si>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</si>
  <si>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</si>
  <si>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</si>
  <si>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</si>
  <si>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</si>
  <si>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</si>
  <si>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</si>
  <si>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</si>
  <si>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</si>
  <si>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</si>
  <si>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</si>
  <si>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</si>
  <si>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</si>
  <si>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</si>
  <si>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</si>
  <si>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</si>
  <si>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</si>
  <si>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</si>
  <si>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</si>
  <si>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</si>
  <si>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</si>
  <si>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</si>
  <si>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</si>
  <si>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</si>
  <si>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</si>
  <si>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</si>
  <si>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</si>
  <si>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</si>
  <si>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</si>
  <si>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</si>
  <si>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</si>
  <si>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</si>
  <si>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</si>
  <si>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</si>
  <si>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</si>
  <si>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</si>
  <si>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</si>
  <si>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</si>
  <si>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</si>
  <si>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</si>
  <si>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</si>
  <si>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</si>
  <si>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</si>
  <si>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</si>
  <si>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</si>
  <si>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</si>
  <si>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</si>
  <si>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</si>
  <si>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</si>
  <si>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</si>
  <si>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</si>
  <si>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</si>
  <si>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</si>
  <si>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</si>
  <si>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</si>
  <si>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</si>
  <si>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</si>
  <si>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</si>
  <si>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</si>
  <si>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</si>
  <si>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</si>
  <si>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</si>
  <si>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</si>
  <si>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</si>
  <si>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</si>
  <si>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</si>
  <si>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</si>
  <si>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</si>
  <si>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</si>
  <si>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</si>
  <si>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</si>
  <si>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</si>
  <si>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</si>
  <si>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</si>
  <si>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</si>
  <si>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</si>
  <si>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</si>
  <si>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</si>
  <si>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</si>
  <si>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</si>
  <si>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</si>
  <si>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</si>
  <si>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</si>
  <si>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</si>
  <si>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</si>
  <si>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</si>
  <si>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</si>
  <si>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</si>
  <si>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</si>
  <si>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</si>
  <si>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</si>
  <si>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</si>
  <si>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</si>
  <si>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</si>
  <si>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</si>
  <si>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</si>
  <si>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</si>
  <si>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</si>
  <si>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</si>
  <si>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</si>
  <si>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</si>
  <si>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</si>
  <si>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</si>
  <si>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</si>
  <si>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</si>
  <si>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</si>
  <si>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</si>
  <si>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</si>
  <si>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</si>
  <si>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</si>
  <si>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</si>
  <si>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</si>
  <si>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</si>
  <si>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</si>
  <si>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</si>
  <si>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</si>
  <si>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</si>
  <si>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</si>
  <si>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</si>
  <si>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</si>
  <si>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</si>
  <si>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</si>
  <si>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</si>
  <si>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</si>
  <si>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</si>
  <si>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</si>
  <si>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</si>
  <si>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</si>
  <si>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</si>
  <si>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</si>
  <si>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</si>
  <si>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</si>
  <si>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</si>
  <si>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</si>
  <si>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</si>
  <si>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</si>
  <si>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</si>
  <si>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</si>
  <si>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</si>
  <si>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</si>
  <si>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</si>
  <si>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</si>
  <si>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</si>
  <si>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</si>
  <si>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</si>
  <si>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</si>
  <si>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</si>
  <si>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</si>
  <si>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</si>
  <si>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</si>
  <si>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</si>
  <si>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</si>
  <si>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</si>
  <si>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</si>
  <si>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</si>
  <si>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</si>
  <si>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</si>
  <si>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</si>
  <si>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</si>
  <si>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</si>
  <si>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</si>
  <si>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</si>
  <si>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</si>
  <si>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</si>
  <si>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</si>
  <si>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</si>
  <si>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</si>
  <si>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</si>
  <si>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</si>
  <si>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</si>
  <si>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</si>
  <si>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</si>
  <si>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</si>
  <si>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</si>
  <si>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</si>
  <si>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</si>
  <si>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</si>
  <si>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</si>
  <si>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</si>
  <si>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</si>
  <si>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</si>
  <si>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</si>
  <si>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</si>
  <si>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</si>
  <si>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</si>
  <si>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</si>
  <si>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</si>
  <si>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</si>
  <si>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</si>
  <si>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</si>
  <si>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</si>
  <si>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</si>
  <si>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</si>
  <si>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</si>
  <si>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</si>
  <si>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</si>
  <si>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</si>
  <si>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</si>
  <si>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</si>
  <si>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</si>
  <si>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</si>
  <si>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</si>
  <si>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</si>
  <si>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</si>
  <si>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</si>
  <si>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</si>
  <si>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</si>
  <si>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</si>
  <si>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</si>
  <si>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</si>
  <si>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</si>
  <si>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</si>
  <si>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</si>
  <si>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</si>
  <si>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</si>
  <si>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</si>
  <si>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</si>
  <si>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</si>
  <si>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</si>
  <si>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</si>
  <si>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</si>
  <si>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</si>
  <si>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</si>
  <si>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</si>
  <si>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</si>
  <si>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</si>
  <si>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</si>
  <si>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</si>
  <si>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</si>
  <si>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</si>
  <si>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</si>
  <si>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</si>
  <si>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</si>
  <si>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</si>
  <si>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</si>
  <si>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</si>
  <si>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</si>
  <si>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</si>
  <si>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</si>
  <si>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</si>
  <si>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</si>
  <si>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</si>
  <si>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</si>
  <si>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</si>
  <si>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</si>
  <si>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</si>
  <si>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</si>
  <si>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</si>
  <si>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</si>
  <si>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</si>
  <si>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</si>
  <si>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</si>
  <si>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</si>
  <si>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</si>
  <si>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</si>
  <si>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</si>
  <si>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</si>
  <si>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</si>
  <si>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</si>
  <si>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</si>
  <si>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</si>
  <si>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</si>
  <si>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</si>
  <si>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</si>
  <si>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</si>
  <si>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</si>
  <si>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</si>
  <si>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</si>
  <si>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</si>
  <si>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</si>
  <si>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</si>
  <si>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</si>
  <si>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</si>
  <si>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</si>
  <si>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</si>
  <si>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</si>
  <si>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</si>
  <si>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</si>
  <si>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</si>
  <si>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</si>
  <si>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</si>
  <si>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</si>
  <si>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</si>
  <si>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</si>
  <si>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</si>
  <si>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</si>
  <si>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</si>
  <si>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</si>
  <si>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</si>
  <si>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</si>
  <si>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</si>
  <si>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</si>
  <si>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</si>
  <si>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</si>
  <si>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</si>
  <si>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</si>
  <si>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</si>
  <si>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</si>
  <si>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</si>
  <si>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</si>
  <si>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</si>
  <si>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</si>
  <si>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</si>
  <si>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</si>
  <si>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</si>
  <si>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</si>
  <si>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</si>
  <si>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</si>
  <si>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</si>
  <si>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</si>
  <si>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</si>
  <si>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</si>
  <si>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</si>
  <si>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</si>
  <si>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</si>
  <si>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</si>
  <si>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</si>
  <si>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</si>
  <si>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</si>
  <si>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</si>
  <si>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</si>
  <si>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</si>
  <si>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</si>
  <si>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</si>
  <si>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</si>
  <si>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</si>
  <si>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</si>
  <si>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</si>
  <si>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</si>
  <si>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</si>
  <si>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</si>
  <si>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</si>
  <si>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</si>
  <si>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</si>
  <si>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</si>
  <si>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</si>
  <si>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</si>
  <si>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</si>
  <si>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</si>
  <si>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</si>
  <si>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</si>
  <si>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</si>
  <si>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</si>
  <si>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</si>
  <si>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</si>
  <si>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</si>
  <si>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</si>
  <si>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</si>
  <si>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</si>
  <si>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</si>
  <si>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</si>
  <si>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</si>
  <si>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</si>
  <si>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</si>
  <si>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</si>
  <si>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</si>
  <si>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</si>
  <si>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</si>
  <si>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</si>
  <si>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</si>
  <si>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</si>
  <si>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</si>
  <si>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</si>
  <si>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</si>
  <si>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</si>
  <si>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</si>
  <si>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</si>
  <si>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</si>
  <si>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</si>
  <si>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</si>
  <si>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</si>
  <si>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</si>
  <si>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</si>
  <si>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</si>
  <si>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</si>
  <si>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</si>
  <si>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</si>
  <si>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</si>
  <si>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</si>
  <si>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</si>
  <si>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</si>
  <si>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</si>
  <si>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</si>
  <si>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</si>
  <si>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</si>
  <si>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</si>
  <si>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</si>
  <si>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</si>
  <si>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</si>
  <si>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</si>
  <si>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</si>
  <si>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</si>
  <si>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</si>
  <si>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</si>
  <si>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</si>
  <si>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</si>
  <si>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</si>
  <si>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</si>
  <si>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</si>
  <si>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</si>
  <si>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</si>
  <si>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</si>
  <si>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</si>
  <si>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</si>
  <si>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</si>
  <si>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</si>
  <si>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</si>
  <si>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</si>
  <si>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</si>
  <si>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</si>
  <si>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</si>
  <si>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</si>
  <si>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</si>
  <si>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</si>
  <si>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</si>
  <si>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</si>
  <si>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</si>
  <si>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</si>
  <si>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</si>
  <si>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</si>
  <si>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</si>
  <si>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</si>
  <si>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</si>
  <si>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</si>
  <si>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</si>
  <si>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</si>
  <si>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</si>
  <si>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</si>
  <si>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</si>
  <si>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</si>
  <si>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</si>
  <si>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</si>
  <si>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</si>
  <si>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</si>
  <si>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</si>
  <si>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</si>
  <si>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</si>
  <si>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</si>
  <si>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</si>
  <si>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</si>
  <si>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</si>
  <si>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</si>
  <si>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</si>
  <si>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</si>
  <si>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</si>
  <si>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</si>
  <si>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</si>
  <si>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</si>
  <si>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</si>
  <si>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</si>
  <si>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</si>
  <si>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</si>
  <si>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</si>
  <si>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</si>
  <si>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</si>
  <si>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</si>
  <si>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</si>
  <si>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</si>
  <si>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</si>
  <si>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</si>
  <si>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</si>
  <si>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</si>
  <si>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</si>
  <si>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</si>
  <si>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</si>
  <si>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</si>
  <si>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</si>
  <si>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</si>
  <si>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</si>
  <si>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</si>
  <si>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</si>
  <si>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</si>
  <si>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</si>
  <si>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</si>
  <si>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</si>
  <si>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</si>
  <si>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</si>
  <si>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</si>
  <si>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</si>
  <si>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</si>
  <si>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</si>
  <si>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</si>
  <si>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</si>
  <si>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</si>
  <si>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</si>
  <si>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</si>
  <si>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</si>
  <si>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</si>
  <si>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</si>
  <si>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</si>
  <si>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</si>
  <si>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</si>
  <si>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</si>
  <si>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</si>
  <si>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</si>
  <si>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</si>
  <si>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</si>
  <si>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</si>
  <si>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</si>
  <si>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</si>
  <si>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</si>
  <si>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</si>
  <si>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</si>
  <si>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</si>
  <si>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</si>
  <si>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</si>
  <si>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</si>
  <si>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</si>
  <si>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</si>
  <si>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</si>
  <si>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</si>
  <si>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</si>
  <si>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</si>
  <si>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</si>
  <si>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</si>
  <si>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</si>
  <si>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</si>
  <si>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</si>
  <si>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</si>
  <si>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</si>
  <si>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</si>
  <si>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</si>
  <si>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</si>
  <si>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</si>
  <si>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</si>
  <si>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</si>
  <si>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</si>
  <si>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</si>
  <si>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</si>
  <si>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</si>
  <si>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</si>
  <si>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</si>
  <si>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</si>
  <si>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</si>
  <si>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</si>
  <si>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</si>
  <si>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</si>
  <si>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</si>
  <si>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</si>
  <si>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</si>
  <si>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</si>
  <si>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</si>
  <si>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</si>
  <si>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</si>
  <si>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</si>
  <si>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</si>
  <si>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</si>
  <si>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</si>
  <si>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</si>
  <si>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</si>
  <si>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</si>
  <si>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</si>
  <si>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</si>
  <si>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</si>
  <si>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</si>
  <si>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</si>
  <si>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</si>
  <si>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</si>
  <si>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</si>
  <si>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</si>
  <si>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</si>
  <si>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</si>
  <si>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</si>
  <si>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</si>
  <si>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</si>
  <si>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</si>
  <si>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</si>
  <si>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</si>
  <si>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</si>
  <si>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</si>
  <si>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</si>
  <si>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</si>
  <si>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</si>
  <si>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</si>
  <si>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</si>
  <si>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</si>
  <si>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</si>
  <si>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</si>
  <si>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</si>
  <si>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</si>
  <si>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</si>
  <si>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</si>
  <si>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</si>
  <si>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</si>
  <si>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</si>
  <si>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</si>
  <si>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</si>
  <si>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</si>
  <si>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</si>
  <si>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</si>
  <si>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</si>
  <si>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</si>
  <si>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</si>
  <si>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</si>
  <si>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</si>
  <si>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</si>
  <si>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</si>
  <si>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</si>
  <si>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</si>
  <si>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</si>
  <si>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</si>
  <si>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</si>
  <si>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</si>
  <si>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</si>
  <si>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</si>
  <si>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</si>
  <si>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</si>
  <si>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</si>
  <si>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</si>
  <si>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</si>
  <si>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</si>
  <si>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</si>
  <si>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</si>
  <si>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</si>
  <si>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</si>
  <si>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</si>
  <si>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</si>
  <si>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</si>
  <si>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</si>
  <si>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</si>
  <si>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</si>
  <si>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</si>
  <si>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</si>
  <si>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</si>
  <si>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</si>
  <si>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</si>
  <si>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</si>
  <si>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</si>
  <si>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</si>
  <si>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</si>
  <si>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</si>
  <si>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</si>
  <si>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</si>
  <si>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</si>
  <si>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</si>
  <si>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</si>
  <si>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</si>
  <si>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</si>
  <si>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</si>
  <si>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</si>
  <si>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</si>
  <si>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</si>
  <si>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</si>
  <si>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</si>
  <si>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</si>
  <si>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</si>
  <si>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</si>
  <si>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</si>
  <si>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</si>
  <si>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</si>
  <si>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</si>
  <si>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</si>
  <si>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</si>
  <si>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</si>
  <si>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</si>
  <si>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</si>
  <si>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</si>
  <si>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</si>
  <si>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</si>
  <si>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</si>
  <si>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</si>
  <si>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</si>
  <si>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</si>
  <si>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</si>
  <si>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</si>
  <si>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</si>
  <si>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</si>
  <si>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</si>
  <si>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</si>
  <si>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</si>
  <si>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</si>
  <si>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</si>
  <si>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</si>
  <si>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</si>
  <si>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</si>
  <si>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</si>
  <si>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</si>
  <si>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</si>
  <si>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</si>
  <si>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</si>
  <si>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</si>
  <si>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</si>
  <si>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</si>
  <si>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</si>
  <si>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</si>
  <si>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</si>
  <si>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</si>
  <si>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</si>
  <si>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</si>
  <si>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</si>
  <si>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</si>
  <si>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</si>
  <si>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</si>
  <si>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</si>
  <si>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</si>
  <si>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</si>
  <si>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</si>
  <si>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</si>
  <si>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</si>
  <si>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</si>
  <si>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</si>
  <si>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</si>
  <si>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</si>
  <si>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</si>
  <si>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</si>
  <si>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</si>
  <si>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</si>
  <si>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</si>
  <si>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</si>
  <si>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</si>
  <si>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</si>
  <si>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</si>
  <si>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</si>
  <si>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</si>
  <si>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</si>
  <si>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</si>
  <si>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</si>
  <si>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</si>
  <si>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</si>
  <si>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</si>
  <si>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</si>
  <si>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</si>
  <si>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</si>
  <si>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</si>
  <si>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</si>
  <si>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</si>
  <si>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</si>
  <si>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</si>
  <si>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</si>
  <si>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</si>
  <si>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</si>
  <si>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</si>
  <si>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</si>
  <si>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</si>
  <si>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</si>
  <si>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</si>
  <si>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</si>
  <si>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</si>
  <si>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</si>
  <si>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</si>
  <si>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</si>
  <si>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</si>
  <si>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</si>
  <si>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</si>
  <si>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</si>
  <si>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</si>
  <si>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</si>
  <si>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</si>
  <si>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</si>
  <si>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</si>
  <si>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</si>
  <si>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</si>
  <si>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</si>
  <si>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</si>
  <si>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</si>
  <si>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</si>
  <si>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</si>
  <si>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</si>
  <si>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</si>
  <si>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</si>
  <si>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</si>
  <si>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</si>
  <si>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</si>
  <si>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</si>
  <si>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</si>
  <si>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</si>
  <si>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</si>
  <si>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</si>
  <si>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</si>
  <si>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</si>
  <si>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</si>
  <si>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</si>
  <si>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</si>
  <si>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</si>
  <si>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</si>
  <si>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</si>
  <si>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</si>
  <si>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</si>
  <si>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</si>
  <si>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</si>
  <si>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</si>
  <si>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</si>
  <si>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</si>
  <si>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</si>
  <si>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</si>
  <si>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</si>
  <si>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</si>
  <si>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</si>
  <si>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</si>
  <si>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</si>
  <si>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</si>
  <si>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</si>
  <si>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</si>
  <si>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</si>
  <si>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</si>
  <si>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</si>
  <si>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</si>
  <si>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</si>
  <si>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</si>
  <si>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</si>
  <si>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</si>
  <si>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</si>
  <si>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</si>
  <si>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</si>
  <si>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</si>
  <si>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</si>
  <si>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</si>
  <si>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</si>
  <si>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</si>
  <si>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</si>
  <si>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</si>
  <si>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</si>
  <si>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</si>
  <si>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</si>
  <si>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</si>
  <si>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</si>
  <si>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</si>
  <si>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</si>
  <si>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</si>
  <si>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</si>
  <si>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</si>
  <si>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</si>
  <si>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</si>
  <si>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</si>
  <si>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</si>
  <si>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</si>
  <si>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</si>
  <si>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</si>
  <si>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</si>
  <si>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</si>
  <si>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</si>
  <si>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</si>
  <si>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</si>
  <si>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</si>
  <si>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</si>
  <si>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</si>
  <si>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</si>
  <si>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</si>
  <si>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</si>
  <si>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</si>
  <si>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</si>
  <si>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</si>
  <si>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</si>
  <si>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</si>
  <si>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</si>
  <si>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</si>
  <si>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</si>
  <si>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</si>
  <si>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</si>
  <si>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</si>
  <si>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</si>
  <si>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</si>
  <si>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</si>
  <si>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</si>
  <si>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</si>
  <si>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</si>
  <si>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</si>
  <si>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</si>
  <si>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</si>
  <si>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</si>
  <si>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</si>
  <si>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</si>
  <si>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</si>
  <si>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</si>
  <si>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</si>
  <si>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</si>
  <si>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</si>
  <si>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</si>
  <si>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</si>
  <si>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</si>
  <si>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</si>
  <si>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</si>
  <si>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</si>
  <si>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</si>
  <si>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</si>
  <si>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</si>
  <si>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</si>
  <si>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</si>
  <si>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</si>
  <si>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</si>
  <si>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</si>
  <si>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</si>
  <si>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</si>
  <si>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</si>
  <si>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</si>
  <si>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</si>
  <si>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</si>
  <si>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</si>
  <si>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</si>
  <si>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</si>
  <si>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</si>
  <si>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</si>
  <si>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</si>
  <si>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</si>
  <si>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</si>
  <si>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</si>
  <si>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</si>
  <si>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</si>
  <si>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</si>
  <si>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</si>
  <si>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</si>
  <si>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</si>
  <si>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</si>
  <si>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</si>
  <si>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</si>
  <si>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</si>
  <si>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</si>
  <si>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</si>
  <si>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</si>
  <si>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</si>
  <si>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</si>
  <si>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</si>
  <si>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</si>
  <si>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</si>
  <si>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</si>
  <si>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</si>
  <si>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</si>
  <si>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</si>
  <si>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</si>
  <si>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</si>
  <si>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</si>
  <si>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</si>
  <si>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</si>
  <si>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</si>
  <si>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</si>
  <si>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</si>
  <si>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</si>
  <si>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</si>
  <si>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</si>
  <si>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</si>
  <si>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</si>
  <si>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</si>
  <si>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</si>
  <si>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</si>
  <si>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</si>
  <si>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</si>
  <si>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</si>
  <si>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</si>
  <si>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</si>
  <si>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</si>
  <si>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</si>
  <si>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</si>
  <si>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</si>
  <si>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</si>
  <si>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</si>
  <si>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</si>
  <si>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</si>
  <si>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</si>
  <si>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</si>
  <si>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</si>
  <si>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</si>
  <si>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</si>
  <si>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</si>
  <si>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</si>
  <si>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</si>
  <si>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</si>
  <si>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</si>
  <si>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</si>
  <si>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</si>
  <si>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</si>
  <si>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</si>
  <si>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</si>
  <si>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</si>
  <si>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</si>
  <si>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</si>
  <si>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</si>
  <si>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</si>
  <si>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</si>
  <si>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</si>
  <si>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</si>
  <si>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</si>
  <si>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</si>
  <si>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</si>
  <si>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</si>
  <si>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</si>
  <si>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</si>
  <si>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</si>
  <si>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</si>
  <si>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</si>
  <si>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</si>
  <si>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</si>
  <si>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</si>
  <si>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</si>
  <si>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</si>
  <si>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</si>
  <si>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</si>
  <si>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</si>
  <si>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</si>
  <si>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</si>
  <si>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</si>
  <si>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</si>
  <si>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</si>
  <si>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</si>
  <si>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</si>
  <si>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</si>
  <si>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</si>
  <si>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</si>
  <si>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</si>
  <si>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</si>
  <si>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</si>
  <si>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</si>
  <si>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</si>
  <si>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</si>
  <si>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</si>
  <si>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</si>
  <si>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</si>
  <si>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</si>
  <si>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</si>
  <si>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</si>
  <si>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</si>
  <si>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</si>
  <si>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</si>
  <si>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</si>
  <si>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</si>
  <si>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</si>
  <si>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</si>
  <si>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</si>
  <si>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</si>
  <si>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</si>
  <si>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</si>
  <si>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</si>
  <si>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</si>
  <si>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</si>
  <si>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</si>
  <si>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</si>
  <si>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</si>
  <si>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</si>
  <si>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</si>
  <si>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</si>
  <si>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</si>
  <si>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</si>
  <si>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</si>
  <si>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</si>
  <si>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</si>
  <si>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</si>
  <si>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</si>
  <si>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</si>
  <si>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</si>
  <si>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</si>
  <si>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</si>
  <si>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</si>
  <si>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</si>
  <si>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</si>
  <si>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</si>
  <si>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</si>
  <si>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</si>
  <si>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</si>
  <si>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</si>
  <si>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</si>
  <si>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</si>
  <si>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</si>
  <si>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</si>
  <si>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</si>
  <si>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</si>
  <si>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</si>
  <si>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</si>
  <si>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</si>
  <si>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</si>
  <si>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</si>
  <si>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</si>
  <si>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</si>
  <si>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</si>
  <si>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</si>
  <si>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</si>
  <si>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</si>
  <si>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</si>
  <si>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</si>
  <si>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</si>
  <si>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</si>
  <si>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</si>
  <si>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</si>
  <si>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</si>
  <si>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</si>
  <si>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</si>
  <si>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</si>
  <si>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</si>
  <si>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</si>
  <si>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</si>
  <si>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</si>
  <si>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</si>
  <si>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</si>
  <si>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</si>
  <si>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</si>
  <si>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</si>
  <si>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</si>
  <si>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</si>
  <si>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</si>
  <si>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</si>
  <si>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</si>
  <si>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</si>
  <si>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</si>
  <si>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</si>
  <si>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</si>
  <si>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</si>
  <si>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</si>
  <si>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</si>
  <si>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</si>
  <si>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</si>
  <si>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</si>
  <si>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</si>
  <si>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</si>
  <si>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</si>
  <si>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</si>
  <si>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</si>
  <si>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</si>
  <si>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</si>
  <si>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</si>
  <si>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</si>
  <si>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</si>
  <si>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</si>
  <si>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</si>
  <si>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</si>
  <si>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</si>
  <si>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</si>
  <si>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</si>
  <si>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</si>
  <si>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</si>
  <si>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</si>
  <si>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</si>
  <si>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</si>
  <si>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</si>
  <si>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</si>
  <si>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</si>
  <si>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</si>
  <si>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</si>
  <si>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</si>
  <si>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</si>
  <si>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</si>
  <si>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</si>
  <si>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</si>
  <si>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</si>
  <si>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</si>
  <si>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</si>
  <si>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</si>
  <si>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</si>
  <si>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</si>
  <si>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</si>
  <si>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</si>
  <si>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</si>
  <si>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</si>
  <si>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</si>
  <si>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</si>
  <si>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</si>
  <si>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</si>
  <si>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</si>
  <si>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</si>
  <si>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</si>
  <si>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</si>
  <si>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</si>
  <si>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</si>
  <si>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</si>
  <si>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</si>
  <si>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</si>
  <si>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</si>
  <si>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</si>
  <si>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</si>
  <si>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</si>
  <si>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</si>
  <si>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</si>
  <si>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</si>
  <si>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</si>
  <si>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</si>
  <si>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</si>
  <si>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</si>
  <si>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</si>
  <si>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</si>
  <si>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</si>
  <si>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</si>
  <si>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</si>
  <si>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</si>
  <si>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</si>
  <si>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</si>
  <si>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</si>
  <si>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</si>
  <si>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</si>
  <si>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</si>
  <si>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</si>
  <si>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</si>
  <si>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</si>
  <si>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</si>
  <si>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</si>
  <si>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</si>
  <si>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</si>
  <si>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</si>
  <si>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</si>
  <si>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</si>
  <si>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</si>
  <si>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</si>
  <si>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</si>
  <si>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</si>
  <si>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</si>
  <si>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</si>
  <si>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</si>
  <si>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</si>
  <si>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</si>
  <si>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</si>
  <si>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</si>
  <si>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</si>
  <si>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</si>
  <si>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</si>
  <si>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</si>
  <si>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</si>
  <si>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</si>
  <si>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</si>
  <si>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</si>
  <si>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</si>
  <si>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</si>
  <si>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</si>
  <si>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</si>
  <si>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</si>
  <si>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</si>
  <si>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</si>
  <si>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</si>
  <si>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</si>
  <si>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</si>
  <si>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</si>
  <si>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</si>
  <si>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</si>
  <si>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</si>
  <si>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</si>
  <si>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</si>
  <si>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</si>
  <si>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</si>
  <si>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</si>
  <si>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</si>
  <si>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</si>
  <si>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</si>
  <si>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</si>
  <si>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</si>
  <si>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</si>
  <si>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</si>
  <si>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</si>
  <si>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</si>
  <si>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</si>
  <si>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</si>
  <si>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</si>
  <si>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</si>
  <si>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</si>
  <si>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</si>
  <si>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</si>
  <si>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</si>
  <si>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</si>
  <si>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</si>
  <si>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</si>
  <si>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</si>
  <si>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</si>
  <si>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</si>
  <si>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</si>
  <si>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</si>
  <si>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</si>
  <si>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</si>
  <si>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</si>
  <si>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</si>
  <si>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</si>
  <si>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</si>
  <si>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</si>
  <si>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</si>
  <si>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</si>
  <si>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</si>
  <si>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</si>
  <si>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</si>
  <si>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</si>
  <si>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</si>
  <si>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</si>
  <si>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</si>
  <si>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</si>
  <si>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</si>
  <si>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</si>
  <si>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</si>
  <si>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</si>
  <si>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</si>
  <si>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</si>
  <si>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</si>
  <si>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</si>
  <si>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</si>
  <si>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</si>
  <si>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</si>
  <si>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</si>
  <si>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</si>
  <si>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</si>
  <si>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</si>
  <si>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</si>
  <si>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</si>
  <si>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</si>
  <si>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</si>
  <si>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</si>
  <si>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</si>
  <si>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</si>
  <si>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</si>
  <si>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</si>
  <si>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</si>
  <si>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</si>
  <si>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</si>
  <si>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</si>
  <si>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</si>
  <si>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</si>
  <si>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</si>
  <si>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</si>
  <si>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</si>
  <si>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</si>
  <si>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</si>
  <si>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</si>
  <si>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</si>
  <si>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</si>
  <si>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</si>
  <si>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</si>
  <si>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</si>
  <si>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</si>
  <si>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</si>
  <si>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</si>
  <si>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</si>
  <si>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</si>
  <si>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</si>
  <si>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</si>
  <si>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</si>
  <si>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</si>
  <si>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</si>
  <si>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</si>
  <si>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</si>
  <si>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</si>
  <si>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</si>
  <si>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</si>
  <si>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</si>
  <si>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</si>
  <si>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</si>
  <si>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</si>
  <si>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</si>
  <si>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</si>
  <si>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</si>
  <si>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</si>
  <si>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</si>
  <si>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</si>
  <si>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</si>
  <si>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</si>
  <si>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</si>
  <si>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</si>
  <si>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</si>
  <si>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</si>
  <si>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</si>
  <si>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</si>
  <si>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</si>
  <si>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</si>
  <si>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</si>
  <si>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</si>
  <si>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</si>
  <si>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</si>
  <si>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</si>
  <si>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</si>
  <si>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</si>
  <si>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</si>
  <si>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</si>
  <si>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</si>
  <si>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</si>
  <si>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</si>
  <si>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</si>
  <si>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</si>
  <si>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</si>
  <si>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</si>
  <si>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</si>
  <si>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</si>
  <si>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</si>
  <si>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</si>
  <si>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</si>
  <si>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</si>
  <si>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</si>
  <si>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</si>
  <si>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</si>
  <si>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</si>
  <si>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</si>
  <si>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</si>
  <si>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</si>
  <si>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</si>
  <si>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</si>
  <si>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</si>
  <si>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</si>
  <si>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</si>
  <si>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</si>
  <si>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</si>
  <si>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</si>
  <si>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</si>
  <si>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</si>
  <si>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</si>
  <si>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</si>
  <si>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</si>
  <si>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</si>
  <si>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</si>
  <si>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</si>
  <si>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</si>
  <si>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</si>
  <si>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</si>
  <si>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</si>
  <si>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</si>
  <si>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</si>
  <si>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</si>
  <si>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</si>
  <si>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</si>
  <si>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</si>
  <si>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</si>
  <si>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</si>
  <si>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</si>
  <si>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</si>
  <si>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</si>
  <si>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</si>
  <si>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</si>
  <si>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</si>
  <si>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</si>
  <si>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</si>
  <si>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</si>
  <si>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</si>
  <si>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</si>
  <si>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</si>
  <si>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</si>
  <si>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</si>
  <si>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</si>
  <si>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</si>
  <si>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</si>
  <si>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</si>
  <si>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</si>
  <si>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</si>
  <si>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</si>
  <si>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</si>
  <si>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</si>
  <si>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</si>
  <si>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</si>
  <si>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</si>
  <si>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</si>
  <si>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</si>
  <si>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</si>
  <si>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</si>
  <si>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</si>
  <si>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</si>
  <si>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</si>
  <si>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</si>
  <si>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</si>
  <si>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</si>
  <si>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</si>
  <si>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</si>
  <si>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</si>
  <si>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</si>
  <si>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</si>
  <si>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</si>
  <si>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</si>
  <si>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</si>
  <si>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</si>
  <si>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</si>
  <si>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</si>
  <si>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</si>
  <si>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</si>
  <si>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</si>
  <si>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</si>
  <si>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</si>
  <si>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</si>
  <si>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</si>
  <si>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</si>
  <si>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</si>
  <si>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</si>
  <si>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</si>
  <si>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</si>
  <si>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</si>
  <si>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</si>
  <si>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</si>
  <si>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</si>
  <si>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</si>
  <si>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</si>
  <si>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</si>
  <si>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</si>
  <si>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</si>
  <si>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</si>
  <si>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</si>
  <si>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</si>
  <si>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</si>
  <si>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</si>
  <si>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</si>
  <si>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</si>
  <si>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</si>
  <si>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</si>
  <si>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</si>
  <si>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</si>
  <si>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</si>
  <si>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</si>
  <si>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</si>
  <si>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</si>
  <si>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</si>
  <si>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</si>
  <si>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</si>
  <si>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</si>
  <si>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</si>
  <si>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</si>
  <si>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</si>
  <si>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</si>
  <si>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</si>
  <si>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</si>
  <si>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</si>
  <si>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</si>
  <si>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</si>
  <si>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</si>
  <si>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</si>
  <si>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</si>
  <si>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</si>
  <si>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</si>
  <si>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</si>
  <si>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</si>
  <si>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</si>
  <si>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</si>
  <si>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</si>
  <si>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</si>
  <si>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</si>
  <si>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</si>
  <si>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</si>
  <si>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</si>
  <si>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</si>
  <si>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</si>
  <si>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</si>
  <si>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</si>
  <si>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</si>
  <si>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</si>
  <si>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</si>
  <si>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</si>
  <si>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</si>
  <si>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</si>
  <si>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</si>
  <si>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</si>
  <si>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</si>
  <si>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</si>
  <si>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</si>
  <si>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</si>
  <si>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</si>
  <si>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</si>
  <si>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</si>
  <si>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</si>
  <si>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</si>
  <si>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</si>
  <si>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</si>
  <si>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</si>
  <si>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</si>
  <si>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</si>
  <si>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</si>
  <si>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</si>
  <si>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</si>
  <si>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</si>
  <si>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</si>
  <si>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</si>
  <si>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</si>
  <si>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</si>
  <si>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</si>
  <si>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</si>
  <si>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</si>
  <si>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</si>
  <si>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</si>
  <si>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</si>
  <si>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</si>
  <si>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</si>
  <si>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</si>
  <si>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</si>
  <si>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</si>
  <si>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</si>
  <si>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</si>
  <si>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</si>
  <si>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</si>
  <si>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</si>
  <si>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</si>
  <si>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</si>
  <si>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</si>
  <si>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</si>
  <si>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</si>
  <si>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</si>
  <si>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</si>
  <si>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</si>
  <si>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</si>
  <si>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</si>
  <si>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</si>
  <si>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</si>
  <si>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</si>
  <si>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</si>
  <si>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</si>
  <si>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</si>
  <si>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</si>
  <si>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</si>
  <si>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</si>
  <si>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</si>
  <si>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</si>
  <si>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</si>
  <si>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</si>
  <si>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</si>
  <si>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</si>
  <si>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</si>
  <si>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</si>
  <si>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</si>
  <si>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</si>
  <si>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</si>
  <si>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</si>
  <si>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</si>
  <si>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</si>
  <si>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</si>
  <si>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</si>
  <si>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</si>
  <si>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</si>
  <si>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</si>
  <si>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</si>
  <si>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</si>
  <si>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</si>
  <si>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</si>
  <si>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</si>
  <si>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</si>
  <si>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</si>
  <si>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</si>
  <si>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</si>
  <si>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</si>
  <si>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</si>
  <si>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</si>
  <si>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</si>
  <si>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</si>
  <si>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</si>
  <si>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</si>
  <si>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</si>
  <si>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</si>
  <si>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</si>
  <si>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</si>
  <si>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</si>
  <si>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</si>
  <si>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</si>
  <si>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</si>
  <si>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</si>
  <si>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</si>
  <si>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</si>
  <si>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</si>
  <si>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</si>
  <si>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</si>
  <si>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</si>
  <si>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</si>
  <si>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</si>
  <si>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</si>
  <si>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</si>
  <si>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</si>
  <si>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</si>
  <si>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</si>
  <si>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</si>
  <si>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</si>
  <si>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</si>
  <si>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</si>
  <si>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</si>
  <si>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</si>
  <si>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</si>
  <si>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</si>
  <si>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</si>
  <si>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</si>
  <si>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</si>
  <si>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</si>
  <si>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</si>
  <si>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</si>
  <si>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</si>
  <si>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</si>
  <si>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</si>
  <si>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</si>
  <si>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</si>
  <si>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</si>
  <si>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</si>
  <si>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</si>
  <si>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</si>
  <si>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</si>
  <si>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</si>
  <si>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</si>
  <si>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</si>
  <si>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</si>
  <si>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</si>
  <si>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</si>
  <si>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</si>
  <si>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</si>
  <si>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</si>
  <si>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</si>
  <si>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</si>
  <si>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</si>
  <si>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</si>
  <si>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</si>
  <si>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</si>
  <si>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</si>
  <si>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</si>
  <si>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</si>
  <si>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</si>
  <si>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</si>
  <si>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</si>
  <si>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</si>
  <si>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</si>
  <si>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</si>
  <si>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</si>
  <si>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</si>
  <si>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</si>
  <si>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</si>
  <si>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</si>
  <si>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</si>
  <si>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</si>
  <si>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</si>
  <si>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</si>
  <si>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</si>
  <si>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</si>
  <si>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</si>
  <si>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</si>
  <si>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</si>
  <si>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</si>
  <si>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</si>
  <si>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</si>
  <si>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</si>
  <si>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</si>
  <si>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</si>
  <si>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</si>
  <si>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</si>
  <si>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</si>
  <si>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</si>
  <si>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</si>
  <si>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</si>
  <si>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</si>
  <si>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</si>
  <si>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</si>
  <si>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</si>
  <si>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</si>
  <si>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</si>
  <si>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</si>
  <si>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</si>
  <si>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</si>
  <si>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</si>
  <si>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</si>
  <si>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</si>
  <si>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</si>
  <si>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</si>
  <si>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</si>
  <si>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</si>
  <si>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</si>
  <si>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</si>
  <si>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</si>
  <si>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</si>
  <si>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</si>
  <si>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</si>
  <si>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</si>
  <si>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</si>
  <si>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</si>
  <si>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</si>
  <si>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</si>
  <si>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</si>
  <si>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</si>
  <si>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</si>
  <si>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</si>
  <si>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</si>
  <si>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</si>
  <si>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</si>
  <si>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</si>
  <si>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</si>
  <si>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</si>
  <si>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</si>
  <si>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</si>
  <si>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</si>
  <si>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</si>
  <si>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</si>
  <si>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</si>
  <si>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</si>
  <si>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</si>
  <si>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</si>
  <si>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</si>
  <si>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</si>
  <si>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</si>
  <si>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</si>
  <si>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</si>
  <si>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</si>
  <si>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</si>
  <si>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</si>
  <si>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</si>
  <si>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</si>
  <si>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</si>
  <si>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</si>
  <si>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</si>
  <si>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</si>
  <si>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</si>
  <si>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</si>
  <si>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</si>
  <si>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</si>
  <si>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</si>
  <si>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</si>
  <si>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</si>
  <si>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</si>
  <si>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</si>
  <si>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</si>
  <si>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</si>
  <si>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</si>
  <si>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</si>
  <si>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</si>
  <si>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</si>
  <si>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</si>
  <si>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</si>
  <si>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</si>
  <si>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</si>
  <si>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</si>
  <si>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</si>
  <si>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</si>
  <si>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</si>
  <si>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</si>
  <si>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</si>
  <si>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</si>
  <si>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</si>
  <si>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</si>
  <si>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</si>
  <si>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</si>
  <si>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</si>
  <si>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</si>
  <si>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</si>
  <si>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</si>
  <si>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</si>
  <si>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</si>
  <si>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</si>
  <si>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</si>
  <si>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</si>
  <si>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</si>
  <si>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</si>
  <si>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</si>
  <si>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</si>
  <si>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</si>
  <si>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</si>
  <si>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</si>
  <si>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</si>
  <si>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</si>
  <si>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</si>
  <si>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</si>
  <si>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</si>
  <si>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</si>
  <si>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</si>
  <si>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</si>
  <si>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</si>
  <si>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</si>
  <si>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</si>
  <si>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</si>
  <si>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</si>
  <si>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</si>
  <si>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</si>
  <si>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</si>
  <si>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</si>
  <si>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</si>
  <si>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</si>
  <si>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</si>
  <si>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</si>
  <si>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</si>
  <si>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</si>
  <si>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</si>
  <si>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</si>
  <si>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</si>
  <si>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</si>
  <si>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</si>
  <si>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</si>
  <si>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</si>
  <si>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</si>
  <si>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</si>
  <si>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</si>
  <si>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</si>
  <si>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</si>
  <si>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</si>
  <si>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</si>
  <si>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</si>
  <si>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</si>
  <si>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</si>
  <si>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</si>
  <si>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</si>
  <si>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</si>
  <si>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</si>
  <si>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</si>
  <si>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</si>
  <si>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</si>
  <si>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</si>
  <si>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</si>
  <si>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</si>
  <si>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</si>
  <si>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</si>
  <si>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</si>
  <si>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</si>
  <si>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</si>
  <si>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</si>
  <si>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</si>
  <si>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</si>
  <si>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</si>
  <si>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</si>
  <si>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</si>
  <si>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</si>
  <si>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</si>
  <si>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</si>
  <si>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</si>
  <si>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</si>
  <si>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</si>
  <si>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</si>
  <si>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</si>
  <si>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</si>
  <si>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</si>
  <si>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</si>
  <si>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</si>
  <si>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</si>
  <si>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</si>
  <si>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</si>
  <si>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</si>
  <si>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</si>
  <si>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</si>
  <si>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</si>
  <si>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</si>
  <si>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</si>
  <si>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</si>
  <si>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</si>
  <si>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</si>
  <si>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</si>
  <si>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</si>
  <si>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</si>
  <si>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</si>
  <si>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</si>
  <si>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</si>
  <si>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</si>
  <si>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</si>
  <si>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</si>
  <si>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</si>
  <si>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</si>
  <si>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</si>
  <si>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</si>
  <si>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</si>
  <si>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</si>
  <si>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</si>
  <si>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</si>
  <si>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</si>
  <si>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</si>
  <si>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</si>
  <si>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</si>
  <si>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</si>
  <si>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</si>
  <si>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</si>
  <si>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</si>
  <si>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</si>
  <si>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</si>
  <si>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</si>
  <si>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</si>
  <si>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</si>
  <si>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</si>
  <si>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</si>
  <si>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</si>
  <si>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</si>
  <si>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</si>
  <si>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</si>
  <si>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</si>
  <si>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</si>
  <si>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</si>
  <si>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</si>
  <si>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</si>
  <si>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</si>
  <si>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</si>
  <si>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</si>
  <si>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</si>
  <si>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</si>
  <si>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</si>
  <si>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</si>
  <si>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</si>
  <si>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</si>
  <si>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</si>
  <si>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</si>
  <si>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</si>
  <si>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</si>
  <si>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</si>
  <si>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</si>
  <si>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</si>
  <si>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</si>
  <si>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</si>
  <si>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</si>
  <si>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</si>
  <si>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</si>
  <si>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</si>
  <si>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</si>
  <si>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</si>
  <si>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</si>
  <si>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</si>
  <si>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</si>
  <si>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</si>
  <si>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</si>
  <si>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</si>
  <si>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</si>
  <si>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</si>
  <si>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</si>
  <si>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</si>
  <si>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</si>
  <si>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</si>
  <si>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</si>
  <si>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</si>
  <si>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</si>
  <si>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</si>
  <si>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</si>
  <si>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</si>
  <si>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</si>
  <si>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</si>
  <si>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</si>
  <si>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</si>
  <si>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</si>
  <si>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</si>
  <si>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</si>
  <si>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</si>
  <si>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</si>
  <si>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</si>
  <si>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</si>
  <si>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</si>
  <si>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</si>
  <si>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</si>
  <si>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</si>
  <si>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</si>
  <si>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</si>
  <si>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</si>
  <si>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</si>
  <si>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</si>
  <si>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</si>
  <si>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</si>
  <si>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</si>
  <si>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</si>
  <si>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</si>
  <si>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</si>
  <si>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</si>
  <si>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</si>
  <si>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</si>
  <si>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</si>
  <si>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</si>
  <si>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</si>
  <si>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</si>
  <si>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</si>
  <si>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</si>
  <si>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</si>
  <si>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</si>
  <si>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</si>
  <si>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</si>
  <si>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</si>
  <si>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</si>
  <si>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</si>
  <si>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</si>
  <si>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</si>
  <si>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</si>
  <si>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</si>
  <si>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</si>
  <si>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</si>
  <si>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</si>
  <si>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</si>
  <si>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</si>
  <si>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</si>
  <si>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</si>
  <si>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</si>
  <si>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</si>
  <si>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</si>
  <si>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</si>
  <si>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</si>
  <si>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</si>
  <si>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</si>
  <si>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</si>
  <si>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</si>
  <si>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</si>
  <si>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</si>
  <si>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</si>
  <si>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</si>
  <si>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</si>
  <si>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</si>
  <si>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</si>
  <si>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</si>
  <si>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</si>
  <si>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</si>
  <si>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</si>
  <si>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</si>
  <si>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</si>
  <si>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</si>
  <si>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</si>
  <si>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</si>
  <si>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</si>
  <si>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</si>
  <si>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</si>
  <si>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</si>
  <si>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</si>
  <si>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</si>
  <si>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</si>
  <si>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</si>
  <si>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</si>
  <si>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</si>
  <si>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</si>
  <si>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</si>
  <si>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</si>
  <si>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</si>
  <si>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</si>
  <si>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</si>
  <si>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</si>
  <si>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</si>
  <si>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</si>
  <si>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</si>
  <si>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</si>
  <si>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</si>
  <si>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</si>
  <si>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</si>
  <si>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</si>
  <si>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</si>
  <si>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</si>
  <si>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</si>
  <si>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</si>
  <si>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</si>
  <si>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</si>
  <si>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</si>
  <si>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</si>
  <si>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</si>
  <si>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</si>
  <si>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</si>
  <si>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</si>
  <si>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</si>
  <si>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</si>
  <si>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</si>
  <si>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</si>
  <si>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</si>
  <si>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</si>
  <si>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</si>
  <si>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</si>
  <si>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</si>
  <si>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</si>
  <si>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</si>
  <si>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</si>
  <si>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</si>
  <si>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</si>
  <si>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</si>
  <si>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</si>
  <si>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</si>
  <si>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</si>
  <si>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</si>
  <si>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</si>
  <si>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</si>
  <si>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</si>
  <si>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</si>
  <si>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</si>
  <si>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</si>
  <si>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</si>
  <si>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</si>
  <si>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</si>
  <si>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</si>
  <si>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</si>
  <si>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</si>
  <si>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</si>
  <si>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</si>
  <si>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</si>
  <si>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</si>
  <si>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</si>
  <si>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</si>
  <si>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</si>
  <si>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</si>
  <si>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</si>
  <si>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</si>
  <si>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</si>
  <si>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</si>
  <si>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</si>
  <si>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</si>
  <si>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</si>
  <si>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</si>
  <si>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</si>
  <si>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</si>
  <si>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</si>
  <si>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</si>
  <si>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</si>
  <si>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</si>
  <si>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</si>
  <si>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</si>
  <si>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</si>
  <si>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</si>
  <si>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</si>
  <si>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</si>
  <si>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</si>
  <si>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</si>
  <si>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</si>
  <si>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</si>
  <si>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</si>
  <si>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</si>
  <si>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</si>
  <si>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</si>
  <si>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</si>
  <si>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</si>
  <si>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</si>
  <si>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</si>
  <si>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</si>
  <si>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</si>
  <si>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</si>
  <si>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</si>
  <si>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</si>
  <si>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</si>
  <si>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</si>
  <si>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</si>
  <si>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</si>
  <si>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</si>
  <si>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</si>
  <si>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</si>
  <si>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</si>
  <si>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</si>
  <si>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</si>
  <si>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</si>
  <si>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</si>
  <si>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</si>
  <si>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</si>
  <si>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</si>
  <si>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</si>
  <si>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</si>
  <si>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</si>
  <si>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</si>
  <si>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</si>
  <si>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</si>
  <si>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</si>
  <si>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</si>
  <si>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</si>
  <si>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</si>
  <si>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</si>
  <si>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</si>
  <si>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</si>
  <si>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</si>
  <si>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</si>
  <si>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</si>
  <si>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</si>
  <si>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</si>
  <si>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</si>
  <si>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</si>
  <si>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</si>
  <si>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</si>
  <si>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</si>
  <si>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</si>
  <si>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</si>
  <si>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</si>
  <si>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</si>
  <si>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</si>
  <si>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</si>
  <si>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</si>
  <si>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</si>
  <si>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</si>
  <si>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</si>
  <si>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</si>
  <si>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</si>
  <si>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</si>
  <si>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</si>
  <si>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</si>
  <si>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</si>
  <si>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</si>
  <si>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</si>
  <si>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</si>
  <si>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</si>
  <si>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</si>
  <si>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</si>
  <si>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</si>
  <si>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</si>
  <si>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</si>
  <si>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</si>
  <si>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</si>
  <si>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</si>
  <si>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</si>
  <si>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</si>
  <si>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</si>
  <si>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</si>
  <si>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</si>
  <si>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</si>
  <si>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</si>
  <si>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</si>
  <si>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</si>
  <si>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</si>
  <si>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</si>
  <si>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</si>
  <si>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</si>
  <si>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</si>
  <si>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</si>
  <si>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</si>
  <si>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</si>
  <si>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</si>
  <si>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</si>
  <si>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</si>
  <si>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</si>
  <si>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</si>
  <si>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</si>
  <si>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</si>
  <si>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</si>
  <si>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</si>
  <si>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</si>
  <si>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</si>
  <si>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</si>
  <si>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</si>
  <si>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</si>
  <si>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</si>
  <si>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</si>
  <si>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</si>
  <si>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</si>
  <si>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</si>
  <si>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</si>
  <si>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</si>
  <si>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</si>
  <si>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</si>
  <si>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</si>
  <si>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</si>
  <si>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</si>
  <si>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</si>
  <si>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</si>
  <si>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</si>
  <si>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</si>
  <si>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</si>
  <si>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</si>
  <si>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</si>
  <si>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</si>
  <si>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</si>
  <si>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</si>
  <si>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</si>
  <si>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</si>
  <si>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</si>
  <si>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</si>
  <si>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</si>
  <si>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</si>
  <si>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</si>
  <si>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</si>
  <si>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</si>
  <si>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</si>
  <si>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</si>
  <si>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</si>
  <si>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</si>
  <si>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</si>
  <si>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</si>
  <si>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</si>
  <si>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</si>
  <si>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</si>
  <si>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</si>
  <si>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</si>
  <si>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</si>
  <si>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</si>
  <si>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</si>
  <si>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</si>
  <si>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</si>
  <si>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</si>
  <si>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</si>
  <si>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</si>
  <si>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</si>
  <si>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</si>
  <si>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</si>
  <si>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</si>
  <si>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</si>
  <si>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</si>
  <si>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</si>
  <si>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</si>
  <si>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</si>
  <si>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</si>
  <si>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</si>
  <si>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</si>
  <si>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</si>
  <si>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</si>
  <si>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</si>
  <si>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</si>
  <si>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</si>
  <si>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</si>
  <si>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</si>
  <si>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</si>
  <si>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</si>
  <si>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</si>
  <si>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</si>
  <si>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</si>
  <si>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</si>
  <si>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</si>
  <si>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</si>
  <si>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</si>
  <si>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</si>
  <si>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</si>
  <si>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</si>
  <si>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</si>
  <si>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</si>
  <si>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</si>
  <si>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</si>
  <si>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</si>
  <si>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</si>
  <si>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</si>
  <si>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</si>
  <si>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</si>
  <si>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</si>
  <si>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</si>
  <si>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</si>
  <si>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</si>
  <si>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</si>
  <si>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</si>
  <si>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</si>
  <si>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</si>
  <si>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</si>
  <si>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</si>
  <si>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</si>
  <si>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</si>
  <si>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</si>
  <si>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</si>
  <si>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</si>
  <si>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</si>
  <si>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</si>
  <si>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</si>
  <si>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</si>
  <si>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</si>
  <si>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</si>
  <si>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</si>
  <si>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</si>
  <si>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</si>
  <si>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</si>
  <si>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</si>
  <si>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</si>
  <si>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</si>
  <si>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</si>
  <si>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</si>
  <si>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</si>
  <si>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</si>
  <si>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</si>
  <si>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</si>
  <si>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</si>
  <si>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</si>
  <si>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</si>
  <si>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</si>
  <si>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</si>
  <si>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</si>
  <si>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</si>
  <si>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</si>
  <si>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</si>
  <si>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</si>
  <si>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</si>
  <si>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</si>
  <si>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</si>
  <si>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</si>
  <si>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</si>
  <si>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</si>
  <si>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</si>
  <si>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</si>
  <si>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</si>
  <si>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</si>
  <si>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</si>
  <si>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</si>
  <si>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</si>
  <si>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</si>
  <si>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</si>
  <si>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</si>
  <si>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</si>
  <si>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</si>
  <si>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</si>
  <si>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</si>
  <si>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</si>
  <si>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</si>
  <si>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</si>
  <si>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</si>
  <si>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</si>
  <si>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</si>
  <si>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</si>
  <si>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</si>
  <si>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</si>
  <si>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</si>
  <si>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</si>
  <si>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</si>
  <si>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</si>
  <si>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</si>
  <si>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</si>
  <si>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</si>
  <si>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</si>
  <si>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</si>
  <si>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</si>
  <si>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</si>
  <si>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</si>
  <si>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</si>
  <si>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</si>
  <si>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</si>
  <si>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</si>
  <si>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</si>
  <si>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</si>
  <si>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</si>
  <si>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</si>
  <si>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</si>
  <si>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</si>
  <si>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</si>
  <si>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</si>
  <si>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</si>
  <si>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</si>
  <si>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</si>
  <si>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</si>
  <si>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</si>
  <si>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</si>
  <si>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</si>
  <si>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</si>
  <si>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</si>
  <si>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</si>
  <si>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</si>
  <si>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</si>
  <si>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</si>
  <si>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</si>
  <si>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</si>
  <si>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</si>
  <si>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</si>
  <si>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</si>
  <si>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</si>
  <si>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</si>
  <si>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</si>
  <si>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</si>
  <si>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</si>
  <si>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</si>
  <si>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</si>
  <si>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</si>
  <si>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</si>
  <si>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</si>
  <si>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</si>
  <si>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</si>
  <si>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</si>
  <si>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</si>
  <si>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</si>
  <si>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</si>
  <si>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</si>
  <si>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</si>
  <si>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</si>
  <si>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</si>
  <si>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</si>
  <si>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</si>
  <si>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</si>
  <si>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</si>
  <si>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</si>
  <si>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</si>
  <si>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</si>
  <si>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</si>
  <si>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</si>
  <si>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</si>
  <si>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</si>
  <si>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</si>
  <si>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</si>
  <si>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</si>
  <si>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</si>
  <si>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</si>
  <si>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</si>
  <si>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</si>
  <si>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</si>
  <si>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</si>
  <si>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</si>
  <si>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</si>
  <si>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</si>
  <si>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</si>
  <si>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</si>
  <si>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</si>
  <si>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</si>
  <si>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</si>
  <si>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</si>
  <si>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</si>
  <si>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</si>
  <si>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</si>
  <si>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</si>
  <si>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</si>
  <si>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</si>
  <si>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</si>
  <si>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</si>
  <si>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</si>
  <si>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</si>
  <si>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</si>
  <si>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</si>
  <si>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</si>
  <si>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</si>
  <si>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</si>
  <si>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</si>
  <si>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</si>
  <si>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</si>
  <si>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</si>
  <si>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</si>
  <si>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</si>
  <si>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</si>
  <si>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</si>
  <si>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</si>
  <si>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</si>
  <si>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</si>
  <si>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</si>
  <si>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</si>
  <si>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</si>
  <si>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</si>
  <si>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</si>
  <si>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</si>
  <si>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</si>
  <si>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</si>
  <si>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</si>
  <si>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</si>
  <si>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</si>
  <si>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</si>
  <si>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</si>
  <si>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</si>
  <si>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</si>
  <si>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</si>
  <si>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</si>
  <si>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</si>
  <si>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</si>
  <si>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</si>
  <si>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</si>
  <si>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</si>
  <si>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</si>
  <si>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</si>
  <si>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</si>
  <si>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</si>
  <si>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</si>
  <si>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</si>
  <si>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</si>
  <si>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</si>
  <si>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</si>
  <si>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</si>
  <si>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</si>
  <si>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</si>
  <si>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</si>
  <si>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</si>
  <si>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</si>
  <si>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</si>
  <si>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</si>
  <si>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</si>
  <si>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</si>
  <si>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</si>
  <si>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</si>
  <si>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</si>
  <si>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</si>
  <si>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</si>
  <si>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</si>
  <si>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</si>
  <si>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</si>
  <si>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</si>
  <si>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</si>
  <si>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</si>
  <si>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</si>
  <si>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</si>
  <si>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</si>
  <si>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</si>
  <si>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</si>
  <si>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</si>
  <si>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</si>
  <si>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</si>
  <si>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</si>
  <si>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</si>
  <si>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</si>
  <si>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</si>
  <si>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</si>
  <si>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</si>
  <si>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</si>
  <si>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</si>
  <si>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</si>
  <si>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</si>
  <si>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</si>
  <si>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</si>
  <si>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</si>
  <si>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</si>
  <si>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</si>
  <si>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</si>
  <si>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</si>
  <si>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</si>
  <si>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</si>
  <si>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</si>
  <si>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</si>
  <si>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</si>
  <si>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</si>
  <si>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</si>
  <si>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</si>
  <si>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</si>
  <si>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</si>
  <si>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</si>
  <si>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</si>
  <si>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</si>
  <si>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</si>
  <si>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</si>
  <si>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</si>
  <si>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</si>
  <si>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</si>
  <si>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</si>
  <si>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</si>
  <si>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</si>
  <si>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</si>
  <si>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</si>
  <si>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</si>
  <si>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</si>
  <si>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</si>
  <si>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</si>
  <si>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</si>
  <si>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</si>
  <si>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</si>
  <si>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</si>
  <si>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</si>
  <si>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</si>
  <si>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</si>
  <si>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</si>
  <si>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</si>
  <si>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</si>
  <si>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</si>
  <si>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</si>
  <si>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</si>
  <si>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</si>
  <si>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</si>
  <si>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</si>
  <si>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</si>
  <si>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</si>
  <si>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</si>
  <si>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</si>
  <si>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</si>
  <si>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</si>
  <si>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</si>
  <si>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</si>
  <si>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</si>
  <si>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</si>
  <si>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</si>
  <si>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</si>
  <si>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</si>
  <si>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</si>
  <si>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</si>
  <si>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</si>
  <si>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</si>
  <si>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</si>
  <si>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</si>
  <si>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</si>
  <si>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</si>
  <si>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</si>
  <si>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</si>
  <si>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</si>
  <si>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</si>
  <si>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</si>
  <si>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</si>
  <si>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</si>
  <si>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</si>
  <si>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</si>
  <si>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</si>
  <si>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</si>
  <si>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</si>
  <si>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</si>
  <si>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</si>
  <si>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</si>
  <si>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</si>
  <si>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</si>
  <si>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</si>
  <si>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</si>
  <si>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</si>
  <si>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</si>
  <si>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</si>
  <si>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</si>
  <si>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</si>
  <si>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</si>
  <si>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</si>
  <si>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</si>
  <si>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</si>
  <si>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</si>
  <si>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</si>
  <si>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</si>
  <si>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</si>
  <si>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</si>
  <si>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</si>
  <si>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</si>
  <si>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</si>
  <si>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</si>
  <si>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</si>
  <si>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</si>
  <si>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</si>
  <si>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</si>
  <si>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</si>
  <si>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</si>
  <si>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</si>
  <si>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</si>
  <si>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</si>
  <si>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</si>
  <si>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</si>
  <si>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</si>
  <si>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</si>
  <si>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</si>
  <si>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</si>
  <si>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</si>
  <si>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</si>
  <si>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</si>
  <si>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</si>
  <si>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</si>
  <si>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</si>
  <si>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</si>
  <si>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</si>
  <si>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</si>
  <si>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</si>
  <si>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</si>
  <si>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</si>
  <si>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</si>
  <si>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</si>
  <si>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</si>
  <si>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</si>
  <si>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</si>
  <si>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</si>
  <si>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</si>
  <si>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</si>
  <si>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</si>
  <si>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</si>
  <si>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</si>
  <si>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</si>
  <si>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</si>
  <si>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</si>
  <si>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</si>
  <si>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</si>
  <si>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</si>
  <si>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</si>
  <si>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</si>
  <si>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</si>
  <si>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</si>
  <si>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</si>
  <si>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</si>
  <si>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</si>
  <si>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</si>
  <si>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</si>
  <si>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</si>
  <si>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</si>
  <si>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</si>
  <si>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</si>
  <si>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</si>
  <si>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</si>
  <si>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</si>
  <si>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</si>
  <si>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</si>
  <si>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</si>
  <si>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</si>
  <si>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</si>
  <si>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</si>
  <si>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</si>
  <si>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</si>
  <si>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</si>
  <si>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</si>
  <si>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</si>
  <si>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</si>
  <si>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</si>
  <si>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</si>
  <si>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</si>
  <si>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</si>
  <si>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</si>
  <si>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</si>
  <si>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</si>
  <si>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</si>
  <si>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</si>
  <si>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</si>
  <si>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</si>
  <si>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</si>
  <si>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</si>
  <si>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</si>
  <si>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</si>
  <si>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</si>
  <si>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</si>
  <si>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</si>
  <si>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</si>
  <si>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</si>
  <si>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</si>
  <si>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</si>
  <si>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</si>
  <si>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</si>
  <si>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</si>
  <si>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</si>
  <si>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</si>
  <si>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</si>
  <si>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</si>
  <si>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</si>
  <si>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</si>
  <si>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</si>
  <si>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</si>
  <si>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</si>
  <si>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</si>
  <si>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</si>
  <si>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</si>
  <si>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</si>
  <si>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</si>
  <si>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</si>
  <si>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</si>
  <si>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</si>
  <si>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</si>
  <si>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</si>
  <si>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</si>
  <si>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</si>
  <si>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</si>
  <si>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</si>
  <si>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</si>
  <si>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</si>
  <si>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</si>
  <si>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</si>
  <si>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</si>
  <si>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</si>
  <si>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</si>
  <si>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</si>
  <si>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</si>
  <si>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</si>
  <si>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</si>
  <si>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</si>
  <si>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</si>
  <si>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</si>
  <si>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</si>
  <si>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</si>
  <si>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</si>
  <si>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</si>
  <si>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</si>
  <si>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</si>
  <si>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</si>
  <si>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</si>
  <si>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</si>
  <si>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</si>
  <si>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</si>
  <si>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</si>
  <si>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</si>
  <si>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</si>
  <si>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</si>
  <si>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</si>
  <si>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</si>
  <si>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</si>
  <si>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</si>
  <si>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</si>
  <si>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</si>
  <si>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</si>
  <si>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</si>
  <si>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</si>
  <si>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</si>
  <si>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</si>
  <si>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</si>
  <si>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</si>
  <si>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</si>
  <si>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</si>
  <si>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</si>
  <si>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</si>
  <si>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</si>
  <si>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</si>
  <si>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</si>
  <si>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</si>
  <si>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</si>
  <si>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</si>
  <si>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</si>
  <si>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</si>
  <si>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</si>
  <si>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</si>
  <si>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</si>
  <si>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</si>
  <si>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</si>
  <si>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</si>
  <si>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</si>
  <si>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</si>
  <si>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</si>
  <si>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</si>
  <si>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</si>
  <si>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</si>
  <si>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</si>
  <si>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</si>
  <si>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</si>
  <si>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</si>
  <si>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</si>
  <si>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</si>
  <si>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</si>
  <si>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</si>
  <si>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</si>
  <si>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</si>
  <si>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</si>
  <si>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</si>
  <si>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</si>
  <si>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</si>
  <si>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</si>
  <si>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</si>
  <si>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</si>
  <si>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</si>
  <si>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</si>
  <si>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</si>
  <si>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</si>
  <si>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</si>
  <si>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</si>
  <si>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</si>
  <si>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</si>
  <si>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</si>
  <si>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</si>
  <si>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</si>
  <si>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</si>
  <si>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</si>
  <si>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</si>
  <si>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</si>
  <si>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</si>
  <si>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</si>
  <si>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</si>
  <si>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</si>
  <si>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</si>
  <si>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</si>
  <si>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</si>
  <si>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</si>
  <si>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</si>
  <si>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</si>
  <si>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</si>
  <si>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</si>
  <si>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</si>
  <si>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</si>
  <si>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</si>
  <si>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</si>
  <si>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</si>
  <si>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</si>
  <si>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</si>
  <si>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</si>
  <si>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</si>
  <si>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</si>
  <si>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</si>
  <si>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</si>
  <si>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</si>
  <si>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</si>
  <si>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</si>
  <si>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</si>
  <si>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</si>
  <si>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</si>
  <si>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</si>
  <si>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</si>
  <si>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</si>
  <si>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</si>
  <si>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</si>
  <si>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</si>
  <si>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</si>
  <si>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</si>
  <si>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</si>
  <si>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</si>
  <si>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</si>
  <si>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</si>
  <si>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</si>
  <si>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</si>
  <si>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</si>
  <si>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</si>
  <si>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</si>
  <si>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</si>
  <si>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</si>
  <si>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</si>
  <si>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</si>
  <si>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</si>
  <si>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</si>
  <si>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</si>
  <si>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</si>
  <si>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</si>
  <si>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</si>
  <si>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</si>
  <si>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</si>
  <si>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</si>
  <si>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</si>
  <si>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</si>
  <si>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</si>
  <si>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</si>
  <si>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</si>
  <si>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</si>
  <si>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</si>
  <si>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</si>
  <si>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</si>
  <si>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</si>
  <si>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</si>
  <si>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</si>
  <si>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</si>
  <si>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</si>
  <si>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</si>
  <si>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</si>
  <si>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</si>
  <si>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</si>
  <si>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</si>
  <si>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</si>
  <si>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</si>
  <si>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</si>
  <si>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</si>
  <si>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</si>
  <si>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</si>
  <si>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</si>
  <si>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</si>
  <si>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</si>
  <si>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</si>
  <si>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</si>
  <si>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</si>
  <si>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</si>
  <si>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</si>
  <si>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</si>
  <si>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</si>
  <si>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</si>
  <si>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</si>
  <si>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</si>
  <si>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</si>
  <si>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</si>
  <si>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</si>
  <si>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</si>
  <si>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</si>
  <si>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</si>
  <si>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</si>
  <si>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</si>
  <si>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</si>
  <si>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</si>
  <si>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</si>
  <si>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</si>
  <si>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</si>
  <si>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</si>
  <si>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</si>
  <si>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</si>
  <si>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</si>
  <si>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</si>
  <si>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</si>
  <si>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</si>
  <si>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</si>
  <si>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</si>
  <si>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</si>
  <si>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</si>
  <si>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</si>
  <si>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</si>
  <si>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</si>
  <si>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</si>
  <si>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</si>
  <si>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</si>
  <si>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</si>
  <si>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</si>
  <si>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</si>
  <si>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</si>
  <si>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</si>
  <si>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</si>
  <si>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</si>
  <si>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</si>
  <si>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</si>
  <si>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</si>
  <si>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</si>
  <si>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</si>
  <si>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</si>
  <si>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</si>
  <si>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</si>
  <si>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</si>
  <si>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</si>
  <si>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</si>
  <si>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</si>
  <si>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</si>
  <si>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</si>
  <si>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</si>
  <si>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</si>
  <si>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</si>
  <si>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</si>
  <si>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</si>
  <si>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</si>
  <si>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</si>
  <si>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</si>
  <si>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</si>
  <si>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</si>
  <si>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</si>
  <si>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</si>
  <si>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</si>
  <si>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</si>
  <si>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</si>
  <si>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</si>
  <si>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</si>
  <si>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</si>
  <si>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</si>
  <si>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</si>
  <si>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</si>
  <si>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</si>
  <si>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</si>
  <si>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</si>
  <si>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</si>
  <si>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</si>
  <si>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</si>
  <si>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</si>
  <si>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</si>
  <si>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</si>
  <si>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</si>
  <si>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</si>
  <si>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</si>
  <si>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</si>
  <si>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</si>
  <si>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</si>
  <si>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</si>
  <si>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</si>
  <si>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</si>
  <si>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</si>
  <si>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</si>
  <si>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</si>
  <si>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</si>
  <si>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</si>
  <si>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</si>
  <si>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</si>
  <si>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</si>
  <si>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</si>
  <si>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</si>
  <si>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</si>
  <si>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</si>
  <si>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</si>
  <si>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</si>
  <si>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</si>
  <si>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</si>
  <si>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</si>
  <si>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</si>
  <si>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</si>
  <si>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</si>
  <si>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</si>
  <si>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</si>
  <si>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</si>
  <si>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</si>
  <si>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</si>
  <si>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</si>
  <si>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</si>
  <si>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</si>
  <si>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</si>
  <si>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</si>
  <si>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</si>
  <si>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</si>
  <si>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</si>
  <si>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</si>
  <si>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</si>
  <si>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</si>
  <si>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</si>
  <si>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</si>
  <si>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</si>
  <si>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</si>
  <si>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</si>
  <si>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</si>
  <si>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</si>
  <si>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</si>
  <si>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</si>
  <si>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</si>
  <si>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</si>
  <si>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</si>
  <si>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</si>
  <si>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</si>
  <si>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</si>
  <si>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</si>
  <si>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</si>
  <si>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</si>
  <si>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</si>
  <si>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</si>
  <si>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</si>
  <si>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</si>
  <si>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</si>
  <si>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</si>
  <si>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</si>
  <si>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</si>
  <si>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</si>
  <si>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</si>
  <si>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</si>
  <si>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</si>
  <si>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</si>
  <si>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</si>
  <si>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</si>
  <si>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</si>
  <si>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</si>
  <si>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</si>
  <si>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</si>
  <si>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</si>
  <si>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</si>
  <si>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</si>
  <si>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</si>
  <si>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</si>
  <si>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</si>
  <si>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</si>
  <si>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</si>
  <si>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</si>
  <si>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</si>
  <si>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</si>
  <si>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</si>
  <si>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</si>
  <si>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</si>
  <si>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</si>
  <si>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</si>
  <si>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</si>
  <si>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</si>
  <si>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</si>
  <si>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</si>
  <si>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</si>
  <si>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</si>
  <si>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</si>
  <si>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</si>
  <si>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</si>
  <si>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</si>
  <si>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</si>
  <si>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</si>
  <si>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</si>
  <si>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</si>
  <si>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</si>
  <si>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</si>
  <si>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</si>
  <si>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</si>
  <si>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</si>
  <si>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</si>
  <si>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</si>
  <si>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</si>
  <si>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</si>
  <si>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</si>
  <si>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</si>
  <si>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</si>
  <si>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</si>
  <si>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</si>
  <si>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</si>
  <si>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</si>
  <si>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</si>
  <si>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</si>
  <si>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</si>
  <si>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</si>
  <si>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</si>
  <si>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</si>
  <si>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</si>
  <si>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</si>
  <si>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</si>
  <si>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</si>
  <si>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</si>
  <si>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</si>
  <si>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</si>
  <si>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</si>
  <si>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</si>
  <si>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</si>
  <si>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</si>
  <si>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</si>
  <si>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</si>
  <si>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</si>
  <si>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</si>
  <si>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</si>
  <si>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</si>
  <si>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</si>
  <si>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</si>
  <si>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</si>
  <si>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</si>
  <si>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</si>
  <si>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</si>
  <si>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</si>
  <si>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</si>
  <si>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</si>
  <si>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</si>
  <si>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</si>
  <si>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</si>
  <si>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</si>
  <si>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</si>
  <si>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</si>
  <si>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</si>
  <si>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</si>
  <si>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</si>
  <si>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</si>
  <si>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</si>
  <si>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</si>
  <si>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</si>
  <si>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</si>
  <si>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</si>
  <si>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</si>
  <si>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</si>
  <si>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</si>
  <si>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</si>
  <si>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</si>
  <si>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</si>
  <si>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</si>
  <si>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</si>
  <si>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</si>
  <si>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</si>
  <si>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</si>
  <si>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</si>
  <si>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</si>
  <si>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</si>
  <si>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</si>
  <si>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</si>
  <si>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</si>
  <si>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</si>
  <si>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</si>
  <si>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</si>
  <si>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</si>
  <si>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</si>
  <si>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</si>
  <si>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</si>
  <si>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</si>
  <si>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</si>
  <si>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</si>
  <si>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</si>
  <si>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</si>
  <si>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</si>
  <si>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</si>
  <si>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</si>
  <si>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</si>
  <si>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</si>
  <si>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</si>
  <si>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</si>
  <si>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</si>
  <si>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</si>
  <si>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</si>
  <si>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</si>
  <si>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</si>
  <si>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</si>
  <si>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</si>
  <si>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</si>
  <si>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</si>
  <si>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</si>
  <si>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</si>
  <si>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</si>
  <si>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</si>
  <si>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</si>
  <si>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</si>
  <si>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</si>
  <si>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</si>
  <si>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</si>
  <si>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</si>
  <si>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</si>
  <si>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</si>
  <si>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</si>
  <si>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</si>
  <si>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</si>
  <si>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</si>
  <si>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</si>
  <si>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</si>
  <si>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</si>
  <si>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</si>
  <si>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</si>
  <si>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</si>
  <si>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</si>
  <si>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</si>
  <si>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</si>
  <si>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</si>
  <si>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</si>
  <si>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</si>
  <si>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</si>
  <si>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</si>
  <si>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</si>
  <si>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</si>
  <si>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</si>
  <si>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</si>
  <si>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</si>
  <si>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</si>
  <si>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</si>
  <si>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</si>
  <si>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</si>
  <si>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</si>
  <si>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</si>
  <si>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</si>
  <si>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</si>
  <si>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</si>
  <si>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</si>
  <si>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</si>
  <si>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</si>
  <si>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</si>
  <si>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</si>
  <si>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</si>
  <si>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</si>
  <si>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</si>
  <si>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</si>
  <si>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</si>
  <si>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</si>
  <si>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</si>
  <si>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</si>
  <si>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</si>
  <si>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</si>
  <si>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</si>
  <si>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</si>
  <si>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</si>
  <si>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</si>
  <si>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</si>
  <si>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</si>
  <si>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</si>
  <si>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</si>
  <si>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</si>
  <si>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</si>
  <si>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</si>
  <si>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</si>
  <si>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</si>
  <si>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</si>
  <si>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</si>
  <si>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</si>
  <si>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</si>
  <si>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</si>
  <si>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</si>
  <si>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</si>
  <si>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</si>
  <si>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</si>
  <si>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</si>
  <si>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</si>
  <si>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</si>
  <si>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</si>
  <si>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</si>
  <si>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</si>
  <si>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</si>
  <si>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</si>
  <si>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</si>
  <si>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</si>
  <si>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</si>
  <si>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</si>
  <si>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</si>
  <si>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</si>
  <si>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</si>
  <si>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</si>
  <si>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</si>
  <si>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</si>
  <si>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</si>
  <si>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</si>
  <si>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</si>
  <si>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</si>
  <si>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</si>
  <si>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</si>
  <si>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</si>
  <si>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</si>
  <si>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</si>
  <si>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</si>
  <si>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</si>
  <si>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</si>
  <si>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</si>
  <si>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</si>
  <si>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</si>
  <si>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</si>
  <si>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</si>
  <si>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</si>
  <si>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</si>
  <si>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</si>
  <si>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</si>
  <si>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</si>
  <si>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</si>
  <si>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</si>
  <si>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</si>
  <si>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</si>
  <si>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</si>
  <si>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</si>
  <si>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</si>
  <si>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</si>
  <si>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</si>
  <si>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</si>
  <si>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</si>
  <si>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</si>
  <si>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</si>
  <si>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</si>
  <si>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</si>
  <si>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</si>
  <si>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</si>
  <si>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</si>
  <si>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</si>
  <si>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</si>
  <si>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</si>
  <si>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</si>
  <si>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</si>
  <si>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</si>
  <si>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</si>
  <si>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</si>
  <si>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</si>
  <si>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</si>
  <si>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</si>
  <si>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</si>
  <si>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</si>
  <si>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</si>
  <si>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</si>
  <si>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</si>
  <si>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</si>
  <si>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</si>
  <si>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</si>
  <si>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</si>
  <si>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</si>
  <si>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</si>
  <si>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</si>
  <si>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</si>
  <si>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</si>
  <si>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</si>
  <si>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</si>
  <si>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</si>
  <si>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</si>
  <si>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</si>
  <si>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</si>
  <si>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</si>
  <si>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</si>
  <si>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</si>
  <si>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</si>
  <si>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</si>
  <si>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</si>
  <si>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</si>
  <si>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</si>
  <si>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</si>
  <si>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</si>
  <si>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</si>
  <si>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</si>
  <si>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</si>
  <si>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</si>
  <si>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</si>
  <si>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</si>
  <si>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</si>
  <si>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</si>
  <si>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</si>
  <si>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</si>
  <si>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</si>
  <si>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</si>
  <si>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</si>
  <si>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</si>
  <si>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</si>
  <si>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</si>
  <si>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</si>
  <si>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</si>
  <si>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</si>
  <si>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</si>
  <si>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</si>
  <si>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</si>
  <si>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</si>
  <si>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</si>
  <si>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</si>
  <si>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</si>
  <si>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</si>
  <si>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</si>
  <si>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</si>
  <si>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</si>
  <si>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</si>
  <si>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</si>
  <si>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</si>
  <si>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</si>
  <si>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</si>
  <si>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</si>
  <si>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</si>
  <si>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</si>
  <si>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</si>
  <si>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</si>
  <si>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</si>
  <si>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</si>
  <si>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</si>
  <si>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</si>
  <si>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</si>
  <si>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</si>
  <si>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</si>
  <si>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</si>
  <si>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</si>
  <si>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</si>
  <si>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</si>
  <si>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</si>
  <si>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</si>
  <si>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</si>
  <si>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</si>
  <si>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</si>
  <si>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</si>
  <si>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</si>
  <si>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</si>
  <si>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</si>
  <si>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</si>
  <si>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</si>
  <si>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</si>
  <si>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</si>
  <si>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</si>
  <si>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</si>
  <si>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</si>
  <si>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</si>
  <si>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</si>
  <si>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</si>
  <si>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</si>
  <si>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</si>
  <si>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</si>
  <si>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</si>
  <si>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</si>
  <si>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</si>
  <si>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</si>
  <si>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</si>
  <si>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</si>
  <si>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</si>
  <si>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</si>
  <si>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</si>
  <si>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</si>
  <si>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</si>
  <si>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</si>
  <si>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</si>
  <si>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</si>
  <si>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</si>
  <si>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</si>
  <si>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</si>
  <si>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</si>
  <si>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</si>
  <si>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</si>
  <si>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</si>
  <si>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</si>
  <si>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</si>
  <si>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</si>
  <si>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</si>
  <si>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</si>
  <si>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</si>
  <si>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</si>
  <si>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</si>
  <si>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</si>
  <si>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</si>
  <si>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</si>
  <si>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</si>
  <si>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</si>
  <si>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</si>
  <si>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</si>
  <si>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</si>
  <si>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</si>
  <si>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</si>
  <si>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</si>
  <si>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</si>
  <si>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</si>
  <si>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</si>
  <si>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</si>
  <si>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</si>
  <si>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</si>
  <si>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</si>
  <si>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</si>
  <si>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</si>
  <si>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</si>
  <si>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</si>
  <si>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</si>
  <si>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</si>
  <si>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</si>
  <si>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</si>
  <si>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</si>
  <si>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</si>
  <si>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</si>
  <si>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</si>
  <si>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</si>
  <si>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</si>
  <si>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</si>
  <si>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</si>
  <si>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</si>
  <si>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</si>
  <si>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</si>
  <si>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</si>
  <si>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</si>
  <si>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</si>
  <si>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</si>
  <si>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</si>
  <si>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</si>
  <si>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</si>
  <si>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</si>
  <si>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</si>
  <si>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</si>
  <si>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</si>
  <si>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</si>
  <si>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</si>
  <si>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</si>
  <si>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</si>
  <si>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</si>
  <si>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</si>
  <si>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</si>
  <si>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</si>
  <si>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</si>
  <si>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</si>
  <si>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</si>
  <si>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</si>
  <si>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</si>
  <si>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</si>
  <si>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</si>
  <si>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</si>
  <si>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</si>
  <si>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</si>
  <si>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</si>
  <si>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</si>
  <si>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</si>
  <si>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</si>
  <si>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</si>
  <si>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</si>
  <si>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</si>
  <si>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</si>
  <si>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</si>
  <si>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</si>
  <si>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</si>
  <si>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</si>
  <si>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</si>
  <si>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</si>
  <si>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</si>
  <si>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</si>
  <si>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</si>
  <si>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</si>
  <si>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</si>
  <si>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</si>
  <si>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</si>
  <si>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</si>
  <si>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</si>
  <si>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</si>
  <si>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</si>
  <si>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</si>
  <si>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</si>
  <si>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</si>
  <si>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</si>
  <si>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</si>
  <si>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</si>
  <si>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</si>
  <si>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</si>
  <si>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</si>
  <si>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</si>
  <si>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</si>
  <si>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</si>
  <si>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</si>
  <si>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</si>
  <si>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</si>
  <si>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</si>
  <si>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</si>
  <si>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</si>
  <si>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</si>
  <si>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</si>
  <si>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</si>
  <si>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</si>
  <si>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</si>
  <si>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</si>
  <si>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</si>
  <si>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</si>
  <si>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</si>
  <si>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</si>
  <si>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</si>
  <si>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</si>
  <si>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</si>
  <si>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</si>
  <si>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</si>
  <si>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</si>
  <si>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</si>
  <si>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</si>
  <si>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</si>
  <si>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</si>
  <si>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</si>
  <si>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</si>
  <si>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</si>
  <si>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</si>
  <si>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</si>
  <si>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</si>
  <si>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</si>
  <si>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</si>
  <si>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</si>
  <si>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</si>
  <si>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</si>
  <si>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</si>
  <si>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</si>
  <si>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</si>
  <si>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</si>
  <si>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</si>
  <si>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</si>
  <si>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</si>
  <si>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</si>
  <si>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</si>
  <si>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</si>
  <si>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</si>
  <si>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</si>
  <si>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</si>
  <si>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</si>
  <si>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</si>
  <si>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</si>
  <si>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</si>
  <si>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</si>
  <si>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</si>
  <si>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</si>
  <si>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</si>
  <si>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</si>
  <si>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</si>
  <si>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</si>
  <si>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</si>
  <si>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</si>
  <si>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</si>
  <si>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</si>
  <si>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</si>
  <si>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</si>
  <si>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</si>
  <si>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</si>
  <si>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</si>
  <si>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</si>
  <si>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</si>
  <si>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</si>
  <si>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</si>
  <si>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</si>
  <si>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</si>
  <si>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</si>
  <si>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</si>
  <si>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</si>
  <si>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</si>
  <si>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</si>
  <si>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</si>
  <si>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</si>
  <si>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</si>
  <si>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</si>
  <si>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</si>
  <si>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</si>
  <si>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</si>
  <si>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</si>
  <si>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</si>
  <si>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</si>
  <si>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</si>
  <si>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</si>
  <si>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</si>
  <si>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</si>
  <si>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</si>
  <si>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</si>
  <si>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</si>
  <si>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</si>
  <si>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</si>
  <si>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</si>
  <si>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</si>
  <si>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</si>
  <si>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</si>
  <si>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</si>
  <si>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</si>
  <si>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</si>
  <si>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</si>
  <si>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</si>
  <si>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</si>
  <si>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</si>
  <si>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</si>
  <si>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</si>
  <si>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</si>
  <si>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</si>
  <si>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</si>
  <si>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</si>
  <si>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</si>
  <si>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</si>
  <si>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</si>
  <si>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</si>
  <si>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</si>
  <si>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</si>
  <si>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</si>
  <si>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</si>
  <si>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</si>
  <si>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</si>
  <si>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</si>
  <si>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</si>
  <si>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</si>
  <si>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</si>
  <si>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</si>
  <si>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</si>
  <si>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</si>
  <si>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</si>
  <si>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</si>
  <si>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</si>
  <si>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</si>
  <si>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</si>
  <si>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</si>
  <si>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</si>
  <si>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</si>
  <si>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</si>
  <si>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</si>
  <si>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</si>
  <si>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</si>
  <si>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</si>
  <si>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</si>
  <si>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</si>
  <si>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</si>
  <si>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</si>
  <si>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</si>
  <si>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</si>
  <si>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</si>
  <si>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</si>
  <si>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</si>
  <si>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</si>
  <si>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</si>
  <si>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</si>
  <si>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</si>
  <si>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</si>
  <si>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</si>
  <si>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</si>
  <si>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</si>
  <si>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</si>
  <si>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</si>
  <si>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</si>
  <si>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</si>
  <si>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</si>
  <si>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</si>
  <si>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</si>
  <si>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</si>
  <si>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</si>
  <si>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</si>
  <si>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</si>
  <si>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</si>
  <si>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</si>
  <si>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</si>
  <si>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</si>
  <si>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</si>
  <si>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</si>
  <si>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</si>
  <si>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</si>
  <si>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</si>
  <si>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</si>
  <si>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</si>
  <si>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</si>
  <si>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</si>
  <si>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</si>
  <si>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</si>
  <si>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</si>
  <si>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</si>
  <si>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</si>
  <si>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</si>
  <si>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</si>
  <si>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</si>
  <si>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</si>
  <si>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</si>
  <si>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</si>
  <si>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</si>
  <si>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</si>
  <si>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</si>
  <si>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</si>
  <si>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</si>
  <si>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</si>
  <si>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</si>
  <si>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</si>
  <si>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</si>
  <si>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</si>
  <si>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</si>
  <si>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</si>
  <si>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</si>
  <si>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</si>
  <si>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</si>
  <si>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</si>
  <si>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</si>
  <si>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</si>
  <si>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</si>
  <si>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</si>
  <si>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</si>
  <si>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</si>
  <si>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</si>
  <si>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</si>
  <si>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</si>
  <si>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</si>
  <si>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</si>
  <si>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</si>
  <si>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</si>
  <si>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</si>
  <si>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</si>
  <si>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</si>
  <si>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</si>
  <si>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</si>
  <si>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</si>
  <si>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</si>
  <si>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</si>
  <si>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</si>
  <si>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</si>
  <si>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</si>
  <si>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</si>
  <si>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</si>
  <si>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</si>
  <si>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</si>
  <si>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</si>
  <si>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</si>
  <si>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</si>
  <si>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</si>
  <si>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</si>
  <si>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</si>
  <si>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</si>
  <si>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</si>
  <si>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</si>
  <si>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</si>
  <si>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</si>
  <si>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</si>
  <si>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</si>
  <si>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</si>
  <si>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</si>
  <si>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</si>
  <si>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</si>
  <si>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</si>
  <si>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</si>
  <si>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</si>
  <si>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</si>
  <si>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</si>
  <si>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</si>
  <si>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</si>
  <si>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</si>
  <si>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</si>
  <si>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</si>
  <si>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</si>
  <si>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</si>
  <si>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</si>
  <si>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</si>
  <si>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</si>
  <si>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</si>
  <si>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</si>
  <si>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</si>
  <si>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</si>
  <si>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</si>
  <si>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</si>
  <si>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</si>
  <si>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</si>
  <si>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</si>
  <si>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</si>
  <si>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</si>
  <si>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</si>
  <si>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</si>
  <si>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</si>
  <si>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</si>
  <si>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</si>
  <si>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</si>
  <si>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</si>
  <si>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</si>
  <si>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</si>
  <si>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</si>
  <si>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</si>
  <si>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</si>
  <si>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</si>
  <si>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</si>
  <si>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</si>
  <si>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</si>
  <si>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</si>
  <si>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</si>
  <si>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</si>
  <si>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</si>
  <si>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</si>
  <si>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</si>
  <si>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</si>
  <si>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</si>
  <si>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</si>
  <si>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</si>
  <si>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</si>
  <si>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</si>
  <si>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</si>
  <si>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</si>
  <si>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</si>
  <si>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</si>
  <si>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</si>
  <si>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</si>
  <si>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</si>
  <si>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</si>
  <si>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</si>
  <si>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</si>
  <si>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</si>
  <si>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</si>
  <si>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</si>
  <si>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</si>
  <si>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</si>
  <si>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</si>
  <si>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</si>
  <si>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</si>
  <si>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</si>
  <si>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</si>
  <si>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</si>
  <si>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</si>
  <si>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</si>
  <si>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</si>
  <si>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</si>
  <si>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</si>
  <si>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</si>
  <si>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</si>
  <si>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</si>
  <si>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</si>
  <si>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</si>
  <si>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</si>
  <si>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</si>
  <si>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</si>
  <si>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</si>
  <si>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</si>
  <si>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</si>
  <si>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</si>
  <si>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</si>
  <si>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</si>
  <si>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</si>
  <si>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</si>
  <si>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</si>
  <si>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</si>
  <si>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</si>
  <si>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</si>
  <si>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</si>
  <si>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</si>
  <si>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</si>
  <si>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</si>
  <si>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</si>
  <si>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</si>
  <si>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</si>
  <si>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</si>
  <si>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</si>
  <si>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</si>
  <si>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</si>
  <si>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</si>
  <si>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</si>
  <si>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</si>
  <si>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</si>
  <si>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</si>
  <si>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</si>
  <si>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</si>
  <si>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</si>
  <si>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</si>
  <si>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</si>
  <si>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</si>
  <si>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</si>
  <si>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</si>
  <si>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</si>
  <si>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</si>
  <si>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</si>
  <si>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</si>
  <si>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</si>
  <si>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</si>
  <si>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</si>
  <si>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</si>
  <si>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</si>
  <si>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</si>
  <si>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</si>
  <si>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</si>
  <si>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</si>
  <si>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</si>
  <si>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</si>
  <si>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</si>
  <si>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</si>
  <si>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</si>
  <si>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</si>
  <si>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</si>
  <si>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</si>
  <si>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</si>
  <si>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</si>
  <si>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</si>
  <si>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</si>
  <si>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</si>
  <si>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</si>
  <si>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</si>
  <si>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</si>
  <si>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</si>
  <si>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</si>
  <si>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</si>
  <si>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</si>
  <si>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</si>
  <si>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</si>
  <si>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</si>
  <si>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</si>
  <si>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</si>
  <si>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</si>
  <si>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</si>
  <si>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</si>
  <si>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</si>
  <si>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</si>
  <si>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</si>
  <si>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</si>
  <si>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</si>
  <si>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</si>
  <si>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</si>
  <si>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</si>
  <si>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</si>
  <si>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</si>
  <si>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</si>
  <si>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</si>
  <si>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</si>
  <si>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</si>
  <si>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</si>
  <si>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</si>
  <si>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</si>
  <si>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</si>
  <si>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</si>
  <si>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</si>
  <si>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</si>
  <si>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</si>
  <si>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</si>
  <si>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</si>
  <si>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</si>
  <si>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</si>
  <si>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</si>
  <si>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</si>
  <si>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</si>
  <si>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</si>
  <si>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</si>
  <si>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</si>
  <si>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</si>
  <si>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</si>
  <si>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</si>
  <si>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</si>
  <si>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</si>
  <si>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</si>
  <si>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</si>
  <si>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</si>
  <si>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</si>
  <si>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</si>
  <si>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</si>
  <si>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</si>
  <si>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</si>
  <si>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</si>
  <si>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</si>
  <si>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</si>
  <si>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</si>
  <si>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</si>
  <si>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</si>
  <si>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</si>
  <si>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</si>
  <si>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</si>
  <si>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</si>
  <si>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</si>
  <si>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</si>
  <si>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</si>
  <si>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</si>
  <si>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</si>
  <si>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</si>
  <si>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</si>
  <si>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</si>
  <si>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</si>
  <si>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</si>
  <si>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</si>
  <si>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</si>
  <si>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</si>
  <si>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</si>
  <si>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</si>
  <si>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</si>
  <si>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</si>
  <si>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</si>
  <si>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</si>
  <si>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</si>
  <si>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</si>
  <si>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</si>
  <si>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</si>
  <si>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</si>
  <si>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</si>
  <si>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</si>
  <si>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</si>
  <si>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</si>
  <si>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</si>
  <si>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</si>
  <si>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</si>
  <si>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</si>
  <si>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</si>
  <si>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</si>
  <si>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</si>
  <si>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</si>
  <si>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</si>
  <si>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</si>
  <si>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</si>
  <si>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</si>
  <si>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</si>
  <si>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</si>
  <si>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</si>
  <si>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</si>
  <si>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</si>
  <si>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</si>
  <si>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</si>
  <si>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</si>
  <si>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</si>
  <si>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</si>
  <si>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</si>
  <si>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</si>
  <si>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</si>
  <si>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</si>
  <si>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</si>
  <si>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</si>
  <si>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</si>
  <si>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</si>
  <si>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</si>
  <si>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</si>
  <si>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</si>
  <si>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</si>
  <si>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</si>
  <si>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</si>
  <si>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</si>
  <si>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</si>
  <si>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</si>
  <si>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</si>
  <si>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</si>
  <si>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</si>
  <si>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</si>
  <si>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</si>
  <si>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</si>
  <si>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</si>
  <si>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</si>
  <si>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</si>
  <si>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</si>
  <si>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</si>
  <si>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</si>
  <si>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</si>
  <si>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</si>
  <si>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</si>
  <si>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</si>
  <si>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</si>
  <si>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</si>
  <si>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</si>
  <si>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</si>
  <si>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</si>
  <si>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</si>
  <si>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</si>
  <si>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</si>
  <si>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</si>
  <si>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</si>
  <si>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</si>
  <si>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</si>
  <si>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</si>
  <si>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</si>
  <si>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</si>
  <si>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</si>
  <si>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</si>
  <si>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</si>
  <si>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</si>
  <si>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</si>
  <si>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</si>
  <si>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</si>
  <si>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</si>
  <si>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</si>
  <si>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</si>
  <si>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</si>
  <si>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</si>
  <si>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</si>
  <si>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</si>
  <si>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</si>
  <si>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</si>
  <si>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</si>
  <si>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</si>
  <si>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</si>
  <si>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</si>
  <si>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</si>
  <si>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</si>
  <si>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</si>
  <si>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</si>
  <si>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</si>
  <si>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</si>
  <si>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</si>
  <si>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</si>
  <si>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</si>
  <si>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</si>
  <si>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</si>
  <si>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</si>
  <si>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</si>
  <si>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</si>
  <si>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</si>
  <si>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</si>
  <si>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</si>
  <si>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</si>
  <si>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</si>
  <si>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</si>
  <si>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</si>
  <si>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</si>
  <si>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</si>
  <si>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</si>
  <si>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</si>
  <si>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</si>
  <si>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</si>
  <si>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</si>
  <si>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</si>
  <si>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</si>
  <si>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</si>
  <si>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</si>
  <si>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</si>
  <si>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</si>
  <si>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</si>
  <si>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</si>
  <si>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</si>
  <si>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</si>
  <si>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</si>
  <si>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</si>
  <si>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</si>
  <si>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</si>
  <si>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</si>
  <si>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</si>
  <si>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</si>
  <si>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</si>
  <si>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</si>
  <si>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</si>
  <si>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</si>
  <si>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</si>
  <si>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</si>
  <si>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</si>
  <si>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</si>
  <si>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</si>
  <si>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</si>
  <si>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</si>
  <si>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</si>
  <si>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</si>
  <si>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</si>
  <si>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</si>
  <si>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</si>
  <si>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</si>
  <si>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</si>
  <si>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</si>
  <si>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</si>
  <si>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</si>
  <si>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</si>
  <si>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</si>
  <si>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</si>
  <si>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</si>
  <si>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</si>
  <si>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</si>
  <si>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</si>
  <si>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</si>
  <si>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</si>
  <si>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</si>
  <si>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</si>
  <si>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</si>
  <si>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</si>
  <si>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</si>
  <si>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</si>
  <si>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</si>
  <si>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</si>
  <si>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</si>
  <si>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</si>
  <si>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</si>
  <si>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</si>
  <si>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</si>
  <si>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</si>
  <si>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</si>
  <si>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</si>
  <si>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</si>
  <si>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</si>
  <si>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</si>
  <si>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</si>
  <si>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</si>
  <si>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</si>
  <si>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</si>
  <si>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</si>
  <si>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</si>
  <si>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</si>
  <si>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</si>
  <si>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</si>
  <si>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</si>
  <si>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</si>
  <si>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</si>
  <si>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</si>
  <si>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</si>
  <si>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</si>
  <si>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</si>
  <si>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</si>
  <si>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</si>
  <si>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</si>
  <si>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</si>
  <si>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</si>
  <si>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</si>
  <si>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</si>
  <si>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</si>
  <si>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</si>
  <si>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</si>
  <si>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</si>
  <si>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</si>
  <si>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</si>
  <si>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</si>
  <si>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</si>
  <si>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</si>
  <si>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</si>
  <si>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</si>
  <si>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</si>
  <si>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</si>
  <si>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</si>
  <si>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</si>
  <si>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</si>
  <si>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</si>
  <si>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</si>
  <si>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</si>
  <si>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</si>
  <si>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</si>
  <si>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</si>
  <si>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</si>
  <si>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</si>
  <si>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</si>
  <si>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</si>
  <si>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</si>
  <si>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</si>
  <si>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</si>
  <si>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</si>
  <si>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</si>
  <si>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</si>
  <si>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</si>
  <si>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</si>
  <si>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</si>
  <si>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</si>
  <si>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</si>
  <si>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</si>
  <si>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</si>
  <si>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</si>
  <si>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</si>
  <si>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</si>
  <si>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</si>
  <si>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</si>
  <si>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</si>
  <si>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</si>
  <si>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</si>
  <si>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</si>
  <si>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</si>
  <si>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</si>
  <si>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</si>
  <si>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</si>
  <si>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</si>
  <si>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</si>
  <si>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</si>
  <si>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</si>
  <si>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</si>
  <si>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</si>
  <si>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</si>
  <si>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</si>
  <si>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</si>
  <si>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</si>
  <si>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</si>
  <si>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</si>
  <si>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</si>
  <si>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</si>
  <si>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</si>
  <si>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</si>
  <si>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</si>
  <si>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</si>
  <si>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</si>
  <si>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</si>
  <si>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</si>
  <si>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</si>
  <si>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</si>
  <si>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</si>
  <si>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</si>
  <si>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</si>
  <si>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</si>
  <si>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</si>
  <si>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</si>
  <si>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</si>
  <si>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</si>
  <si>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</si>
  <si>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</si>
  <si>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</si>
  <si>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</si>
  <si>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</si>
  <si>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</si>
  <si>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</si>
  <si>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</si>
  <si>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</si>
  <si>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</si>
  <si>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</si>
  <si>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</si>
  <si>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</si>
  <si>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</si>
  <si>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</si>
  <si>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</si>
  <si>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</si>
  <si>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</si>
  <si>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</si>
  <si>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</si>
  <si>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</si>
  <si>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</si>
  <si>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</si>
  <si>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</si>
  <si>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</si>
  <si>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</si>
  <si>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</si>
  <si>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</si>
  <si>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</si>
  <si>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</si>
  <si>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</si>
  <si>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</si>
  <si>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</si>
  <si>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</si>
  <si>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</si>
  <si>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</si>
  <si>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</si>
  <si>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</si>
  <si>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</si>
  <si>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</si>
  <si>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</si>
  <si>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</si>
  <si>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</si>
  <si>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</si>
  <si>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</si>
  <si>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</si>
  <si>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</si>
  <si>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</si>
  <si>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</si>
  <si>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</si>
  <si>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</si>
  <si>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</si>
  <si>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</si>
  <si>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</si>
  <si>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</si>
  <si>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</si>
  <si>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</si>
  <si>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</si>
  <si>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</si>
  <si>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</si>
  <si>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</si>
  <si>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</si>
  <si>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</si>
  <si>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</si>
  <si>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</si>
  <si>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</si>
  <si>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</si>
  <si>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</si>
  <si>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</si>
  <si>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</si>
  <si>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</si>
  <si>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</si>
  <si>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</si>
  <si>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</si>
  <si>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</si>
  <si>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</si>
  <si>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</si>
  <si>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</si>
  <si>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</si>
  <si>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</si>
  <si>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</si>
  <si>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</si>
  <si>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</si>
  <si>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</si>
  <si>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</si>
  <si>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</si>
  <si>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</si>
  <si>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</si>
  <si>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</si>
  <si>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</si>
  <si>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</si>
  <si>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</si>
  <si>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</si>
  <si>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</si>
  <si>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</si>
  <si>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</si>
  <si>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</si>
  <si>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</si>
  <si>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</si>
  <si>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</si>
  <si>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</si>
  <si>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</si>
  <si>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</si>
  <si>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</si>
  <si>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</si>
  <si>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</si>
  <si>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</si>
  <si>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</si>
  <si>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</si>
  <si>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</si>
  <si>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</si>
  <si>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</si>
  <si>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</si>
  <si>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</si>
  <si>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</si>
  <si>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</si>
  <si>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</si>
  <si>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</si>
  <si>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</si>
  <si>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</si>
  <si>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</si>
  <si>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</si>
  <si>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</si>
  <si>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</si>
  <si>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</si>
  <si>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</si>
  <si>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</si>
  <si>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</si>
  <si>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</si>
  <si>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</si>
  <si>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</si>
  <si>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</si>
  <si>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</si>
  <si>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</si>
  <si>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</si>
  <si>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</si>
  <si>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</si>
  <si>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</si>
  <si>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</si>
  <si>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</si>
  <si>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</si>
  <si>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</si>
  <si>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</si>
  <si>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</si>
  <si>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</si>
  <si>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</si>
  <si>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</si>
  <si>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</si>
  <si>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</si>
  <si>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</si>
  <si>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</si>
  <si>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</si>
  <si>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</si>
  <si>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</si>
  <si>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</si>
  <si>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</si>
  <si>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</si>
  <si>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</si>
  <si>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</si>
  <si>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</si>
  <si>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</si>
  <si>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</si>
  <si>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</si>
  <si>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</si>
  <si>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</si>
  <si>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</si>
  <si>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</si>
  <si>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</si>
  <si>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</si>
  <si>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</si>
  <si>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</si>
  <si>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</si>
  <si>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</si>
  <si>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</si>
  <si>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</si>
  <si>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</si>
  <si>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</si>
  <si>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</si>
  <si>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</si>
  <si>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</si>
  <si>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</si>
  <si>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</si>
  <si>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</si>
  <si>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</si>
  <si>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</si>
  <si>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</si>
  <si>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</si>
  <si>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</si>
  <si>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</si>
  <si>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</si>
  <si>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</si>
  <si>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</si>
  <si>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</si>
  <si>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</si>
  <si>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</si>
  <si>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</si>
  <si>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</si>
  <si>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</si>
  <si>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</si>
  <si>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</si>
  <si>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</si>
  <si>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</si>
  <si>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</si>
  <si>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</si>
  <si>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</si>
  <si>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</si>
  <si>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</si>
  <si>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</si>
  <si>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</si>
  <si>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</si>
  <si>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</si>
  <si>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</si>
  <si>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</si>
  <si>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</si>
  <si>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</si>
  <si>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</si>
  <si>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</si>
  <si>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</si>
  <si>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</si>
  <si>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</si>
  <si>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</si>
  <si>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</si>
  <si>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</si>
  <si>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</si>
  <si>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</si>
  <si>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</si>
  <si>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</si>
  <si>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</si>
  <si>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</si>
  <si>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</si>
  <si>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</si>
  <si>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</si>
  <si>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</si>
  <si>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</si>
  <si>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</si>
  <si>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</si>
  <si>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</si>
  <si>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</si>
  <si>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</si>
  <si>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</si>
  <si>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</si>
  <si>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</si>
  <si>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</si>
  <si>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</si>
  <si>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</si>
  <si>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</si>
  <si>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</si>
  <si>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</si>
  <si>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</si>
  <si>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</si>
  <si>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</si>
  <si>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</si>
  <si>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</si>
  <si>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</si>
  <si>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</si>
  <si>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</si>
  <si>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</si>
  <si>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</si>
  <si>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</si>
  <si>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</si>
  <si>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</si>
  <si>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</si>
  <si>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</si>
  <si>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</si>
  <si>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</si>
  <si>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</si>
  <si>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</si>
  <si>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</si>
  <si>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</si>
  <si>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</si>
  <si>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</si>
  <si>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</si>
  <si>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</si>
  <si>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</si>
  <si>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</si>
  <si>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</si>
  <si>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</si>
  <si>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</si>
  <si>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</si>
  <si>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</si>
  <si>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</si>
  <si>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</si>
  <si>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</si>
  <si>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</si>
  <si>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</si>
  <si>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</si>
  <si>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</si>
  <si>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</si>
  <si>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</si>
  <si>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</si>
  <si>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</si>
  <si>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</si>
  <si>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</si>
  <si>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</si>
  <si>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</si>
  <si>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</si>
  <si>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</si>
  <si>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</si>
  <si>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</si>
  <si>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</si>
  <si>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</si>
  <si>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</si>
  <si>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</si>
  <si>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</si>
  <si>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</si>
  <si>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</si>
  <si>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</si>
  <si>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</si>
  <si>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</si>
  <si>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</si>
  <si>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</si>
  <si>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</si>
  <si>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</si>
  <si>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</si>
  <si>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</si>
  <si>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</si>
  <si>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</si>
  <si>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</si>
  <si>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</si>
  <si>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</si>
  <si>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</si>
  <si>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</si>
  <si>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</si>
  <si>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</si>
  <si>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</si>
  <si>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</si>
  <si>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</si>
  <si>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</si>
  <si>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</si>
  <si>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</si>
  <si>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</si>
  <si>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</si>
  <si>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</si>
  <si>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</si>
  <si>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</si>
  <si>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</si>
  <si>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</si>
  <si>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</si>
  <si>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</si>
  <si>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</si>
  <si>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</si>
  <si>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</si>
  <si>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</si>
  <si>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</si>
  <si>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</si>
  <si>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</si>
  <si>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</si>
  <si>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</si>
  <si>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</si>
  <si>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</si>
  <si>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</si>
  <si>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</si>
  <si>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</si>
  <si>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</si>
  <si>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</si>
  <si>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</si>
  <si>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</si>
  <si>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</si>
  <si>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</si>
  <si>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</si>
  <si>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</si>
  <si>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</si>
  <si>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</si>
  <si>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</si>
  <si>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</si>
  <si>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</si>
  <si>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</si>
  <si>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</si>
  <si>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</si>
  <si>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</si>
  <si>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</si>
  <si>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</si>
  <si>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</si>
  <si>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</si>
  <si>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</si>
  <si>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</si>
  <si>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</si>
  <si>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</si>
  <si>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</si>
  <si>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</si>
  <si>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</si>
  <si>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</si>
  <si>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</si>
  <si>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</si>
  <si>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</si>
  <si>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</si>
  <si>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</si>
  <si>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</si>
  <si>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</si>
  <si>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</si>
  <si>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</si>
  <si>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</si>
  <si>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</si>
  <si>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</si>
  <si>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</si>
  <si>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</si>
  <si>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</si>
  <si>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</si>
  <si>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</si>
  <si>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</si>
  <si>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</si>
  <si>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</si>
  <si>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</si>
  <si>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</si>
  <si>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</si>
  <si>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</si>
  <si>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</si>
  <si>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</si>
  <si>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</si>
  <si>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</si>
  <si>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</si>
  <si>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</si>
  <si>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</si>
  <si>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</si>
  <si>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</si>
  <si>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</si>
  <si>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</si>
  <si>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</si>
  <si>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</si>
  <si>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</si>
  <si>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</si>
  <si>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</si>
  <si>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</si>
  <si>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</si>
  <si>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</si>
  <si>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</si>
  <si>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</si>
  <si>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</si>
  <si>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</si>
  <si>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</si>
  <si>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</si>
  <si>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</si>
  <si>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</si>
  <si>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</si>
  <si>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</si>
  <si>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</si>
  <si>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</si>
  <si>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</si>
  <si>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</si>
  <si>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</si>
  <si>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</si>
  <si>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</si>
  <si>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</si>
  <si>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</si>
  <si>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</si>
  <si>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</si>
  <si>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</si>
  <si>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</si>
  <si>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</si>
  <si>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</si>
  <si>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</si>
  <si>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</si>
  <si>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</si>
  <si>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</si>
  <si>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</si>
  <si>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</si>
  <si>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</si>
  <si>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</si>
  <si>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</si>
  <si>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</si>
  <si>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</si>
  <si>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</si>
  <si>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</si>
  <si>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</si>
  <si>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</si>
  <si>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</si>
  <si>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</si>
  <si>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</si>
  <si>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</si>
  <si>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</si>
  <si>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</si>
  <si>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</si>
  <si>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</si>
  <si>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</si>
  <si>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</si>
  <si>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</si>
  <si>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</si>
  <si>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</si>
  <si>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</si>
  <si>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</si>
  <si>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</si>
  <si>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</si>
  <si>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</si>
  <si>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</si>
  <si>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</si>
  <si>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</si>
  <si>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</si>
  <si>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</si>
  <si>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</si>
  <si>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</si>
  <si>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</si>
  <si>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</si>
  <si>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</si>
  <si>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</si>
  <si>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</si>
  <si>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</si>
  <si>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</si>
  <si>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</si>
  <si>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</si>
  <si>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</si>
  <si>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</si>
  <si>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</si>
  <si>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</si>
  <si>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</si>
  <si>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</si>
  <si>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</si>
  <si>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</si>
  <si>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</si>
  <si>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</si>
  <si>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</si>
  <si>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</si>
  <si>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</si>
  <si>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</si>
  <si>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</si>
  <si>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</si>
  <si>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</si>
  <si>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</si>
  <si>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</si>
  <si>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</si>
  <si>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</si>
  <si>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</si>
  <si>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</si>
  <si>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</si>
  <si>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</si>
  <si>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</si>
  <si>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</si>
  <si>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</si>
  <si>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</si>
  <si>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</si>
  <si>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</si>
  <si>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</si>
  <si>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</si>
  <si>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</si>
  <si>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</si>
  <si>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</si>
  <si>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</si>
  <si>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</si>
  <si>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</si>
  <si>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</si>
  <si>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</si>
  <si>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</si>
  <si>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</si>
  <si>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</si>
  <si>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</si>
  <si>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</si>
  <si>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</si>
  <si>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</si>
  <si>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</si>
  <si>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</si>
  <si>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</si>
  <si>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</si>
  <si>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</si>
  <si>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</si>
  <si>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</si>
  <si>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</si>
  <si>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</si>
  <si>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</si>
  <si>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</si>
  <si>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</si>
  <si>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</si>
  <si>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</si>
  <si>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</si>
  <si>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</si>
  <si>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</si>
  <si>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</si>
  <si>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</si>
  <si>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</si>
  <si>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</si>
  <si>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</si>
  <si>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</si>
  <si>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</si>
  <si>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</si>
  <si>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</si>
  <si>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</si>
  <si>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</si>
  <si>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</si>
  <si>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</si>
  <si>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</si>
  <si>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</si>
  <si>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</si>
  <si>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</si>
  <si>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</si>
  <si>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</si>
  <si>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</si>
  <si>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</si>
  <si>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</si>
  <si>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</si>
  <si>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</si>
  <si>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</si>
  <si>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</si>
  <si>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</si>
  <si>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</si>
  <si>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</si>
  <si>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</si>
  <si>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</si>
  <si>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</si>
  <si>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</si>
  <si>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</si>
  <si>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</si>
  <si>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</si>
  <si>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</si>
  <si>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</si>
  <si>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</si>
  <si>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</si>
  <si>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</si>
  <si>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</si>
  <si>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</si>
  <si>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</si>
  <si>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</si>
  <si>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</si>
  <si>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</si>
  <si>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</si>
  <si>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</si>
  <si>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</si>
  <si>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</si>
  <si>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</si>
  <si>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</si>
  <si>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</si>
  <si>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</si>
  <si>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</si>
  <si>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</si>
  <si>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</si>
  <si>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</si>
  <si>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</si>
  <si>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</si>
  <si>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</si>
  <si>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</si>
  <si>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</si>
  <si>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</si>
  <si>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</si>
  <si>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</si>
  <si>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</si>
  <si>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</si>
  <si>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</si>
  <si>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</si>
  <si>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</si>
  <si>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</si>
  <si>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</si>
  <si>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</si>
  <si>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</si>
  <si>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</si>
  <si>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</si>
  <si>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</si>
  <si>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</si>
  <si>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</si>
  <si>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</si>
  <si>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</si>
  <si>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</si>
  <si>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</si>
  <si>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</si>
  <si>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</si>
  <si>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</si>
  <si>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</si>
  <si>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</si>
  <si>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</si>
  <si>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</si>
  <si>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</si>
  <si>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</si>
  <si>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</si>
  <si>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</si>
  <si>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</si>
  <si>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</si>
  <si>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</si>
  <si>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</si>
  <si>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</si>
  <si>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</si>
  <si>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</si>
  <si>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</si>
  <si>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</si>
  <si>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</si>
  <si>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</si>
  <si>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</si>
  <si>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</si>
  <si>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</si>
  <si>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</si>
  <si>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</si>
  <si>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</si>
  <si>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</si>
  <si>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</si>
  <si>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</si>
  <si>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</si>
  <si>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</si>
  <si>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</si>
  <si>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</si>
  <si>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</si>
  <si>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</si>
  <si>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</si>
  <si>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</si>
  <si>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</si>
  <si>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</si>
  <si>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</si>
  <si>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</si>
  <si>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</si>
  <si>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</si>
  <si>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</si>
  <si>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</si>
  <si>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</si>
  <si>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</si>
  <si>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</si>
  <si>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</si>
  <si>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</si>
  <si>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</si>
  <si>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</si>
  <si>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</si>
  <si>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</si>
  <si>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</si>
  <si>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</si>
  <si>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</si>
  <si>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</si>
  <si>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</si>
  <si>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</si>
  <si>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</si>
  <si>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</si>
  <si>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</si>
  <si>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</si>
  <si>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</si>
  <si>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</si>
  <si>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</si>
  <si>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</si>
  <si>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</si>
  <si>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</si>
  <si>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</si>
  <si>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</si>
  <si>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</si>
  <si>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</si>
  <si>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</si>
  <si>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</si>
  <si>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</si>
  <si>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</si>
  <si>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</si>
  <si>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</si>
  <si>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</si>
  <si>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</si>
  <si>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</si>
  <si>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</si>
  <si>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</si>
  <si>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</si>
  <si>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</si>
  <si>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</si>
  <si>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</si>
  <si>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</si>
  <si>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</si>
  <si>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</si>
  <si>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</si>
  <si>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</si>
  <si>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</si>
  <si>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</si>
  <si>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</si>
  <si>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</si>
  <si>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</si>
  <si>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</si>
  <si>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</si>
  <si>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</si>
  <si>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</si>
  <si>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</si>
  <si>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</si>
  <si>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</si>
  <si>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</si>
  <si>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</si>
  <si>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</si>
  <si>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</si>
  <si>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</si>
  <si>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</si>
  <si>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</si>
  <si>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</si>
  <si>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</si>
  <si>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</si>
  <si>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</si>
  <si>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</si>
  <si>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</si>
  <si>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</si>
  <si>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</si>
  <si>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</si>
  <si>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</si>
  <si>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</si>
  <si>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</si>
  <si>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</si>
  <si>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</si>
  <si>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</si>
  <si>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</si>
  <si>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</si>
  <si>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</si>
  <si>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</si>
  <si>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</si>
  <si>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</si>
  <si>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</si>
  <si>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</si>
  <si>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</si>
  <si>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</si>
  <si>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</si>
  <si>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</si>
  <si>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</si>
  <si>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</si>
  <si>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</si>
  <si>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</si>
  <si>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</si>
  <si>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</si>
  <si>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</si>
  <si>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</si>
  <si>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</si>
  <si>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</si>
  <si>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</si>
  <si>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</si>
  <si>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</si>
  <si>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</si>
  <si>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</si>
  <si>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</si>
  <si>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</si>
  <si>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</si>
  <si>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</si>
  <si>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</si>
  <si>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</si>
  <si>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</si>
  <si>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</si>
  <si>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</si>
  <si>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</si>
  <si>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</si>
  <si>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</si>
  <si>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</si>
  <si>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</si>
  <si>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</si>
  <si>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</si>
  <si>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</si>
  <si>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</si>
  <si>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</si>
  <si>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</si>
  <si>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</si>
  <si>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</si>
  <si>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</si>
  <si>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</si>
  <si>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</si>
  <si>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</si>
  <si>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</si>
  <si>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</si>
  <si>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</si>
  <si>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</si>
  <si>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</si>
  <si>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</si>
  <si>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</si>
  <si>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</si>
  <si>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</si>
  <si>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</si>
  <si>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</si>
  <si>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</si>
  <si>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</si>
  <si>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</si>
  <si>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</si>
  <si>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</si>
  <si>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</si>
  <si>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</si>
  <si>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</si>
  <si>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</si>
  <si>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</si>
  <si>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</si>
  <si>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</si>
  <si>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</si>
  <si>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</si>
  <si>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</si>
  <si>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</si>
  <si>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</si>
  <si>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</si>
  <si>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</si>
  <si>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</si>
  <si>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</si>
  <si>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</si>
  <si>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</si>
  <si>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</si>
  <si>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</si>
  <si>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</si>
  <si>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</si>
  <si>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</si>
  <si>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</si>
  <si>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</si>
  <si>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</si>
  <si>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</si>
  <si>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</si>
  <si>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</si>
  <si>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</si>
  <si>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</si>
  <si>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</si>
  <si>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</si>
  <si>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</si>
  <si>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</si>
  <si>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</si>
  <si>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</si>
  <si>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</si>
  <si>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</si>
  <si>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</si>
  <si>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</si>
  <si>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</si>
  <si>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</si>
  <si>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</si>
  <si>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</si>
  <si>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</si>
  <si>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</si>
  <si>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</si>
  <si>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</si>
  <si>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</si>
  <si>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</si>
  <si>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</si>
  <si>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</si>
  <si>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</si>
  <si>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</si>
  <si>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</si>
  <si>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</si>
  <si>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</si>
  <si>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</si>
  <si>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</si>
  <si>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</si>
  <si>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</si>
  <si>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</si>
  <si>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</si>
  <si>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</si>
  <si>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</si>
  <si>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</si>
  <si>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</si>
  <si>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</si>
  <si>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</si>
  <si>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</si>
  <si>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</si>
  <si>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</si>
  <si>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</si>
  <si>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</si>
  <si>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</si>
  <si>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</si>
  <si>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</si>
  <si>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</si>
  <si>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</si>
  <si>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</si>
  <si>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</si>
  <si>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</si>
  <si>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</si>
  <si>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</si>
  <si>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</si>
  <si>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</si>
  <si>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</si>
  <si>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</si>
  <si>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</si>
  <si>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</si>
  <si>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</si>
  <si>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</si>
  <si>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</si>
  <si>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</si>
  <si>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</si>
  <si>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</si>
  <si>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</si>
  <si>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</si>
  <si>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</si>
  <si>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</si>
  <si>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</si>
  <si>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</si>
  <si>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</si>
  <si>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</si>
  <si>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</si>
  <si>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</si>
  <si>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</si>
  <si>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</si>
  <si>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</si>
  <si>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</si>
  <si>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</si>
  <si>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</si>
  <si>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</si>
  <si>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</si>
  <si>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</si>
  <si>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</si>
  <si>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</si>
  <si>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</si>
  <si>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</si>
  <si>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</si>
  <si>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</si>
  <si>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</si>
  <si>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</si>
  <si>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</si>
  <si>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</si>
  <si>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</si>
  <si>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</si>
  <si>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</si>
  <si>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</si>
  <si>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</si>
  <si>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</si>
  <si>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</si>
  <si>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</si>
  <si>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</si>
  <si>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</si>
  <si>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</si>
  <si>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</si>
  <si>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</si>
  <si>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</si>
  <si>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</si>
  <si>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</si>
  <si>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</si>
  <si>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</si>
  <si>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</si>
  <si>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</si>
  <si>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</si>
  <si>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</si>
  <si>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</si>
  <si>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</si>
  <si>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</si>
  <si>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</si>
  <si>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</si>
  <si>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</si>
  <si>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</si>
  <si>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</si>
  <si>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</si>
  <si>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</si>
  <si>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</si>
  <si>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</si>
  <si>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</si>
  <si>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</si>
  <si>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</si>
  <si>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</si>
  <si>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</si>
  <si>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</si>
  <si>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</si>
  <si>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</si>
  <si>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</si>
  <si>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</si>
  <si>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</si>
  <si>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</si>
  <si>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</si>
  <si>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</si>
  <si>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</si>
  <si>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</si>
  <si>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</si>
  <si>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</si>
  <si>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</si>
  <si>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</si>
  <si>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</si>
  <si>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</si>
  <si>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</si>
  <si>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</si>
  <si>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</si>
  <si>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</si>
  <si>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</si>
  <si>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</si>
  <si>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</si>
  <si>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</si>
  <si>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</si>
  <si>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</si>
  <si>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</si>
  <si>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</si>
  <si>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</si>
  <si>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</si>
  <si>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</si>
  <si>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</si>
  <si>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</si>
  <si>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</si>
  <si>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</si>
  <si>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</si>
  <si>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</si>
  <si>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</si>
  <si>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</si>
  <si>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</si>
  <si>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</si>
  <si>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</si>
  <si>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</si>
  <si>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</si>
  <si>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</si>
  <si>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</si>
  <si>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</si>
  <si>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</si>
  <si>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</si>
  <si>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</si>
  <si>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</si>
  <si>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</si>
  <si>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</si>
  <si>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</si>
  <si>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</si>
  <si>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</si>
  <si>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</si>
  <si>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</si>
  <si>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</si>
  <si>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</si>
  <si>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</si>
  <si>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</si>
  <si>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</si>
  <si>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</si>
  <si>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</si>
  <si>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</si>
  <si>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</si>
  <si>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</si>
  <si>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</si>
  <si>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</si>
  <si>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</si>
  <si>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</si>
  <si>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</si>
  <si>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</si>
  <si>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</si>
  <si>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</si>
  <si>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</si>
  <si>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</si>
  <si>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</si>
  <si>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</si>
  <si>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</si>
  <si>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</si>
  <si>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</si>
  <si>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</si>
  <si>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</si>
  <si>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</si>
  <si>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</si>
  <si>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</si>
  <si>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</si>
  <si>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</si>
  <si>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</si>
  <si>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</si>
  <si>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</si>
  <si>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</si>
  <si>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</si>
  <si>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</si>
  <si>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</si>
  <si>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</si>
  <si>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</si>
  <si>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</si>
  <si>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</si>
  <si>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</si>
  <si>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</si>
  <si>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</si>
  <si>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</si>
  <si>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</si>
  <si>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</si>
  <si>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</si>
  <si>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</si>
  <si>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</si>
  <si>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</si>
  <si>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</si>
  <si>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</si>
  <si>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</si>
  <si>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</si>
  <si>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</si>
  <si>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</si>
  <si>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</si>
  <si>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</si>
  <si>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</si>
  <si>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</si>
  <si>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</si>
  <si>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</si>
  <si>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</si>
  <si>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</si>
  <si>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</si>
  <si>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</si>
  <si>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</si>
  <si>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</si>
  <si>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</si>
  <si>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</si>
  <si>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</si>
  <si>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</si>
  <si>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</si>
  <si>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</si>
  <si>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</si>
  <si>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</si>
  <si>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</si>
  <si>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</si>
  <si>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</si>
  <si>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</si>
  <si>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</si>
  <si>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</si>
  <si>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</si>
  <si>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</si>
  <si>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</si>
  <si>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</si>
  <si>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</si>
  <si>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</si>
  <si>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</si>
  <si>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</si>
  <si>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</si>
  <si>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</si>
  <si>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</si>
  <si>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</si>
  <si>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</si>
  <si>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</si>
  <si>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</si>
  <si>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</si>
  <si>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</si>
  <si>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</si>
  <si>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</si>
  <si>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</si>
  <si>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</si>
  <si>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</si>
  <si>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</si>
  <si>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</si>
  <si>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</si>
  <si>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</si>
  <si>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</si>
  <si>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</si>
  <si>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</si>
  <si>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</si>
  <si>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</si>
  <si>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</si>
  <si>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</si>
  <si>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</si>
  <si>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</si>
  <si>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</si>
  <si>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</si>
  <si>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</si>
  <si>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</si>
  <si>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</si>
  <si>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</si>
  <si>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</si>
  <si>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</si>
  <si>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</si>
  <si>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</si>
  <si>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</si>
  <si>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</si>
  <si>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</si>
  <si>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</si>
  <si>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</si>
  <si>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</si>
  <si>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</si>
  <si>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</si>
  <si>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</si>
  <si>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</si>
  <si>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</si>
  <si>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</si>
  <si>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</si>
  <si>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</si>
  <si>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</si>
  <si>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</si>
  <si>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</si>
  <si>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</si>
  <si>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</si>
  <si>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</si>
  <si>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</si>
  <si>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</si>
  <si>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</si>
  <si>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</si>
  <si>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</si>
  <si>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</si>
  <si>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</si>
  <si>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</si>
  <si>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</si>
  <si>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</si>
  <si>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</si>
  <si>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</si>
  <si>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</si>
  <si>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</si>
  <si>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</si>
  <si>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</si>
  <si>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</si>
  <si>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</si>
  <si>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</si>
  <si>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</si>
  <si>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</si>
  <si>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</si>
  <si>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</si>
  <si>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</si>
  <si>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</si>
  <si>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</si>
  <si>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</si>
  <si>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</si>
  <si>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</si>
  <si>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</si>
  <si>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</si>
  <si>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</si>
  <si>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</si>
  <si>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</si>
  <si>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</si>
  <si>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</si>
  <si>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</si>
  <si>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</si>
  <si>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</si>
  <si>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</si>
  <si>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</si>
  <si>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</si>
  <si>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</si>
  <si>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</si>
  <si>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</si>
  <si>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</si>
  <si>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</si>
  <si>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</si>
  <si>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</si>
  <si>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</si>
  <si>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</si>
  <si>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</si>
  <si>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</si>
  <si>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</si>
  <si>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</si>
  <si>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</si>
  <si>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</si>
  <si>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</si>
  <si>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</si>
  <si>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</si>
  <si>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</si>
  <si>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</si>
  <si>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</si>
  <si>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</si>
  <si>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</si>
  <si>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</si>
  <si>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</si>
  <si>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</si>
  <si>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</si>
  <si>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</si>
  <si>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</si>
  <si>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</si>
  <si>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</si>
  <si>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</si>
  <si>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</si>
  <si>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</si>
  <si>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</si>
  <si>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</si>
  <si>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</si>
  <si>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</si>
  <si>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</si>
  <si>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</si>
  <si>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</si>
  <si>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</si>
  <si>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</si>
  <si>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</si>
  <si>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</si>
  <si>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</si>
  <si>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</si>
  <si>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</si>
  <si>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</si>
  <si>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</si>
  <si>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</si>
  <si>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</si>
  <si>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</si>
  <si>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</si>
  <si>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</si>
  <si>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</si>
  <si>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</si>
  <si>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</si>
  <si>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</si>
  <si>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</si>
  <si>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</si>
  <si>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</si>
  <si>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</si>
  <si>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</si>
  <si>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</si>
  <si>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</si>
  <si>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</si>
  <si>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</si>
  <si>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</si>
  <si>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</si>
  <si>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</si>
  <si>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</si>
  <si>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</si>
  <si>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</si>
  <si>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</si>
  <si>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</si>
  <si>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</si>
  <si>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</si>
  <si>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</si>
  <si>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</si>
  <si>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</si>
  <si>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</si>
  <si>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</si>
  <si>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</si>
  <si>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</si>
  <si>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</si>
  <si>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</si>
  <si>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</si>
  <si>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</si>
  <si>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</si>
  <si>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</si>
  <si>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</si>
  <si>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</si>
  <si>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</si>
  <si>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</si>
  <si>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</si>
  <si>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</si>
  <si>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</si>
  <si>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</si>
  <si>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</si>
  <si>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</si>
  <si>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</si>
  <si>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</si>
  <si>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</si>
  <si>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</si>
  <si>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</si>
  <si>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</si>
  <si>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</si>
  <si>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</si>
  <si>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</si>
  <si>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</si>
  <si>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</si>
  <si>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</si>
  <si>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</si>
  <si>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</si>
  <si>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</si>
  <si>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</si>
  <si>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</si>
  <si>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</si>
  <si>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</si>
  <si>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</si>
  <si>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</si>
  <si>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</si>
  <si>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</si>
  <si>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</si>
  <si>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</si>
  <si>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</si>
  <si>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</si>
  <si>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</si>
  <si>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</si>
  <si>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</si>
  <si>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</si>
  <si>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</si>
  <si>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</si>
  <si>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</si>
  <si>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</si>
  <si>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</si>
  <si>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</si>
  <si>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</si>
  <si>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</si>
  <si>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</si>
  <si>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</si>
  <si>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</si>
  <si>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</si>
  <si>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</si>
  <si>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</si>
  <si>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</si>
  <si>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</si>
  <si>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</si>
  <si>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</si>
  <si>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</si>
  <si>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</si>
  <si>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</si>
  <si>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</si>
  <si>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</si>
  <si>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</si>
  <si>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</si>
  <si>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</si>
  <si>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</si>
  <si>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</si>
  <si>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</si>
  <si>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</si>
  <si>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</si>
  <si>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</si>
  <si>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</si>
  <si>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</si>
  <si>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</si>
  <si>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</si>
  <si>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</si>
  <si>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</si>
  <si>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</si>
  <si>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</si>
  <si>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</si>
  <si>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</si>
  <si>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</si>
  <si>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</si>
  <si>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</si>
  <si>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</si>
  <si>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</si>
  <si>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</si>
  <si>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</si>
  <si>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</si>
  <si>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</si>
  <si>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</si>
  <si>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</si>
  <si>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</si>
  <si>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</si>
  <si>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</si>
  <si>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</si>
  <si>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</si>
  <si>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</si>
  <si>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</si>
  <si>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2021-12-31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</si>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</sst>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59.2</v>
      </c>
      <c r="D2">
        <v>70</v>
      </c>
      <c r="E2">
        <v>0.8457142857142858</v>
      </c>
      <c r="F2">
        <v>0.004560810810810811</v>
      </c>
      <c r="G2">
        <v>0.03408268602570064</v>
      </c>
      <c r="H2">
        <v>0.15</v>
      </c>
      <c r="I2">
        <v>0.1932731247989299</v>
      </c>
      <c r="J2" t="s">
        <v>776</v>
      </c>
      <c r="K2" t="s">
        <v>346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-0.186659032350415</v>
      </c>
      <c r="R2" t="s">
        <v>780</v>
      </c>
      <c r="S2" t="s">
        <v>784</v>
      </c>
      <c r="T2">
        <v>545688.1372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62.52</v>
      </c>
      <c r="D3">
        <v>101</v>
      </c>
      <c r="E3">
        <v>0.619009900990099</v>
      </c>
      <c r="F3">
        <v>0.0345489443378119</v>
      </c>
      <c r="G3">
        <v>0.1006784938643763</v>
      </c>
      <c r="H3">
        <v>0.03</v>
      </c>
      <c r="I3">
        <v>0.1556808043501046</v>
      </c>
      <c r="J3" t="s">
        <v>776</v>
      </c>
      <c r="K3" t="s">
        <v>776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0.046296389613967</v>
      </c>
      <c r="R3" t="s">
        <v>780</v>
      </c>
      <c r="S3" t="s">
        <v>785</v>
      </c>
      <c r="T3">
        <v>138261.683001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40.54</v>
      </c>
      <c r="D4">
        <v>61</v>
      </c>
      <c r="E4">
        <v>0.6645901639344263</v>
      </c>
      <c r="F4">
        <v>0.01924025653675383</v>
      </c>
      <c r="G4">
        <v>0.08514860921300449</v>
      </c>
      <c r="H4">
        <v>0.05</v>
      </c>
      <c r="I4">
        <v>0.1514291578476699</v>
      </c>
      <c r="J4" t="s">
        <v>776</v>
      </c>
      <c r="K4" t="s">
        <v>777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0.09458344344787001</v>
      </c>
      <c r="R4" t="s">
        <v>780</v>
      </c>
      <c r="S4" t="s">
        <v>786</v>
      </c>
      <c r="T4">
        <v>2732.436768</v>
      </c>
      <c r="U4" s="2">
        <v>44453</v>
      </c>
      <c r="V4" t="s">
        <v>797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155.8</v>
      </c>
      <c r="D5">
        <v>174</v>
      </c>
      <c r="E5">
        <v>0.8954022988505748</v>
      </c>
      <c r="F5">
        <v>0.01437740693196406</v>
      </c>
      <c r="G5">
        <v>0.02234236741759887</v>
      </c>
      <c r="H5">
        <v>0.1</v>
      </c>
      <c r="I5">
        <v>0.13607458908153</v>
      </c>
      <c r="J5" t="s">
        <v>776</v>
      </c>
      <c r="K5" t="s">
        <v>346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0.05241550120472201</v>
      </c>
      <c r="R5" t="s">
        <v>780</v>
      </c>
      <c r="S5" t="s">
        <v>787</v>
      </c>
      <c r="T5">
        <v>25861.604752</v>
      </c>
      <c r="U5" s="2">
        <v>44507</v>
      </c>
      <c r="V5" t="s">
        <v>798</v>
      </c>
    </row>
    <row r="6" spans="1:22">
      <c r="A6" s="1" t="s">
        <v>26</v>
      </c>
      <c r="B6">
        <f>HYPERLINK("https://www.suredividend.com/sure-analysis-PII/","Polaris Inc")</f>
        <v>0</v>
      </c>
      <c r="C6">
        <v>109.71</v>
      </c>
      <c r="D6">
        <v>144</v>
      </c>
      <c r="E6">
        <v>0.761875</v>
      </c>
      <c r="F6">
        <v>0.02296964725184578</v>
      </c>
      <c r="G6">
        <v>0.05590113183986678</v>
      </c>
      <c r="H6">
        <v>0.05</v>
      </c>
      <c r="I6">
        <v>0.1265400543454307</v>
      </c>
      <c r="J6" t="s">
        <v>776</v>
      </c>
      <c r="K6" t="s">
        <v>777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0.162703889117594</v>
      </c>
      <c r="R6" t="s">
        <v>780</v>
      </c>
      <c r="S6" t="s">
        <v>788</v>
      </c>
      <c r="T6">
        <v>6615.525584</v>
      </c>
      <c r="U6" s="2">
        <v>44496</v>
      </c>
      <c r="V6" t="s">
        <v>799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58.73</v>
      </c>
      <c r="D7">
        <v>64</v>
      </c>
      <c r="E7">
        <v>0.91765625</v>
      </c>
      <c r="F7">
        <v>0.01498382428060616</v>
      </c>
      <c r="G7">
        <v>0.01733502008453591</v>
      </c>
      <c r="H7">
        <v>0.09</v>
      </c>
      <c r="I7">
        <v>0.1211598554748945</v>
      </c>
      <c r="J7" t="s">
        <v>776</v>
      </c>
      <c r="K7" t="s">
        <v>777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0.072375371245191</v>
      </c>
      <c r="R7" t="s">
        <v>780</v>
      </c>
      <c r="S7" t="s">
        <v>786</v>
      </c>
      <c r="T7">
        <v>7310.626009</v>
      </c>
      <c r="U7" s="2">
        <v>44541</v>
      </c>
      <c r="V7" t="s">
        <v>800</v>
      </c>
    </row>
    <row r="8" spans="1:22">
      <c r="A8" s="1" t="s">
        <v>28</v>
      </c>
      <c r="B8">
        <f>HYPERLINK("https://www.suredividend.com/sure-analysis-BBY/","Best Buy Co. Inc.")</f>
        <v>0</v>
      </c>
      <c r="C8">
        <v>101.55</v>
      </c>
      <c r="D8">
        <v>121</v>
      </c>
      <c r="E8">
        <v>0.8392561983471074</v>
      </c>
      <c r="F8">
        <v>0.0275726243229936</v>
      </c>
      <c r="G8">
        <v>0.03566926595637265</v>
      </c>
      <c r="H8">
        <v>0.06</v>
      </c>
      <c r="I8">
        <v>0.1208609217959704</v>
      </c>
      <c r="J8" t="s">
        <v>776</v>
      </c>
      <c r="K8" t="s">
        <v>776</v>
      </c>
      <c r="L8">
        <v>10.05</v>
      </c>
      <c r="M8">
        <v>2.8</v>
      </c>
      <c r="N8">
        <v>0.2786069651741293</v>
      </c>
      <c r="O8">
        <v>18</v>
      </c>
      <c r="P8">
        <v>0.07978367728709435</v>
      </c>
      <c r="Q8">
        <v>0.026805257210339</v>
      </c>
      <c r="R8" t="s">
        <v>780</v>
      </c>
      <c r="S8" t="s">
        <v>788</v>
      </c>
      <c r="T8">
        <v>24262.972172</v>
      </c>
      <c r="U8" s="2">
        <v>44551</v>
      </c>
      <c r="V8" t="s">
        <v>801</v>
      </c>
    </row>
    <row r="9" spans="1:22">
      <c r="A9" s="1" t="s">
        <v>29</v>
      </c>
      <c r="B9">
        <f>HYPERLINK("https://www.suredividend.com/sure-analysis-UNM/","Unum Group")</f>
        <v>0</v>
      </c>
      <c r="C9">
        <v>24.66</v>
      </c>
      <c r="D9">
        <v>32</v>
      </c>
      <c r="E9">
        <v>0.770625</v>
      </c>
      <c r="F9">
        <v>0.048661800486618</v>
      </c>
      <c r="G9">
        <v>0.05349233765962103</v>
      </c>
      <c r="H9">
        <v>0.02</v>
      </c>
      <c r="I9">
        <v>0.1107068605963248</v>
      </c>
      <c r="J9" t="s">
        <v>776</v>
      </c>
      <c r="K9" t="s">
        <v>776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0.162205035751102</v>
      </c>
      <c r="R9" t="s">
        <v>780</v>
      </c>
      <c r="S9" t="s">
        <v>789</v>
      </c>
      <c r="T9">
        <v>5047.95215</v>
      </c>
      <c r="U9" s="2">
        <v>44503</v>
      </c>
      <c r="V9" t="s">
        <v>799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258.56</v>
      </c>
      <c r="D10">
        <v>305</v>
      </c>
      <c r="E10">
        <v>0.8477377049180328</v>
      </c>
      <c r="F10">
        <v>0.01160272277227723</v>
      </c>
      <c r="G10">
        <v>0.03358857486449507</v>
      </c>
      <c r="H10">
        <v>0.06</v>
      </c>
      <c r="I10">
        <v>0.1050559773593855</v>
      </c>
      <c r="J10" t="s">
        <v>776</v>
      </c>
      <c r="K10" t="s">
        <v>346</v>
      </c>
      <c r="L10">
        <v>21</v>
      </c>
      <c r="M10">
        <v>3</v>
      </c>
      <c r="N10">
        <v>0.1428571428571428</v>
      </c>
      <c r="O10">
        <v>1</v>
      </c>
      <c r="P10">
        <v>0.05975292415044642</v>
      </c>
      <c r="Q10">
        <v>-0.004711857724315</v>
      </c>
      <c r="R10" t="s">
        <v>780</v>
      </c>
      <c r="S10" t="s">
        <v>786</v>
      </c>
      <c r="T10">
        <v>68226.95587200001</v>
      </c>
      <c r="U10" s="2">
        <v>44548</v>
      </c>
      <c r="V10" t="s">
        <v>795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42.71</v>
      </c>
      <c r="D11">
        <v>43</v>
      </c>
      <c r="E11">
        <v>0.9932558139534884</v>
      </c>
      <c r="F11">
        <v>0.01311168344649965</v>
      </c>
      <c r="G11">
        <v>0.001354322435479283</v>
      </c>
      <c r="H11">
        <v>0.09</v>
      </c>
      <c r="I11">
        <v>0.1035959269608524</v>
      </c>
      <c r="J11" t="s">
        <v>776</v>
      </c>
      <c r="K11" t="s">
        <v>346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0.188100701719378</v>
      </c>
      <c r="R11" t="s">
        <v>780</v>
      </c>
      <c r="S11" t="s">
        <v>790</v>
      </c>
      <c r="T11">
        <v>4733.286517</v>
      </c>
      <c r="U11" s="2">
        <v>44500</v>
      </c>
      <c r="V11" t="s">
        <v>795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40.69</v>
      </c>
      <c r="D12">
        <v>44</v>
      </c>
      <c r="E12">
        <v>0.9247727272727272</v>
      </c>
      <c r="F12">
        <v>0.04128778569673138</v>
      </c>
      <c r="G12">
        <v>0.01576442222392016</v>
      </c>
      <c r="H12">
        <v>0.05</v>
      </c>
      <c r="I12">
        <v>0.1002576975417646</v>
      </c>
      <c r="J12" t="s">
        <v>776</v>
      </c>
      <c r="K12" t="s">
        <v>776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-0.012868355774756</v>
      </c>
      <c r="R12" t="s">
        <v>780</v>
      </c>
      <c r="S12" t="s">
        <v>788</v>
      </c>
      <c r="T12">
        <v>5429.785731</v>
      </c>
      <c r="U12" s="2">
        <v>44506</v>
      </c>
      <c r="V12" t="s">
        <v>797</v>
      </c>
    </row>
    <row r="13" spans="1:22">
      <c r="A13" s="1" t="s">
        <v>33</v>
      </c>
      <c r="B13">
        <f>HYPERLINK("https://www.suredividend.com/sure-analysis-SKM/","SK Telecom Co Ltd")</f>
        <v>0</v>
      </c>
      <c r="C13">
        <v>26.88</v>
      </c>
      <c r="D13">
        <v>30</v>
      </c>
      <c r="E13">
        <v>0.896</v>
      </c>
      <c r="F13">
        <v>0.03720238095238095</v>
      </c>
      <c r="G13">
        <v>0.02220593475648402</v>
      </c>
      <c r="H13">
        <v>0.05</v>
      </c>
      <c r="I13">
        <v>0.09998952121018578</v>
      </c>
      <c r="J13" t="s">
        <v>776</v>
      </c>
      <c r="K13" t="s">
        <v>776</v>
      </c>
      <c r="L13">
        <v>11</v>
      </c>
      <c r="M13">
        <v>1</v>
      </c>
      <c r="N13">
        <v>0.09090909090909091</v>
      </c>
      <c r="O13">
        <v>0</v>
      </c>
      <c r="P13">
        <v>0</v>
      </c>
      <c r="Q13">
        <v>-0.288247063761629</v>
      </c>
      <c r="R13" t="s">
        <v>780</v>
      </c>
      <c r="S13" t="s">
        <v>784</v>
      </c>
      <c r="T13">
        <v>17925.681173</v>
      </c>
      <c r="U13" s="2">
        <v>44515</v>
      </c>
      <c r="V13" t="s">
        <v>802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104.73</v>
      </c>
      <c r="D14">
        <v>128</v>
      </c>
      <c r="E14">
        <v>0.818203125</v>
      </c>
      <c r="F14">
        <v>0.01336770743817435</v>
      </c>
      <c r="G14">
        <v>0.04094497543731723</v>
      </c>
      <c r="H14">
        <v>0.045</v>
      </c>
      <c r="I14">
        <v>0.09995341286754433</v>
      </c>
      <c r="J14" t="s">
        <v>776</v>
      </c>
      <c r="K14" t="s">
        <v>346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-0.019871510355151</v>
      </c>
      <c r="R14" t="s">
        <v>780</v>
      </c>
      <c r="S14" t="s">
        <v>790</v>
      </c>
      <c r="T14">
        <v>6841.374841</v>
      </c>
      <c r="U14" s="2">
        <v>44508</v>
      </c>
      <c r="V14" t="s">
        <v>802</v>
      </c>
    </row>
    <row r="15" spans="1:22">
      <c r="A15" s="1" t="s">
        <v>35</v>
      </c>
      <c r="B15">
        <f>HYPERLINK("https://www.suredividend.com/sure-analysis-ADM/","Archer Daniels Midland Co.")</f>
        <v>0</v>
      </c>
      <c r="C15">
        <v>66.86</v>
      </c>
      <c r="D15">
        <v>74</v>
      </c>
      <c r="E15">
        <v>0.9035135135135135</v>
      </c>
      <c r="F15">
        <v>0.02213580616212982</v>
      </c>
      <c r="G15">
        <v>0.02050014202777195</v>
      </c>
      <c r="H15">
        <v>0.06</v>
      </c>
      <c r="I15">
        <v>0.09888541579142096</v>
      </c>
      <c r="J15" t="s">
        <v>776</v>
      </c>
      <c r="K15" t="s">
        <v>777</v>
      </c>
      <c r="L15">
        <v>4.9</v>
      </c>
      <c r="M15">
        <v>1.48</v>
      </c>
      <c r="N15">
        <v>0.3020408163265306</v>
      </c>
      <c r="O15">
        <v>46</v>
      </c>
      <c r="P15">
        <v>0.03051269507716325</v>
      </c>
      <c r="Q15">
        <v>0.387902198564667</v>
      </c>
      <c r="R15" t="s">
        <v>780</v>
      </c>
      <c r="S15" t="s">
        <v>791</v>
      </c>
      <c r="T15">
        <v>37488.158833</v>
      </c>
      <c r="U15" s="2">
        <v>44507</v>
      </c>
      <c r="V15" t="s">
        <v>798</v>
      </c>
    </row>
    <row r="16" spans="1:22">
      <c r="A16" s="1" t="s">
        <v>36</v>
      </c>
      <c r="B16">
        <f>HYPERLINK("https://www.suredividend.com/sure-analysis-EFSI/","Eagle Financial Services, Inc.")</f>
        <v>0</v>
      </c>
      <c r="C16">
        <v>34.69</v>
      </c>
      <c r="D16">
        <v>37</v>
      </c>
      <c r="E16">
        <v>0.9375675675675675</v>
      </c>
      <c r="F16">
        <v>0.03228596137215337</v>
      </c>
      <c r="G16">
        <v>0.01297676717824703</v>
      </c>
      <c r="H16">
        <v>0.055</v>
      </c>
      <c r="I16">
        <v>0.09564971893598639</v>
      </c>
      <c r="J16" t="s">
        <v>776</v>
      </c>
      <c r="K16" t="s">
        <v>776</v>
      </c>
      <c r="L16">
        <v>3.4</v>
      </c>
      <c r="M16">
        <v>1.12</v>
      </c>
      <c r="N16">
        <v>0.3294117647058824</v>
      </c>
      <c r="O16">
        <v>35</v>
      </c>
      <c r="P16">
        <v>0.04563955259127317</v>
      </c>
      <c r="Q16">
        <v>0.216220006450979</v>
      </c>
      <c r="R16" t="s">
        <v>780</v>
      </c>
      <c r="S16" t="s">
        <v>789</v>
      </c>
      <c r="T16">
        <v>119.8237</v>
      </c>
      <c r="U16" s="2">
        <v>44505</v>
      </c>
      <c r="V16" t="s">
        <v>797</v>
      </c>
    </row>
    <row r="17" spans="1:22">
      <c r="A17" s="1" t="s">
        <v>37</v>
      </c>
      <c r="B17">
        <f>HYPERLINK("https://www.suredividend.com/sure-analysis-CINF/","Cincinnati Financial Corp.")</f>
        <v>0</v>
      </c>
      <c r="C17">
        <v>113.67</v>
      </c>
      <c r="D17">
        <v>112.03</v>
      </c>
      <c r="E17">
        <v>1.014638935999286</v>
      </c>
      <c r="F17">
        <v>0.02216943784639747</v>
      </c>
      <c r="G17">
        <v>-0.002902344257325051</v>
      </c>
      <c r="H17">
        <v>0.08</v>
      </c>
      <c r="I17">
        <v>0.09536268441263496</v>
      </c>
      <c r="J17" t="s">
        <v>776</v>
      </c>
      <c r="K17" t="s">
        <v>777</v>
      </c>
      <c r="L17">
        <v>5.58</v>
      </c>
      <c r="M17">
        <v>2.52</v>
      </c>
      <c r="N17">
        <v>0.4516129032258064</v>
      </c>
      <c r="O17">
        <v>60</v>
      </c>
      <c r="P17">
        <v>0.05024607263868264</v>
      </c>
      <c r="Q17">
        <v>0.363300177316733</v>
      </c>
      <c r="R17" t="s">
        <v>780</v>
      </c>
      <c r="S17" t="s">
        <v>789</v>
      </c>
      <c r="T17">
        <v>18534.43759</v>
      </c>
      <c r="U17" s="2">
        <v>44499</v>
      </c>
      <c r="V17" t="s">
        <v>798</v>
      </c>
    </row>
    <row r="18" spans="1:22">
      <c r="A18" s="1" t="s">
        <v>38</v>
      </c>
      <c r="B18">
        <f>HYPERLINK("https://www.suredividend.com/sure-analysis-PH/","Parker-Hannifin Corp.")</f>
        <v>0</v>
      </c>
      <c r="C18">
        <v>315</v>
      </c>
      <c r="D18">
        <v>289</v>
      </c>
      <c r="E18">
        <v>1.089965397923875</v>
      </c>
      <c r="F18">
        <v>0.01307936507936508</v>
      </c>
      <c r="G18">
        <v>-0.01708161638703476</v>
      </c>
      <c r="H18">
        <v>0.1</v>
      </c>
      <c r="I18">
        <v>0.09377526025629646</v>
      </c>
      <c r="J18" t="s">
        <v>776</v>
      </c>
      <c r="K18" t="s">
        <v>777</v>
      </c>
      <c r="L18">
        <v>17.5</v>
      </c>
      <c r="M18">
        <v>4.12</v>
      </c>
      <c r="N18">
        <v>0.2354285714285714</v>
      </c>
      <c r="O18">
        <v>65</v>
      </c>
      <c r="P18">
        <v>0.10015574926841</v>
      </c>
      <c r="Q18">
        <v>0.212776405294191</v>
      </c>
      <c r="R18" t="s">
        <v>780</v>
      </c>
      <c r="S18" t="s">
        <v>786</v>
      </c>
      <c r="T18">
        <v>40944.864026</v>
      </c>
      <c r="U18" s="2">
        <v>44508</v>
      </c>
      <c r="V18" t="s">
        <v>803</v>
      </c>
    </row>
    <row r="19" spans="1:22">
      <c r="A19" s="1" t="s">
        <v>39</v>
      </c>
      <c r="B19">
        <f>HYPERLINK("https://www.suredividend.com/sure-analysis-TNC/","Tennant Co.")</f>
        <v>0</v>
      </c>
      <c r="C19">
        <v>80.89</v>
      </c>
      <c r="D19">
        <v>82</v>
      </c>
      <c r="E19">
        <v>0.9864634146341463</v>
      </c>
      <c r="F19">
        <v>0.01236246754852269</v>
      </c>
      <c r="G19">
        <v>0.002729526439406493</v>
      </c>
      <c r="H19">
        <v>0.08</v>
      </c>
      <c r="I19">
        <v>0.09320053249844196</v>
      </c>
      <c r="J19" t="s">
        <v>776</v>
      </c>
      <c r="K19" t="s">
        <v>777</v>
      </c>
      <c r="L19">
        <v>4.3</v>
      </c>
      <c r="M19">
        <v>1</v>
      </c>
      <c r="N19">
        <v>0.2325581395348837</v>
      </c>
      <c r="O19">
        <v>49</v>
      </c>
      <c r="P19">
        <v>0.05061112176150684</v>
      </c>
      <c r="Q19">
        <v>0.197899789891016</v>
      </c>
      <c r="R19" t="s">
        <v>780</v>
      </c>
      <c r="S19" t="s">
        <v>786</v>
      </c>
      <c r="T19">
        <v>1514.408766</v>
      </c>
      <c r="U19" s="2">
        <v>44510</v>
      </c>
      <c r="V19" t="s">
        <v>797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253.26</v>
      </c>
      <c r="D20">
        <v>231</v>
      </c>
      <c r="E20">
        <v>1.096363636363636</v>
      </c>
      <c r="F20">
        <v>0.01374081971096897</v>
      </c>
      <c r="G20">
        <v>-0.018231541135872</v>
      </c>
      <c r="H20">
        <v>0.1</v>
      </c>
      <c r="I20">
        <v>0.09317811456596625</v>
      </c>
      <c r="J20" t="s">
        <v>776</v>
      </c>
      <c r="K20" t="s">
        <v>777</v>
      </c>
      <c r="L20">
        <v>12.4</v>
      </c>
      <c r="M20">
        <v>3.48</v>
      </c>
      <c r="N20">
        <v>0.2806451612903226</v>
      </c>
      <c r="O20">
        <v>50</v>
      </c>
      <c r="P20">
        <v>0.09982036375468772</v>
      </c>
      <c r="Q20">
        <v>0.031825820258464</v>
      </c>
      <c r="R20" t="s">
        <v>780</v>
      </c>
      <c r="S20" t="s">
        <v>785</v>
      </c>
      <c r="T20">
        <v>72056.11350199999</v>
      </c>
      <c r="U20" s="2">
        <v>44507</v>
      </c>
      <c r="V20" t="s">
        <v>796</v>
      </c>
    </row>
    <row r="21" spans="1:22">
      <c r="A21" s="1" t="s">
        <v>41</v>
      </c>
      <c r="B21">
        <f>HYPERLINK("https://www.suredividend.com/sure-analysis-NOC/","Northrop Grumman Corp.")</f>
        <v>0</v>
      </c>
      <c r="C21">
        <v>384.53</v>
      </c>
      <c r="D21">
        <v>381</v>
      </c>
      <c r="E21">
        <v>1.009265091863517</v>
      </c>
      <c r="F21">
        <v>0.01633162562088784</v>
      </c>
      <c r="G21">
        <v>-0.001842786816007913</v>
      </c>
      <c r="H21">
        <v>0.08</v>
      </c>
      <c r="I21">
        <v>0.09291865093024709</v>
      </c>
      <c r="J21" t="s">
        <v>776</v>
      </c>
      <c r="K21" t="s">
        <v>777</v>
      </c>
      <c r="L21">
        <v>25.4</v>
      </c>
      <c r="M21">
        <v>6.28</v>
      </c>
      <c r="N21">
        <v>0.247244094488189</v>
      </c>
      <c r="O21">
        <v>18</v>
      </c>
      <c r="P21">
        <v>0.0800613160089807</v>
      </c>
      <c r="Q21">
        <v>0.296271355362662</v>
      </c>
      <c r="R21" t="s">
        <v>780</v>
      </c>
      <c r="S21" t="s">
        <v>786</v>
      </c>
      <c r="T21">
        <v>61035.407179</v>
      </c>
      <c r="U21" s="2">
        <v>44504</v>
      </c>
      <c r="V21" t="s">
        <v>801</v>
      </c>
    </row>
    <row r="22" spans="1:22">
      <c r="A22" s="1" t="s">
        <v>42</v>
      </c>
      <c r="B22">
        <f>HYPERLINK("https://www.suredividend.com/sure-analysis-LHX/","L3Harris Technologies Inc")</f>
        <v>0</v>
      </c>
      <c r="C22">
        <v>212.94</v>
      </c>
      <c r="D22">
        <v>206</v>
      </c>
      <c r="E22">
        <v>1.033689320388349</v>
      </c>
      <c r="F22">
        <v>0.01916032685263454</v>
      </c>
      <c r="G22">
        <v>-0.006604944249255618</v>
      </c>
      <c r="H22">
        <v>0.08</v>
      </c>
      <c r="I22">
        <v>0.09058780660913568</v>
      </c>
      <c r="J22" t="s">
        <v>776</v>
      </c>
      <c r="K22" t="s">
        <v>777</v>
      </c>
      <c r="L22">
        <v>12.9</v>
      </c>
      <c r="M22">
        <v>4.08</v>
      </c>
      <c r="N22">
        <v>0.3162790697674419</v>
      </c>
      <c r="O22">
        <v>20</v>
      </c>
      <c r="P22">
        <v>0.07982488529298792</v>
      </c>
      <c r="Q22">
        <v>0.161910858343386</v>
      </c>
      <c r="R22" t="s">
        <v>780</v>
      </c>
      <c r="S22" t="s">
        <v>786</v>
      </c>
      <c r="T22">
        <v>41672.402852</v>
      </c>
      <c r="U22" s="2">
        <v>44509</v>
      </c>
      <c r="V22" t="s">
        <v>801</v>
      </c>
    </row>
    <row r="23" spans="1:22">
      <c r="A23" s="1" t="s">
        <v>43</v>
      </c>
      <c r="B23">
        <f>HYPERLINK("https://www.suredividend.com/sure-analysis-INTU/","Intuit Inc")</f>
        <v>0</v>
      </c>
      <c r="C23">
        <v>643.36</v>
      </c>
      <c r="D23">
        <v>462</v>
      </c>
      <c r="E23">
        <v>1.392554112554113</v>
      </c>
      <c r="F23">
        <v>0.004227804028848545</v>
      </c>
      <c r="G23">
        <v>-0.06408246536975137</v>
      </c>
      <c r="H23">
        <v>0.16</v>
      </c>
      <c r="I23">
        <v>0.09047530694368411</v>
      </c>
      <c r="J23" t="s">
        <v>776</v>
      </c>
      <c r="K23" t="s">
        <v>524</v>
      </c>
      <c r="L23">
        <v>11.56</v>
      </c>
      <c r="M23">
        <v>2.72</v>
      </c>
      <c r="N23">
        <v>0.2352941176470588</v>
      </c>
      <c r="O23">
        <v>10</v>
      </c>
      <c r="P23">
        <v>0.1598810174248351</v>
      </c>
      <c r="Q23">
        <v>0.722276158981055</v>
      </c>
      <c r="R23" t="s">
        <v>780</v>
      </c>
      <c r="S23" t="s">
        <v>787</v>
      </c>
      <c r="T23">
        <v>177589.376166</v>
      </c>
      <c r="U23" s="2">
        <v>44520</v>
      </c>
      <c r="V23" t="s">
        <v>795</v>
      </c>
    </row>
    <row r="24" spans="1:22">
      <c r="A24" s="1" t="s">
        <v>44</v>
      </c>
      <c r="B24">
        <f>HYPERLINK("https://www.suredividend.com/sure-analysis-SWK/","Stanley Black &amp; Decker Inc")</f>
        <v>0</v>
      </c>
      <c r="C24">
        <v>186.73</v>
      </c>
      <c r="D24">
        <v>182</v>
      </c>
      <c r="E24">
        <v>1.025989010989011</v>
      </c>
      <c r="F24">
        <v>0.01692282975419054</v>
      </c>
      <c r="G24">
        <v>-0.005118264051366284</v>
      </c>
      <c r="H24">
        <v>0.08</v>
      </c>
      <c r="I24">
        <v>0.09009378769592136</v>
      </c>
      <c r="J24" t="s">
        <v>776</v>
      </c>
      <c r="K24" t="s">
        <v>777</v>
      </c>
      <c r="L24">
        <v>11</v>
      </c>
      <c r="M24">
        <v>3.16</v>
      </c>
      <c r="N24">
        <v>0.2872727272727273</v>
      </c>
      <c r="O24">
        <v>54</v>
      </c>
      <c r="P24">
        <v>0.07985683020954282</v>
      </c>
      <c r="Q24">
        <v>0.078629752458476</v>
      </c>
      <c r="R24" t="s">
        <v>780</v>
      </c>
      <c r="S24" t="s">
        <v>786</v>
      </c>
      <c r="T24">
        <v>30521.447431</v>
      </c>
      <c r="U24" s="2">
        <v>44500</v>
      </c>
      <c r="V24" t="s">
        <v>796</v>
      </c>
    </row>
    <row r="25" spans="1:22">
      <c r="A25" s="1" t="s">
        <v>45</v>
      </c>
      <c r="B25">
        <f>HYPERLINK("https://www.suredividend.com/sure-analysis-WBA/","Walgreens Boots Alliance Inc")</f>
        <v>0</v>
      </c>
      <c r="C25">
        <v>51.99</v>
      </c>
      <c r="D25">
        <v>54</v>
      </c>
      <c r="E25">
        <v>0.9627777777777778</v>
      </c>
      <c r="F25">
        <v>0.0367378341988844</v>
      </c>
      <c r="G25">
        <v>0.007615381471377747</v>
      </c>
      <c r="H25">
        <v>0.05</v>
      </c>
      <c r="I25">
        <v>0.09003891674813769</v>
      </c>
      <c r="J25" t="s">
        <v>776</v>
      </c>
      <c r="K25" t="s">
        <v>776</v>
      </c>
      <c r="L25">
        <v>5.35</v>
      </c>
      <c r="M25">
        <v>1.91</v>
      </c>
      <c r="N25">
        <v>0.3570093457943925</v>
      </c>
      <c r="O25">
        <v>46</v>
      </c>
      <c r="P25">
        <v>0.0501982537579746</v>
      </c>
      <c r="Q25">
        <v>0.376383627752108</v>
      </c>
      <c r="R25" t="s">
        <v>780</v>
      </c>
      <c r="S25" t="s">
        <v>785</v>
      </c>
      <c r="T25">
        <v>45228.245706</v>
      </c>
      <c r="U25" s="2">
        <v>44483</v>
      </c>
      <c r="V25" t="s">
        <v>799</v>
      </c>
    </row>
    <row r="26" spans="1:22">
      <c r="A26" s="1" t="s">
        <v>46</v>
      </c>
      <c r="B26">
        <f>HYPERLINK("https://www.suredividend.com/sure-analysis-BANF/","Bancfirst Corp.")</f>
        <v>0</v>
      </c>
      <c r="C26">
        <v>70.36</v>
      </c>
      <c r="D26">
        <v>74</v>
      </c>
      <c r="E26">
        <v>0.9508108108108108</v>
      </c>
      <c r="F26">
        <v>0.02046617396247868</v>
      </c>
      <c r="G26">
        <v>0.01013909042835381</v>
      </c>
      <c r="H26">
        <v>0.06</v>
      </c>
      <c r="I26">
        <v>0.08875629847681843</v>
      </c>
      <c r="J26" t="s">
        <v>776</v>
      </c>
      <c r="K26" t="s">
        <v>777</v>
      </c>
      <c r="L26">
        <v>4.96</v>
      </c>
      <c r="M26">
        <v>1.44</v>
      </c>
      <c r="N26">
        <v>0.2903225806451613</v>
      </c>
      <c r="O26">
        <v>28</v>
      </c>
      <c r="P26">
        <v>0.06032490771095733</v>
      </c>
      <c r="Q26">
        <v>0.256156458551969</v>
      </c>
      <c r="R26" t="s">
        <v>780</v>
      </c>
      <c r="S26" t="s">
        <v>789</v>
      </c>
      <c r="T26">
        <v>2311.975963</v>
      </c>
      <c r="U26" s="2">
        <v>44492</v>
      </c>
      <c r="V26" t="s">
        <v>798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270.69</v>
      </c>
      <c r="D27">
        <v>223</v>
      </c>
      <c r="E27">
        <v>1.213856502242152</v>
      </c>
      <c r="F27">
        <v>0.01027005061140049</v>
      </c>
      <c r="G27">
        <v>-0.03801892074397406</v>
      </c>
      <c r="H27">
        <v>0.12</v>
      </c>
      <c r="I27">
        <v>0.08741375909963001</v>
      </c>
      <c r="J27" t="s">
        <v>776</v>
      </c>
      <c r="K27" t="s">
        <v>346</v>
      </c>
      <c r="L27">
        <v>9.119999999999999</v>
      </c>
      <c r="M27">
        <v>2.78</v>
      </c>
      <c r="N27">
        <v>0.3048245614035088</v>
      </c>
      <c r="O27">
        <v>28</v>
      </c>
      <c r="P27">
        <v>0.09816509304403764</v>
      </c>
      <c r="Q27">
        <v>0.136955043914369</v>
      </c>
      <c r="R27" t="s">
        <v>780</v>
      </c>
      <c r="S27" t="s">
        <v>785</v>
      </c>
      <c r="T27">
        <v>102234.570302</v>
      </c>
      <c r="U27" s="2">
        <v>44500</v>
      </c>
      <c r="V27" t="s">
        <v>796</v>
      </c>
    </row>
    <row r="28" spans="1:22">
      <c r="A28" s="1" t="s">
        <v>48</v>
      </c>
      <c r="B28">
        <f>HYPERLINK("https://www.suredividend.com/sure-analysis-FMS/","Fresenius Medical Care AG &amp; Co. KGaA")</f>
        <v>0</v>
      </c>
      <c r="C28">
        <v>32.32</v>
      </c>
      <c r="D28">
        <v>33</v>
      </c>
      <c r="E28">
        <v>0.9793939393939394</v>
      </c>
      <c r="F28">
        <v>0.02537128712871287</v>
      </c>
      <c r="G28">
        <v>0.004172948164592016</v>
      </c>
      <c r="H28">
        <v>0.06</v>
      </c>
      <c r="I28">
        <v>0.08709237287327398</v>
      </c>
      <c r="J28" t="s">
        <v>776</v>
      </c>
      <c r="K28" t="s">
        <v>777</v>
      </c>
      <c r="L28">
        <v>2.04</v>
      </c>
      <c r="M28">
        <v>0.82</v>
      </c>
      <c r="N28">
        <v>0.4019607843137254</v>
      </c>
      <c r="O28">
        <v>24</v>
      </c>
      <c r="P28">
        <v>0.06051243834129849</v>
      </c>
      <c r="Q28">
        <v>-0.205365978814646</v>
      </c>
      <c r="R28" t="s">
        <v>780</v>
      </c>
      <c r="S28" t="s">
        <v>785</v>
      </c>
      <c r="T28">
        <v>19056.343353</v>
      </c>
      <c r="U28" s="2">
        <v>44503</v>
      </c>
      <c r="V28" t="s">
        <v>796</v>
      </c>
    </row>
    <row r="29" spans="1:22">
      <c r="A29" s="1" t="s">
        <v>49</v>
      </c>
      <c r="B29">
        <f>HYPERLINK("https://www.suredividend.com/sure-analysis-CAH/","Cardinal Health, Inc.")</f>
        <v>0</v>
      </c>
      <c r="C29">
        <v>51.6792</v>
      </c>
      <c r="D29">
        <v>58</v>
      </c>
      <c r="E29">
        <v>0.8910206896551724</v>
      </c>
      <c r="F29">
        <v>0.03792628368860199</v>
      </c>
      <c r="G29">
        <v>0.02334587260269805</v>
      </c>
      <c r="H29">
        <v>0.03</v>
      </c>
      <c r="I29">
        <v>0.08655244589400302</v>
      </c>
      <c r="J29" t="s">
        <v>776</v>
      </c>
      <c r="K29" t="s">
        <v>776</v>
      </c>
      <c r="L29">
        <v>5.75</v>
      </c>
      <c r="M29">
        <v>1.96</v>
      </c>
      <c r="N29">
        <v>0.3408695652173913</v>
      </c>
      <c r="O29">
        <v>34</v>
      </c>
      <c r="P29">
        <v>0.03959498820755258</v>
      </c>
      <c r="Q29">
        <v>0.007656641725309001</v>
      </c>
      <c r="R29" t="s">
        <v>780</v>
      </c>
      <c r="S29" t="s">
        <v>785</v>
      </c>
      <c r="T29">
        <v>14667.065504</v>
      </c>
      <c r="U29" s="2">
        <v>44511</v>
      </c>
      <c r="V29" t="s">
        <v>799</v>
      </c>
    </row>
    <row r="30" spans="1:22">
      <c r="A30" s="1" t="s">
        <v>50</v>
      </c>
      <c r="B30">
        <f>HYPERLINK("https://www.suredividend.com/sure-analysis-MMM/","3M Co.")</f>
        <v>0</v>
      </c>
      <c r="C30">
        <v>177.64</v>
      </c>
      <c r="D30">
        <v>186</v>
      </c>
      <c r="E30">
        <v>0.9550537634408601</v>
      </c>
      <c r="F30">
        <v>0.03332582751632515</v>
      </c>
      <c r="G30">
        <v>0.009239955900065988</v>
      </c>
      <c r="H30">
        <v>0.05</v>
      </c>
      <c r="I30">
        <v>0.08638897478128582</v>
      </c>
      <c r="J30" t="s">
        <v>776</v>
      </c>
      <c r="K30" t="s">
        <v>776</v>
      </c>
      <c r="L30">
        <v>9.800000000000001</v>
      </c>
      <c r="M30">
        <v>5.92</v>
      </c>
      <c r="N30">
        <v>0.6040816326530611</v>
      </c>
      <c r="O30">
        <v>63</v>
      </c>
      <c r="P30">
        <v>0.02011987338221144</v>
      </c>
      <c r="Q30">
        <v>0.058803630828212</v>
      </c>
      <c r="R30" t="s">
        <v>780</v>
      </c>
      <c r="S30" t="s">
        <v>786</v>
      </c>
      <c r="T30">
        <v>103234.850718</v>
      </c>
      <c r="U30" s="2">
        <v>44496</v>
      </c>
      <c r="V30" t="s">
        <v>796</v>
      </c>
    </row>
    <row r="31" spans="1:22">
      <c r="A31" s="1" t="s">
        <v>51</v>
      </c>
      <c r="B31">
        <f>HYPERLINK("https://www.suredividend.com/sure-analysis-WSM/","Williams-Sonoma, Inc.")</f>
        <v>0</v>
      </c>
      <c r="C31">
        <v>169.39</v>
      </c>
      <c r="D31">
        <v>216</v>
      </c>
      <c r="E31">
        <v>0.7842129629629629</v>
      </c>
      <c r="F31">
        <v>0.01676604285967295</v>
      </c>
      <c r="G31">
        <v>0.04981602215003655</v>
      </c>
      <c r="H31">
        <v>0.02</v>
      </c>
      <c r="I31">
        <v>0.08563430727527255</v>
      </c>
      <c r="J31" t="s">
        <v>776</v>
      </c>
      <c r="K31" t="s">
        <v>777</v>
      </c>
      <c r="L31">
        <v>13.5</v>
      </c>
      <c r="M31">
        <v>2.84</v>
      </c>
      <c r="N31">
        <v>0.2103703703703703</v>
      </c>
      <c r="O31">
        <v>15</v>
      </c>
      <c r="P31">
        <v>0.05996872493653238</v>
      </c>
      <c r="Q31">
        <v>0.6505522107399221</v>
      </c>
      <c r="R31" t="s">
        <v>780</v>
      </c>
      <c r="S31" t="s">
        <v>788</v>
      </c>
      <c r="T31">
        <v>12378.193239</v>
      </c>
      <c r="U31" s="2">
        <v>44520</v>
      </c>
      <c r="V31" t="s">
        <v>799</v>
      </c>
    </row>
    <row r="32" spans="1:22">
      <c r="A32" s="1" t="s">
        <v>52</v>
      </c>
      <c r="B32">
        <f>HYPERLINK("https://www.suredividend.com/sure-analysis-CP/","Canadian Pacific Railway Ltd")</f>
        <v>0</v>
      </c>
      <c r="C32">
        <v>71.59</v>
      </c>
      <c r="D32">
        <v>64</v>
      </c>
      <c r="E32">
        <v>1.11859375</v>
      </c>
      <c r="F32">
        <v>0.008520743120547562</v>
      </c>
      <c r="G32">
        <v>-0.0221651255271258</v>
      </c>
      <c r="H32">
        <v>0.1</v>
      </c>
      <c r="I32">
        <v>0.08532918662220235</v>
      </c>
      <c r="J32" t="s">
        <v>776</v>
      </c>
      <c r="K32" t="s">
        <v>524</v>
      </c>
      <c r="L32">
        <v>3.06</v>
      </c>
      <c r="M32">
        <v>0.61</v>
      </c>
      <c r="N32">
        <v>0.1993464052287582</v>
      </c>
      <c r="O32">
        <v>5</v>
      </c>
      <c r="P32">
        <v>0.1505753231079818</v>
      </c>
      <c r="Q32">
        <v>0.04636213746667901</v>
      </c>
      <c r="R32" t="s">
        <v>780</v>
      </c>
      <c r="S32" t="s">
        <v>786</v>
      </c>
      <c r="T32">
        <v>66957.171498</v>
      </c>
      <c r="U32" s="2">
        <v>44491</v>
      </c>
      <c r="V32" t="s">
        <v>804</v>
      </c>
    </row>
    <row r="33" spans="1:22">
      <c r="A33" s="1" t="s">
        <v>53</v>
      </c>
      <c r="B33">
        <f>HYPERLINK("https://www.suredividend.com/sure-analysis-UGI/","UGI Corp.")</f>
        <v>0</v>
      </c>
      <c r="C33">
        <v>45.9</v>
      </c>
      <c r="D33">
        <v>49.9</v>
      </c>
      <c r="E33">
        <v>0.9198396793587175</v>
      </c>
      <c r="F33">
        <v>0.03050108932461874</v>
      </c>
      <c r="G33">
        <v>0.01685158992273328</v>
      </c>
      <c r="H33">
        <v>0.04</v>
      </c>
      <c r="I33">
        <v>0.08427104454643231</v>
      </c>
      <c r="J33" t="s">
        <v>776</v>
      </c>
      <c r="K33" t="s">
        <v>776</v>
      </c>
      <c r="L33">
        <v>3.22</v>
      </c>
      <c r="M33">
        <v>1.4</v>
      </c>
      <c r="N33">
        <v>0.4347826086956521</v>
      </c>
      <c r="O33">
        <v>34</v>
      </c>
      <c r="P33">
        <v>0.04801873431401682</v>
      </c>
      <c r="Q33">
        <v>0.372419225850124</v>
      </c>
      <c r="R33" t="s">
        <v>780</v>
      </c>
      <c r="S33" t="s">
        <v>792</v>
      </c>
      <c r="T33">
        <v>9586.538065000001</v>
      </c>
      <c r="U33" s="2">
        <v>44521</v>
      </c>
      <c r="V33" t="s">
        <v>805</v>
      </c>
    </row>
    <row r="34" spans="1:22">
      <c r="A34" s="1" t="s">
        <v>54</v>
      </c>
      <c r="B34">
        <f>HYPERLINK("https://www.suredividend.com/sure-analysis-ATO/","Atmos Energy Corp.")</f>
        <v>0</v>
      </c>
      <c r="C34">
        <v>104.49</v>
      </c>
      <c r="D34">
        <v>104</v>
      </c>
      <c r="E34">
        <v>1.004711538461538</v>
      </c>
      <c r="F34">
        <v>0.02603119915781415</v>
      </c>
      <c r="G34">
        <v>-0.0009396530302707706</v>
      </c>
      <c r="H34">
        <v>0.06</v>
      </c>
      <c r="I34">
        <v>0.0840334465805701</v>
      </c>
      <c r="J34" t="s">
        <v>776</v>
      </c>
      <c r="K34" t="s">
        <v>777</v>
      </c>
      <c r="L34">
        <v>5.45</v>
      </c>
      <c r="M34">
        <v>2.72</v>
      </c>
      <c r="N34">
        <v>0.4990825688073395</v>
      </c>
      <c r="O34">
        <v>38</v>
      </c>
      <c r="P34">
        <v>0.0801851873035635</v>
      </c>
      <c r="Q34">
        <v>0.147342003793463</v>
      </c>
      <c r="R34" t="s">
        <v>780</v>
      </c>
      <c r="S34" t="s">
        <v>792</v>
      </c>
      <c r="T34">
        <v>13911.489995</v>
      </c>
      <c r="U34" s="2">
        <v>44524</v>
      </c>
      <c r="V34" t="s">
        <v>800</v>
      </c>
    </row>
    <row r="35" spans="1:22">
      <c r="A35" s="1" t="s">
        <v>55</v>
      </c>
      <c r="B35">
        <f>HYPERLINK("https://www.suredividend.com/sure-analysis-JW.A/","John Wiley &amp; Sons Inc.")</f>
        <v>0</v>
      </c>
      <c r="C35">
        <v>56.84</v>
      </c>
      <c r="D35">
        <v>62</v>
      </c>
      <c r="E35">
        <v>0.9167741935483872</v>
      </c>
      <c r="F35">
        <v>0.02427867698803659</v>
      </c>
      <c r="G35">
        <v>0.01753070660745637</v>
      </c>
      <c r="H35">
        <v>0.045</v>
      </c>
      <c r="I35">
        <v>0.08332526901351334</v>
      </c>
      <c r="J35" t="s">
        <v>776</v>
      </c>
      <c r="K35" t="s">
        <v>777</v>
      </c>
      <c r="L35">
        <v>4.12</v>
      </c>
      <c r="M35">
        <v>1.38</v>
      </c>
      <c r="N35">
        <v>0.3349514563106796</v>
      </c>
      <c r="O35">
        <v>28</v>
      </c>
      <c r="P35">
        <v>0.03002598081465924</v>
      </c>
      <c r="Q35">
        <v>0.265606065659429</v>
      </c>
      <c r="R35" t="s">
        <v>780</v>
      </c>
      <c r="S35" t="s">
        <v>784</v>
      </c>
      <c r="T35">
        <v>3160.488871</v>
      </c>
      <c r="U35" s="2">
        <v>44545</v>
      </c>
      <c r="V35" t="s">
        <v>797</v>
      </c>
    </row>
    <row r="36" spans="1:22">
      <c r="A36" s="1" t="s">
        <v>56</v>
      </c>
      <c r="B36">
        <f>HYPERLINK("https://www.suredividend.com/sure-analysis-CTBI/","Community Trust Bancorp, Inc.")</f>
        <v>0</v>
      </c>
      <c r="C36">
        <v>43.3</v>
      </c>
      <c r="D36">
        <v>48</v>
      </c>
      <c r="E36">
        <v>0.9020833333333332</v>
      </c>
      <c r="F36">
        <v>0.03695150115473442</v>
      </c>
      <c r="G36">
        <v>0.02082352110716879</v>
      </c>
      <c r="H36">
        <v>0.03</v>
      </c>
      <c r="I36">
        <v>0.08285436079866249</v>
      </c>
      <c r="J36" t="s">
        <v>776</v>
      </c>
      <c r="K36" t="s">
        <v>776</v>
      </c>
      <c r="L36">
        <v>4</v>
      </c>
      <c r="M36">
        <v>1.6</v>
      </c>
      <c r="N36">
        <v>0.4</v>
      </c>
      <c r="O36">
        <v>41</v>
      </c>
      <c r="P36">
        <v>0.03277941543624596</v>
      </c>
      <c r="Q36">
        <v>0.236083106864206</v>
      </c>
      <c r="R36" t="s">
        <v>780</v>
      </c>
      <c r="S36" t="s">
        <v>789</v>
      </c>
      <c r="T36">
        <v>779.921071</v>
      </c>
      <c r="U36" s="2">
        <v>44490</v>
      </c>
      <c r="V36" t="s">
        <v>803</v>
      </c>
    </row>
    <row r="37" spans="1:22">
      <c r="A37" s="1" t="s">
        <v>57</v>
      </c>
      <c r="B37">
        <f>HYPERLINK("https://www.suredividend.com/sure-analysis-MDU/","MDU Resources Group Inc")</f>
        <v>0</v>
      </c>
      <c r="C37">
        <v>30.74</v>
      </c>
      <c r="D37">
        <v>32</v>
      </c>
      <c r="E37">
        <v>0.960625</v>
      </c>
      <c r="F37">
        <v>0.02830188679245283</v>
      </c>
      <c r="G37">
        <v>0.00806659399467291</v>
      </c>
      <c r="H37">
        <v>0.05</v>
      </c>
      <c r="I37">
        <v>0.0816620961006469</v>
      </c>
      <c r="J37" t="s">
        <v>776</v>
      </c>
      <c r="K37" t="s">
        <v>777</v>
      </c>
      <c r="L37">
        <v>2</v>
      </c>
      <c r="M37">
        <v>0.87</v>
      </c>
      <c r="N37">
        <v>0.435</v>
      </c>
      <c r="O37">
        <v>30</v>
      </c>
      <c r="P37">
        <v>0.02409763832975087</v>
      </c>
      <c r="Q37">
        <v>0.235470957992379</v>
      </c>
      <c r="R37" t="s">
        <v>780</v>
      </c>
      <c r="S37" t="s">
        <v>790</v>
      </c>
      <c r="T37">
        <v>6222.726788</v>
      </c>
      <c r="U37" s="2">
        <v>44524</v>
      </c>
      <c r="V37" t="s">
        <v>800</v>
      </c>
    </row>
    <row r="38" spans="1:22">
      <c r="A38" s="1" t="s">
        <v>58</v>
      </c>
      <c r="B38">
        <f>HYPERLINK("https://www.suredividend.com/sure-analysis-SEIC/","SEI Investments Co.")</f>
        <v>0</v>
      </c>
      <c r="C38">
        <v>61.33</v>
      </c>
      <c r="D38">
        <v>64</v>
      </c>
      <c r="E38">
        <v>0.95828125</v>
      </c>
      <c r="F38">
        <v>0.01304418718408609</v>
      </c>
      <c r="G38">
        <v>0.008559215142422083</v>
      </c>
      <c r="H38">
        <v>0.06</v>
      </c>
      <c r="I38">
        <v>0.08087759811277362</v>
      </c>
      <c r="J38" t="s">
        <v>776</v>
      </c>
      <c r="K38" t="s">
        <v>777</v>
      </c>
      <c r="L38">
        <v>3.75</v>
      </c>
      <c r="M38">
        <v>0.8</v>
      </c>
      <c r="N38">
        <v>0.2133333333333333</v>
      </c>
      <c r="O38">
        <v>31</v>
      </c>
      <c r="P38">
        <v>0.06381792112252427</v>
      </c>
      <c r="Q38">
        <v>0.108836359910775</v>
      </c>
      <c r="R38" t="s">
        <v>780</v>
      </c>
      <c r="S38" t="s">
        <v>789</v>
      </c>
      <c r="T38">
        <v>8602.825156999999</v>
      </c>
      <c r="U38" s="2">
        <v>44493</v>
      </c>
      <c r="V38" t="s">
        <v>800</v>
      </c>
    </row>
    <row r="39" spans="1:22">
      <c r="A39" s="1" t="s">
        <v>59</v>
      </c>
      <c r="B39">
        <f>HYPERLINK("https://www.suredividend.com/sure-analysis-MATW/","Matthews International Corp.")</f>
        <v>0</v>
      </c>
      <c r="C39">
        <v>36.48</v>
      </c>
      <c r="D39">
        <v>42</v>
      </c>
      <c r="E39">
        <v>0.8685714285714285</v>
      </c>
      <c r="F39">
        <v>0.02412280701754386</v>
      </c>
      <c r="G39">
        <v>0.0285819340923652</v>
      </c>
      <c r="H39">
        <v>0.03</v>
      </c>
      <c r="I39">
        <v>0.08074566416634155</v>
      </c>
      <c r="J39" t="s">
        <v>776</v>
      </c>
      <c r="K39" t="s">
        <v>777</v>
      </c>
      <c r="L39">
        <v>2.94</v>
      </c>
      <c r="M39">
        <v>0.88</v>
      </c>
      <c r="N39">
        <v>0.2993197278911565</v>
      </c>
      <c r="O39">
        <v>28</v>
      </c>
      <c r="P39">
        <v>0.04941452284458392</v>
      </c>
      <c r="Q39">
        <v>0.325547466085461</v>
      </c>
      <c r="R39" t="s">
        <v>780</v>
      </c>
      <c r="S39" t="s">
        <v>786</v>
      </c>
      <c r="T39">
        <v>1169.429362</v>
      </c>
      <c r="U39" s="2">
        <v>44532</v>
      </c>
      <c r="V39" t="s">
        <v>802</v>
      </c>
    </row>
    <row r="40" spans="1:22">
      <c r="A40" s="1" t="s">
        <v>60</v>
      </c>
      <c r="B40">
        <f>HYPERLINK("https://www.suredividend.com/sure-analysis-NIDB/","Northeast Indiana Bancorp Inc.")</f>
        <v>0</v>
      </c>
      <c r="C40">
        <v>47</v>
      </c>
      <c r="D40">
        <v>54</v>
      </c>
      <c r="E40">
        <v>0.8703703703703703</v>
      </c>
      <c r="F40">
        <v>0.02553191489361702</v>
      </c>
      <c r="G40">
        <v>0.02815639324725039</v>
      </c>
      <c r="H40">
        <v>0.03</v>
      </c>
      <c r="I40">
        <v>0.08031639016689662</v>
      </c>
      <c r="J40" t="s">
        <v>776</v>
      </c>
      <c r="K40" t="s">
        <v>776</v>
      </c>
      <c r="L40">
        <v>6</v>
      </c>
      <c r="M40">
        <v>1.2</v>
      </c>
      <c r="N40">
        <v>0.2</v>
      </c>
      <c r="O40">
        <v>27</v>
      </c>
      <c r="P40">
        <v>0.02983277847878951</v>
      </c>
      <c r="Q40">
        <v>0.175</v>
      </c>
      <c r="R40" t="s">
        <v>780</v>
      </c>
      <c r="S40" t="s">
        <v>789</v>
      </c>
      <c r="T40">
        <v>56.655445</v>
      </c>
      <c r="U40" s="2">
        <v>44503</v>
      </c>
      <c r="V40" t="s">
        <v>796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62.58</v>
      </c>
      <c r="D41">
        <v>77</v>
      </c>
      <c r="E41">
        <v>0.8127272727272727</v>
      </c>
      <c r="F41">
        <v>0.03068072866730585</v>
      </c>
      <c r="G41">
        <v>0.04234390985472247</v>
      </c>
      <c r="H41">
        <v>0.01</v>
      </c>
      <c r="I41">
        <v>0.07953921050946167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0.406614318831082</v>
      </c>
      <c r="R41" t="s">
        <v>780</v>
      </c>
      <c r="S41" t="s">
        <v>789</v>
      </c>
      <c r="T41">
        <v>52723.920897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HYPERLINK("https://www.suredividend.com/sure-analysis-WMT/","Walmart Inc")</f>
        <v>0</v>
      </c>
      <c r="C42">
        <v>143.17</v>
      </c>
      <c r="D42">
        <v>154</v>
      </c>
      <c r="E42">
        <v>0.9296753246753245</v>
      </c>
      <c r="F42">
        <v>0.0153663476985402</v>
      </c>
      <c r="G42">
        <v>0.01469083842198704</v>
      </c>
      <c r="H42">
        <v>0.05</v>
      </c>
      <c r="I42">
        <v>0.07892384044652156</v>
      </c>
      <c r="J42" t="s">
        <v>776</v>
      </c>
      <c r="K42" t="s">
        <v>777</v>
      </c>
      <c r="L42">
        <v>6.4</v>
      </c>
      <c r="M42">
        <v>2.2</v>
      </c>
      <c r="N42">
        <v>0.34375</v>
      </c>
      <c r="O42">
        <v>48</v>
      </c>
      <c r="P42">
        <v>0.05016303610438722</v>
      </c>
      <c r="Q42">
        <v>0.004708493028783001</v>
      </c>
      <c r="R42" t="s">
        <v>780</v>
      </c>
      <c r="S42" t="s">
        <v>791</v>
      </c>
      <c r="T42">
        <v>395860.194741</v>
      </c>
      <c r="U42" s="2">
        <v>44534</v>
      </c>
      <c r="V42" t="s">
        <v>800</v>
      </c>
    </row>
    <row r="43" spans="1:22">
      <c r="A43" s="1" t="s">
        <v>63</v>
      </c>
      <c r="B43">
        <f>HYPERLINK("https://www.suredividend.com/sure-analysis-EMR/","Emerson Electric Co.")</f>
        <v>0</v>
      </c>
      <c r="C43">
        <v>92.66</v>
      </c>
      <c r="D43">
        <v>92</v>
      </c>
      <c r="E43">
        <v>1.007173913043478</v>
      </c>
      <c r="F43">
        <v>0.02223181523850637</v>
      </c>
      <c r="G43">
        <v>-0.001428639110040986</v>
      </c>
      <c r="H43">
        <v>0.06</v>
      </c>
      <c r="I43">
        <v>0.07719192148344733</v>
      </c>
      <c r="J43" t="s">
        <v>776</v>
      </c>
      <c r="K43" t="s">
        <v>776</v>
      </c>
      <c r="L43">
        <v>4.85</v>
      </c>
      <c r="M43">
        <v>2.06</v>
      </c>
      <c r="N43">
        <v>0.4247422680412372</v>
      </c>
      <c r="O43">
        <v>65</v>
      </c>
      <c r="P43">
        <v>0.03016344758557654</v>
      </c>
      <c r="Q43">
        <v>0.198547558934498</v>
      </c>
      <c r="R43" t="s">
        <v>780</v>
      </c>
      <c r="S43" t="s">
        <v>786</v>
      </c>
      <c r="T43">
        <v>55295.955</v>
      </c>
      <c r="U43" s="2">
        <v>44524</v>
      </c>
      <c r="V43" t="s">
        <v>800</v>
      </c>
    </row>
    <row r="44" spans="1:22">
      <c r="A44" s="1" t="s">
        <v>64</v>
      </c>
      <c r="B44">
        <f>HYPERLINK("https://www.suredividend.com/sure-analysis-LOW/","Lowe`s Cos., Inc.")</f>
        <v>0</v>
      </c>
      <c r="C44">
        <v>256.39</v>
      </c>
      <c r="D44">
        <v>251</v>
      </c>
      <c r="E44">
        <v>1.021474103585657</v>
      </c>
      <c r="F44">
        <v>0.01248098599789384</v>
      </c>
      <c r="G44">
        <v>-0.004240340977443635</v>
      </c>
      <c r="H44">
        <v>0.07000000000000001</v>
      </c>
      <c r="I44">
        <v>0.07712652798262298</v>
      </c>
      <c r="J44" t="s">
        <v>776</v>
      </c>
      <c r="K44" t="s">
        <v>777</v>
      </c>
      <c r="L44">
        <v>11.94</v>
      </c>
      <c r="M44">
        <v>3.2</v>
      </c>
      <c r="N44">
        <v>0.2680067001675042</v>
      </c>
      <c r="O44">
        <v>59</v>
      </c>
      <c r="P44">
        <v>0.07008745458377241</v>
      </c>
      <c r="Q44">
        <v>0.6216822001537501</v>
      </c>
      <c r="R44" t="s">
        <v>780</v>
      </c>
      <c r="S44" t="s">
        <v>788</v>
      </c>
      <c r="T44">
        <v>173537.063471</v>
      </c>
      <c r="U44" s="2">
        <v>44532</v>
      </c>
      <c r="V44" t="s">
        <v>802</v>
      </c>
    </row>
    <row r="45" spans="1:22">
      <c r="A45" s="1" t="s">
        <v>65</v>
      </c>
      <c r="B45">
        <f>HYPERLINK("https://www.suredividend.com/sure-analysis-JNJ/","Johnson &amp; Johnson")</f>
        <v>0</v>
      </c>
      <c r="C45">
        <v>172.31</v>
      </c>
      <c r="D45">
        <v>167</v>
      </c>
      <c r="E45">
        <v>1.031796407185629</v>
      </c>
      <c r="F45">
        <v>0.02460681330160757</v>
      </c>
      <c r="G45">
        <v>-0.006240718862376982</v>
      </c>
      <c r="H45">
        <v>0.06</v>
      </c>
      <c r="I45">
        <v>0.07624379005149229</v>
      </c>
      <c r="J45" t="s">
        <v>776</v>
      </c>
      <c r="K45" t="s">
        <v>776</v>
      </c>
      <c r="L45">
        <v>9.800000000000001</v>
      </c>
      <c r="M45">
        <v>4.24</v>
      </c>
      <c r="N45">
        <v>0.4326530612244898</v>
      </c>
      <c r="O45">
        <v>59</v>
      </c>
      <c r="P45">
        <v>0.05984764821935884</v>
      </c>
      <c r="Q45">
        <v>0.140997493197579</v>
      </c>
      <c r="R45" t="s">
        <v>780</v>
      </c>
      <c r="S45" t="s">
        <v>785</v>
      </c>
      <c r="T45">
        <v>451622.010032</v>
      </c>
      <c r="U45" s="2">
        <v>44489</v>
      </c>
      <c r="V45" t="s">
        <v>796</v>
      </c>
    </row>
    <row r="46" spans="1:22">
      <c r="A46" s="1" t="s">
        <v>66</v>
      </c>
      <c r="B46">
        <f>HYPERLINK("https://www.suredividend.com/sure-analysis-FMCB/","Farmers &amp; Merchants Bancorp")</f>
        <v>0</v>
      </c>
      <c r="C46">
        <v>959.9</v>
      </c>
      <c r="D46">
        <v>1008</v>
      </c>
      <c r="E46">
        <v>0.952281746031746</v>
      </c>
      <c r="F46">
        <v>0.01593916032920096</v>
      </c>
      <c r="G46">
        <v>0.009826836609222012</v>
      </c>
      <c r="H46">
        <v>0.05</v>
      </c>
      <c r="I46">
        <v>0.07456414816582146</v>
      </c>
      <c r="J46" t="s">
        <v>776</v>
      </c>
      <c r="K46" t="s">
        <v>777</v>
      </c>
      <c r="L46">
        <v>84</v>
      </c>
      <c r="M46">
        <v>15.3</v>
      </c>
      <c r="N46">
        <v>0.1821428571428572</v>
      </c>
      <c r="O46">
        <v>56</v>
      </c>
      <c r="P46">
        <v>0.0500311005456211</v>
      </c>
      <c r="Q46">
        <v>0.32198224399648</v>
      </c>
      <c r="R46" t="s">
        <v>780</v>
      </c>
      <c r="S46" t="s">
        <v>789</v>
      </c>
      <c r="T46">
        <v>758.858892</v>
      </c>
      <c r="U46" s="2">
        <v>44498</v>
      </c>
      <c r="V46" t="s">
        <v>803</v>
      </c>
    </row>
    <row r="47" spans="1:22">
      <c r="A47" s="1" t="s">
        <v>67</v>
      </c>
      <c r="B47">
        <f>HYPERLINK("https://www.suredividend.com/sure-analysis-BRC/","Brady Corp.")</f>
        <v>0</v>
      </c>
      <c r="C47">
        <v>54.17</v>
      </c>
      <c r="D47">
        <v>57</v>
      </c>
      <c r="E47">
        <v>0.9503508771929825</v>
      </c>
      <c r="F47">
        <v>0.01661436219309581</v>
      </c>
      <c r="G47">
        <v>0.01023684527337787</v>
      </c>
      <c r="H47">
        <v>0.05</v>
      </c>
      <c r="I47">
        <v>0.07429846599374557</v>
      </c>
      <c r="J47" t="s">
        <v>776</v>
      </c>
      <c r="K47" t="s">
        <v>777</v>
      </c>
      <c r="L47">
        <v>3</v>
      </c>
      <c r="M47">
        <v>0.9</v>
      </c>
      <c r="N47">
        <v>0.3</v>
      </c>
      <c r="O47">
        <v>36</v>
      </c>
      <c r="P47">
        <v>0.01924487649145656</v>
      </c>
      <c r="Q47">
        <v>0.086265387607767</v>
      </c>
      <c r="R47" t="s">
        <v>780</v>
      </c>
      <c r="S47" t="s">
        <v>786</v>
      </c>
      <c r="T47">
        <v>2656.579282</v>
      </c>
      <c r="U47" s="2">
        <v>44519</v>
      </c>
      <c r="V47" t="s">
        <v>796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489.16</v>
      </c>
      <c r="D48">
        <v>423</v>
      </c>
      <c r="E48">
        <v>1.156406619385343</v>
      </c>
      <c r="F48">
        <v>0.005069915773979884</v>
      </c>
      <c r="G48">
        <v>-0.02864520983164354</v>
      </c>
      <c r="H48">
        <v>0.1</v>
      </c>
      <c r="I48">
        <v>0.07366095939148387</v>
      </c>
      <c r="J48" t="s">
        <v>776</v>
      </c>
      <c r="K48" t="s">
        <v>346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0.17623384774599</v>
      </c>
      <c r="R48" t="s">
        <v>780</v>
      </c>
      <c r="S48" t="s">
        <v>786</v>
      </c>
      <c r="T48">
        <v>51763.107404</v>
      </c>
      <c r="U48" s="2">
        <v>44494</v>
      </c>
      <c r="V48" t="s">
        <v>795</v>
      </c>
    </row>
    <row r="49" spans="1:22">
      <c r="A49" s="1" t="s">
        <v>69</v>
      </c>
      <c r="B49">
        <f>HYPERLINK("https://www.suredividend.com/sure-analysis-MCK/","Mckesson Corporation")</f>
        <v>0</v>
      </c>
      <c r="C49">
        <v>248.9</v>
      </c>
      <c r="D49">
        <v>269</v>
      </c>
      <c r="E49">
        <v>0.9252788104089219</v>
      </c>
      <c r="F49">
        <v>0.007553234230614704</v>
      </c>
      <c r="G49">
        <v>0.01565328302083624</v>
      </c>
      <c r="H49">
        <v>0.05</v>
      </c>
      <c r="I49">
        <v>0.07353305593249315</v>
      </c>
      <c r="J49" t="s">
        <v>776</v>
      </c>
      <c r="K49" t="s">
        <v>346</v>
      </c>
      <c r="L49">
        <v>22.45</v>
      </c>
      <c r="M49">
        <v>1.88</v>
      </c>
      <c r="N49">
        <v>0.08374164810690422</v>
      </c>
      <c r="O49">
        <v>14</v>
      </c>
      <c r="P49">
        <v>0.0702598056972048</v>
      </c>
      <c r="Q49">
        <v>0.439482467641191</v>
      </c>
      <c r="R49" t="s">
        <v>780</v>
      </c>
      <c r="S49" t="s">
        <v>785</v>
      </c>
      <c r="T49">
        <v>37935.410964</v>
      </c>
      <c r="U49" s="2">
        <v>44524</v>
      </c>
      <c r="V49" t="s">
        <v>800</v>
      </c>
    </row>
    <row r="50" spans="1:22">
      <c r="A50" s="1" t="s">
        <v>70</v>
      </c>
      <c r="B50">
        <f>HYPERLINK("https://www.suredividend.com/sure-analysis-V/","Visa Inc")</f>
        <v>0</v>
      </c>
      <c r="C50">
        <v>217.87</v>
      </c>
      <c r="D50">
        <v>178</v>
      </c>
      <c r="E50">
        <v>1.223988764044944</v>
      </c>
      <c r="F50">
        <v>0.00688483958323771</v>
      </c>
      <c r="G50">
        <v>-0.03961688967080523</v>
      </c>
      <c r="H50">
        <v>0.11</v>
      </c>
      <c r="I50">
        <v>0.07298838157494125</v>
      </c>
      <c r="J50" t="s">
        <v>776</v>
      </c>
      <c r="K50" t="s">
        <v>346</v>
      </c>
      <c r="L50">
        <v>7.1</v>
      </c>
      <c r="M50">
        <v>1.5</v>
      </c>
      <c r="N50">
        <v>0.2112676056338028</v>
      </c>
      <c r="O50">
        <v>14</v>
      </c>
      <c r="P50">
        <v>0.09487401536266371</v>
      </c>
      <c r="Q50">
        <v>0.023978087047289</v>
      </c>
      <c r="R50" t="s">
        <v>780</v>
      </c>
      <c r="S50" t="s">
        <v>789</v>
      </c>
      <c r="T50">
        <v>480846.68</v>
      </c>
      <c r="U50" s="2">
        <v>44497</v>
      </c>
      <c r="V50" t="s">
        <v>799</v>
      </c>
    </row>
    <row r="51" spans="1:22">
      <c r="A51" s="1" t="s">
        <v>71</v>
      </c>
      <c r="B51">
        <f>HYPERLINK("https://www.suredividend.com/sure-analysis-AFL/","Aflac Inc.")</f>
        <v>0</v>
      </c>
      <c r="C51">
        <v>58.56</v>
      </c>
      <c r="D51">
        <v>61</v>
      </c>
      <c r="E51">
        <v>0.9600000000000001</v>
      </c>
      <c r="F51">
        <v>0.0273224043715847</v>
      </c>
      <c r="G51">
        <v>0.008197818497166498</v>
      </c>
      <c r="H51">
        <v>0.04</v>
      </c>
      <c r="I51">
        <v>0.07293639736290203</v>
      </c>
      <c r="J51" t="s">
        <v>776</v>
      </c>
      <c r="K51" t="s">
        <v>776</v>
      </c>
      <c r="L51">
        <v>6.1</v>
      </c>
      <c r="M51">
        <v>1.6</v>
      </c>
      <c r="N51">
        <v>0.2622950819672131</v>
      </c>
      <c r="O51">
        <v>40</v>
      </c>
      <c r="P51">
        <v>0.04142312668144399</v>
      </c>
      <c r="Q51">
        <v>0.367314235743673</v>
      </c>
      <c r="R51" t="s">
        <v>780</v>
      </c>
      <c r="S51" t="s">
        <v>789</v>
      </c>
      <c r="T51">
        <v>38891.243995</v>
      </c>
      <c r="U51" s="2">
        <v>44497</v>
      </c>
      <c r="V51" t="s">
        <v>799</v>
      </c>
    </row>
    <row r="52" spans="1:22">
      <c r="A52" s="1" t="s">
        <v>72</v>
      </c>
      <c r="B52">
        <f>HYPERLINK("https://www.suredividend.com/sure-analysis-SON/","Sonoco Products Co.")</f>
        <v>0</v>
      </c>
      <c r="C52">
        <v>57.71</v>
      </c>
      <c r="D52">
        <v>56</v>
      </c>
      <c r="E52">
        <v>1.030535714285714</v>
      </c>
      <c r="F52">
        <v>0.03119043493328712</v>
      </c>
      <c r="G52">
        <v>-0.005997697169682792</v>
      </c>
      <c r="H52">
        <v>0.05</v>
      </c>
      <c r="I52">
        <v>0.07258257264702794</v>
      </c>
      <c r="J52" t="s">
        <v>776</v>
      </c>
      <c r="K52" t="s">
        <v>776</v>
      </c>
      <c r="L52">
        <v>3.52</v>
      </c>
      <c r="M52">
        <v>1.8</v>
      </c>
      <c r="N52">
        <v>0.5113636363636364</v>
      </c>
      <c r="O52">
        <v>38</v>
      </c>
      <c r="P52">
        <v>0.05024607263868264</v>
      </c>
      <c r="Q52">
        <v>0.014719918738342</v>
      </c>
      <c r="R52" t="s">
        <v>780</v>
      </c>
      <c r="S52" t="s">
        <v>788</v>
      </c>
      <c r="T52">
        <v>5697.026286</v>
      </c>
      <c r="U52" s="2">
        <v>44491</v>
      </c>
      <c r="V52" t="s">
        <v>796</v>
      </c>
    </row>
    <row r="53" spans="1:22">
      <c r="A53" s="1" t="s">
        <v>73</v>
      </c>
      <c r="B53">
        <f>HYPERLINK("https://www.suredividend.com/sure-analysis-BKH/","Black Hills Corporation")</f>
        <v>0</v>
      </c>
      <c r="C53">
        <v>70.70999999999999</v>
      </c>
      <c r="D53">
        <v>71</v>
      </c>
      <c r="E53">
        <v>0.9959154929577464</v>
      </c>
      <c r="F53">
        <v>0.03365860557205488</v>
      </c>
      <c r="G53">
        <v>0.0008189094083981274</v>
      </c>
      <c r="H53">
        <v>0.04</v>
      </c>
      <c r="I53">
        <v>0.07219919298810495</v>
      </c>
      <c r="J53" t="s">
        <v>776</v>
      </c>
      <c r="K53" t="s">
        <v>776</v>
      </c>
      <c r="L53">
        <v>3.92</v>
      </c>
      <c r="M53">
        <v>2.38</v>
      </c>
      <c r="N53">
        <v>0.6071428571428571</v>
      </c>
      <c r="O53">
        <v>50</v>
      </c>
      <c r="P53">
        <v>0.05016931709648742</v>
      </c>
      <c r="Q53">
        <v>0.199651978095091</v>
      </c>
      <c r="R53" t="s">
        <v>780</v>
      </c>
      <c r="S53" t="s">
        <v>792</v>
      </c>
      <c r="T53">
        <v>4463.932586</v>
      </c>
      <c r="U53" s="2">
        <v>44533</v>
      </c>
      <c r="V53" t="s">
        <v>797</v>
      </c>
    </row>
    <row r="54" spans="1:22">
      <c r="A54" s="1" t="s">
        <v>74</v>
      </c>
      <c r="B54">
        <f>HYPERLINK("https://www.suredividend.com/sure-analysis-AIZ/","Assurant Inc")</f>
        <v>0</v>
      </c>
      <c r="C54">
        <v>154.79</v>
      </c>
      <c r="D54">
        <v>138</v>
      </c>
      <c r="E54">
        <v>1.121666666666667</v>
      </c>
      <c r="F54">
        <v>0.01757219458621358</v>
      </c>
      <c r="G54">
        <v>-0.0227014886694975</v>
      </c>
      <c r="H54">
        <v>0.08</v>
      </c>
      <c r="I54">
        <v>0.07188516422958102</v>
      </c>
      <c r="J54" t="s">
        <v>776</v>
      </c>
      <c r="K54" t="s">
        <v>777</v>
      </c>
      <c r="L54">
        <v>10</v>
      </c>
      <c r="M54">
        <v>2.72</v>
      </c>
      <c r="N54">
        <v>0.272</v>
      </c>
      <c r="O54">
        <v>17</v>
      </c>
      <c r="P54">
        <v>0.06000153927394081</v>
      </c>
      <c r="Q54">
        <v>0.183007035790761</v>
      </c>
      <c r="R54" t="s">
        <v>780</v>
      </c>
      <c r="S54" t="s">
        <v>789</v>
      </c>
      <c r="T54">
        <v>8813.727115</v>
      </c>
      <c r="U54" s="2">
        <v>44512</v>
      </c>
      <c r="V54" t="s">
        <v>803</v>
      </c>
    </row>
    <row r="55" spans="1:22">
      <c r="A55" s="1" t="s">
        <v>75</v>
      </c>
      <c r="B55">
        <f>HYPERLINK("https://www.suredividend.com/sure-analysis-SYY/","Sysco Corp.")</f>
        <v>0</v>
      </c>
      <c r="C55">
        <v>78</v>
      </c>
      <c r="D55">
        <v>69</v>
      </c>
      <c r="E55">
        <v>1.130434782608696</v>
      </c>
      <c r="F55">
        <v>0.0241025641025641</v>
      </c>
      <c r="G55">
        <v>-0.02422228000951032</v>
      </c>
      <c r="H55">
        <v>0.07000000000000001</v>
      </c>
      <c r="I55">
        <v>0.06859223112121104</v>
      </c>
      <c r="J55" t="s">
        <v>776</v>
      </c>
      <c r="K55" t="s">
        <v>777</v>
      </c>
      <c r="L55">
        <v>3.47</v>
      </c>
      <c r="M55">
        <v>1.88</v>
      </c>
      <c r="N55">
        <v>0.5417867435158501</v>
      </c>
      <c r="O55">
        <v>51</v>
      </c>
      <c r="P55">
        <v>0.07981721406627784</v>
      </c>
      <c r="Q55">
        <v>0.09558308804304701</v>
      </c>
      <c r="R55" t="s">
        <v>780</v>
      </c>
      <c r="S55" t="s">
        <v>791</v>
      </c>
      <c r="T55">
        <v>39956.435373</v>
      </c>
      <c r="U55" s="2">
        <v>44513</v>
      </c>
      <c r="V55" t="s">
        <v>798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104.47</v>
      </c>
      <c r="D56">
        <v>97</v>
      </c>
      <c r="E56">
        <v>1.077010309278351</v>
      </c>
      <c r="F56">
        <v>0.02412175744232794</v>
      </c>
      <c r="G56">
        <v>-0.01472825643761388</v>
      </c>
      <c r="H56">
        <v>0.06</v>
      </c>
      <c r="I56">
        <v>0.06857115652778512</v>
      </c>
      <c r="J56" t="s">
        <v>776</v>
      </c>
      <c r="K56" t="s">
        <v>777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-0.08118456920417001</v>
      </c>
      <c r="R56" t="s">
        <v>780</v>
      </c>
      <c r="S56" t="s">
        <v>785</v>
      </c>
      <c r="T56">
        <v>139766.781647</v>
      </c>
      <c r="U56" s="2">
        <v>44525</v>
      </c>
      <c r="V56" t="s">
        <v>799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33.44</v>
      </c>
      <c r="D57">
        <v>33</v>
      </c>
      <c r="E57">
        <v>1.013333333333333</v>
      </c>
      <c r="F57">
        <v>0.03468899521531101</v>
      </c>
      <c r="G57">
        <v>-0.002645539725573465</v>
      </c>
      <c r="H57">
        <v>0.04</v>
      </c>
      <c r="I57">
        <v>0.06833165889327741</v>
      </c>
      <c r="J57" t="s">
        <v>776</v>
      </c>
      <c r="K57" t="s">
        <v>776</v>
      </c>
      <c r="L57">
        <v>3.3</v>
      </c>
      <c r="M57">
        <v>1.16</v>
      </c>
      <c r="N57">
        <v>0.3515151515151515</v>
      </c>
      <c r="O57">
        <v>42</v>
      </c>
      <c r="P57">
        <v>0.03232437953530787</v>
      </c>
      <c r="Q57">
        <v>0.4183891959388391</v>
      </c>
      <c r="R57" t="s">
        <v>780</v>
      </c>
      <c r="S57" t="s">
        <v>789</v>
      </c>
      <c r="T57">
        <v>17021.614128</v>
      </c>
      <c r="U57" s="2">
        <v>44507</v>
      </c>
      <c r="V57" t="s">
        <v>799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232.58</v>
      </c>
      <c r="D58">
        <v>289</v>
      </c>
      <c r="E58">
        <v>0.8047750865051904</v>
      </c>
      <c r="F58">
        <v>0.02407773669275088</v>
      </c>
      <c r="G58">
        <v>0.04439574868097917</v>
      </c>
      <c r="H58">
        <v>0</v>
      </c>
      <c r="I58">
        <v>0.06625411771374501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0.304033788059262</v>
      </c>
      <c r="R58" t="s">
        <v>780</v>
      </c>
      <c r="S58" t="s">
        <v>788</v>
      </c>
      <c r="T58">
        <v>14614.930615</v>
      </c>
      <c r="U58" s="2">
        <v>44494</v>
      </c>
      <c r="V58" t="s">
        <v>799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665.45</v>
      </c>
      <c r="D59">
        <v>561</v>
      </c>
      <c r="E59">
        <v>1.186185383244207</v>
      </c>
      <c r="F59">
        <v>0.001562852205274626</v>
      </c>
      <c r="G59">
        <v>-0.03357203951781706</v>
      </c>
      <c r="H59">
        <v>0.1</v>
      </c>
      <c r="I59">
        <v>0.06496057322368531</v>
      </c>
      <c r="J59" t="s">
        <v>776</v>
      </c>
      <c r="K59" t="s">
        <v>524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0.434687648628059</v>
      </c>
      <c r="R59" t="s">
        <v>780</v>
      </c>
      <c r="S59" t="s">
        <v>785</v>
      </c>
      <c r="T59">
        <v>261147.488698</v>
      </c>
      <c r="U59" s="2">
        <v>44499</v>
      </c>
      <c r="V59" t="s">
        <v>795</v>
      </c>
    </row>
    <row r="60" spans="1:22">
      <c r="A60" s="1" t="s">
        <v>80</v>
      </c>
      <c r="B60">
        <f>HYPERLINK("https://www.suredividend.com/sure-analysis-KO/","Coca-Cola Co")</f>
        <v>0</v>
      </c>
      <c r="C60">
        <v>58.78</v>
      </c>
      <c r="D60">
        <v>53</v>
      </c>
      <c r="E60">
        <v>1.109056603773585</v>
      </c>
      <c r="F60">
        <v>0.02858115005103777</v>
      </c>
      <c r="G60">
        <v>-0.02048913521818285</v>
      </c>
      <c r="H60">
        <v>0.06</v>
      </c>
      <c r="I60">
        <v>0.06458793361596515</v>
      </c>
      <c r="J60" t="s">
        <v>776</v>
      </c>
      <c r="K60" t="s">
        <v>777</v>
      </c>
      <c r="L60">
        <v>2.3</v>
      </c>
      <c r="M60">
        <v>1.68</v>
      </c>
      <c r="N60">
        <v>0.7304347826086957</v>
      </c>
      <c r="O60">
        <v>59</v>
      </c>
      <c r="P60">
        <v>0.03959498820755258</v>
      </c>
      <c r="Q60">
        <v>0.123379246735625</v>
      </c>
      <c r="R60" t="s">
        <v>780</v>
      </c>
      <c r="S60" t="s">
        <v>791</v>
      </c>
      <c r="T60">
        <v>254629.822912</v>
      </c>
      <c r="U60" s="2">
        <v>44512</v>
      </c>
      <c r="V60" t="s">
        <v>800</v>
      </c>
    </row>
    <row r="61" spans="1:22">
      <c r="A61" s="1" t="s">
        <v>81</v>
      </c>
      <c r="B61">
        <f>HYPERLINK("https://www.suredividend.com/sure-analysis-CPKF/","Chesapeake Financial Shares Inc")</f>
        <v>0</v>
      </c>
      <c r="C61">
        <v>30.2</v>
      </c>
      <c r="D61">
        <v>38</v>
      </c>
      <c r="E61">
        <v>0.7947368421052632</v>
      </c>
      <c r="F61">
        <v>0.0185430463576159</v>
      </c>
      <c r="G61">
        <v>0.0470208514018351</v>
      </c>
      <c r="H61">
        <v>0</v>
      </c>
      <c r="I61">
        <v>0.06383439771106691</v>
      </c>
      <c r="J61" t="s">
        <v>776</v>
      </c>
      <c r="K61" t="s">
        <v>777</v>
      </c>
      <c r="L61">
        <v>3.6</v>
      </c>
      <c r="M61">
        <v>0.5600000000000001</v>
      </c>
      <c r="N61">
        <v>0.1555555555555556</v>
      </c>
      <c r="O61">
        <v>29</v>
      </c>
      <c r="P61">
        <v>0.03959498820755258</v>
      </c>
      <c r="Q61">
        <v>0.4168386551367481</v>
      </c>
      <c r="R61" t="s">
        <v>780</v>
      </c>
      <c r="S61" t="s">
        <v>789</v>
      </c>
      <c r="T61">
        <v>142.40019</v>
      </c>
      <c r="U61" s="2">
        <v>44507</v>
      </c>
      <c r="V61" t="s">
        <v>800</v>
      </c>
    </row>
    <row r="62" spans="1:22">
      <c r="A62" s="1" t="s">
        <v>82</v>
      </c>
      <c r="B62">
        <f>HYPERLINK("https://www.suredividend.com/sure-analysis-TGT/","Target Corp")</f>
        <v>0</v>
      </c>
      <c r="C62">
        <v>231.91</v>
      </c>
      <c r="D62">
        <v>239</v>
      </c>
      <c r="E62">
        <v>0.9703347280334728</v>
      </c>
      <c r="F62">
        <v>0.01552326333491441</v>
      </c>
      <c r="G62">
        <v>0.006041011065058388</v>
      </c>
      <c r="H62">
        <v>0.04</v>
      </c>
      <c r="I62">
        <v>0.06132867867775849</v>
      </c>
      <c r="J62" t="s">
        <v>776</v>
      </c>
      <c r="K62" t="s">
        <v>777</v>
      </c>
      <c r="L62">
        <v>13.25</v>
      </c>
      <c r="M62">
        <v>3.6</v>
      </c>
      <c r="N62">
        <v>0.2716981132075472</v>
      </c>
      <c r="O62">
        <v>54</v>
      </c>
      <c r="P62">
        <v>0.06010506010596317</v>
      </c>
      <c r="Q62">
        <v>0.315293635610801</v>
      </c>
      <c r="R62" t="s">
        <v>780</v>
      </c>
      <c r="S62" t="s">
        <v>791</v>
      </c>
      <c r="T62">
        <v>109201.923391</v>
      </c>
      <c r="U62" s="2">
        <v>44536</v>
      </c>
      <c r="V62" t="s">
        <v>800</v>
      </c>
    </row>
    <row r="63" spans="1:22">
      <c r="A63" s="1" t="s">
        <v>83</v>
      </c>
      <c r="B63">
        <f>HYPERLINK("https://www.suredividend.com/sure-analysis-ORCL/","Oracle Corp.")</f>
        <v>0</v>
      </c>
      <c r="C63">
        <v>88.01000000000001</v>
      </c>
      <c r="D63">
        <v>75</v>
      </c>
      <c r="E63">
        <v>1.173466666666667</v>
      </c>
      <c r="F63">
        <v>0.01454380184069992</v>
      </c>
      <c r="G63">
        <v>-0.03148612132925921</v>
      </c>
      <c r="H63">
        <v>0.08</v>
      </c>
      <c r="I63">
        <v>0.06056029430978671</v>
      </c>
      <c r="J63" t="s">
        <v>776</v>
      </c>
      <c r="K63" t="s">
        <v>346</v>
      </c>
      <c r="L63">
        <v>4.7</v>
      </c>
      <c r="M63">
        <v>1.28</v>
      </c>
      <c r="N63">
        <v>0.2723404255319149</v>
      </c>
      <c r="O63">
        <v>12</v>
      </c>
      <c r="P63">
        <v>0.07056368416916192</v>
      </c>
      <c r="Q63">
        <v>0.389532117866853</v>
      </c>
      <c r="R63" t="s">
        <v>780</v>
      </c>
      <c r="S63" t="s">
        <v>787</v>
      </c>
      <c r="T63">
        <v>235560.12987</v>
      </c>
      <c r="U63" s="2">
        <v>44476</v>
      </c>
      <c r="V63" t="s">
        <v>797</v>
      </c>
    </row>
    <row r="64" spans="1:22">
      <c r="A64" s="1" t="s">
        <v>84</v>
      </c>
      <c r="B64">
        <f>HYPERLINK("https://www.suredividend.com/sure-analysis-ANTM/","Anthem Inc")</f>
        <v>0</v>
      </c>
      <c r="C64">
        <v>467.15</v>
      </c>
      <c r="D64">
        <v>388</v>
      </c>
      <c r="E64">
        <v>1.203994845360825</v>
      </c>
      <c r="F64">
        <v>0.009675693032216633</v>
      </c>
      <c r="G64">
        <v>-0.03644818349930778</v>
      </c>
      <c r="H64">
        <v>0.09</v>
      </c>
      <c r="I64">
        <v>0.06044291339401386</v>
      </c>
      <c r="J64" t="s">
        <v>776</v>
      </c>
      <c r="K64" t="s">
        <v>346</v>
      </c>
      <c r="L64">
        <v>25.85</v>
      </c>
      <c r="M64">
        <v>4.52</v>
      </c>
      <c r="N64">
        <v>0.1748549323017408</v>
      </c>
      <c r="O64">
        <v>11</v>
      </c>
      <c r="P64">
        <v>0.0898563876885603</v>
      </c>
      <c r="Q64">
        <v>0.505895005626941</v>
      </c>
      <c r="R64" t="s">
        <v>780</v>
      </c>
      <c r="S64" t="s">
        <v>785</v>
      </c>
      <c r="T64">
        <v>113510.372525</v>
      </c>
      <c r="U64" s="2">
        <v>44490</v>
      </c>
      <c r="V64" t="s">
        <v>796</v>
      </c>
    </row>
    <row r="65" spans="1:22">
      <c r="A65" s="1" t="s">
        <v>85</v>
      </c>
      <c r="B65">
        <f>HYPERLINK("https://www.suredividend.com/sure-analysis-ABC/","Amerisource Bergen Corp.")</f>
        <v>0</v>
      </c>
      <c r="C65">
        <v>133.77</v>
      </c>
      <c r="D65">
        <v>138</v>
      </c>
      <c r="E65">
        <v>0.9693478260869566</v>
      </c>
      <c r="F65">
        <v>0.01375495253046273</v>
      </c>
      <c r="G65">
        <v>0.006245779614526992</v>
      </c>
      <c r="H65">
        <v>0.04</v>
      </c>
      <c r="I65">
        <v>0.06024125174398498</v>
      </c>
      <c r="J65" t="s">
        <v>776</v>
      </c>
      <c r="K65" t="s">
        <v>346</v>
      </c>
      <c r="L65">
        <v>10.65</v>
      </c>
      <c r="M65">
        <v>1.84</v>
      </c>
      <c r="N65">
        <v>0.1727699530516432</v>
      </c>
      <c r="O65">
        <v>18</v>
      </c>
      <c r="P65">
        <v>0.06994234673120125</v>
      </c>
      <c r="Q65">
        <v>0.393937303137979</v>
      </c>
      <c r="R65" t="s">
        <v>780</v>
      </c>
      <c r="S65" t="s">
        <v>785</v>
      </c>
      <c r="T65">
        <v>27752.502356</v>
      </c>
      <c r="U65" s="2">
        <v>44511</v>
      </c>
      <c r="V65" t="s">
        <v>799</v>
      </c>
    </row>
    <row r="66" spans="1:22">
      <c r="A66" s="1" t="s">
        <v>86</v>
      </c>
      <c r="B66">
        <f>HYPERLINK("https://www.suredividend.com/sure-analysis-NWN/","Northwest Natural Holding Co")</f>
        <v>0</v>
      </c>
      <c r="C66">
        <v>48.75</v>
      </c>
      <c r="D66">
        <v>50.8</v>
      </c>
      <c r="E66">
        <v>0.9596456692913387</v>
      </c>
      <c r="F66">
        <v>0.03938461538461539</v>
      </c>
      <c r="G66">
        <v>0.00827225903489559</v>
      </c>
      <c r="H66">
        <v>0.016</v>
      </c>
      <c r="I66">
        <v>0.06021550515893082</v>
      </c>
      <c r="J66" t="s">
        <v>776</v>
      </c>
      <c r="K66" t="s">
        <v>776</v>
      </c>
      <c r="L66">
        <v>2.54</v>
      </c>
      <c r="M66">
        <v>1.92</v>
      </c>
      <c r="N66">
        <v>0.7559055118110236</v>
      </c>
      <c r="O66">
        <v>66</v>
      </c>
      <c r="P66">
        <v>0.02383625553960966</v>
      </c>
      <c r="Q66">
        <v>0.112125222470679</v>
      </c>
      <c r="R66" t="s">
        <v>780</v>
      </c>
      <c r="S66" t="s">
        <v>792</v>
      </c>
      <c r="T66">
        <v>1494.98847</v>
      </c>
      <c r="U66" s="2">
        <v>44509</v>
      </c>
      <c r="V66" t="s">
        <v>805</v>
      </c>
    </row>
    <row r="67" spans="1:22">
      <c r="A67" s="1" t="s">
        <v>87</v>
      </c>
      <c r="B67">
        <f>HYPERLINK("https://www.suredividend.com/sure-analysis-QCOM/","Qualcomm, Inc.")</f>
        <v>0</v>
      </c>
      <c r="C67">
        <v>182.73</v>
      </c>
      <c r="D67">
        <v>162</v>
      </c>
      <c r="E67">
        <v>1.127962962962963</v>
      </c>
      <c r="F67">
        <v>0.01488534996990095</v>
      </c>
      <c r="G67">
        <v>-0.02379499025343912</v>
      </c>
      <c r="H67">
        <v>0.07000000000000001</v>
      </c>
      <c r="I67">
        <v>0.05948172887494807</v>
      </c>
      <c r="J67" t="s">
        <v>776</v>
      </c>
      <c r="K67" t="s">
        <v>346</v>
      </c>
      <c r="L67">
        <v>10.14</v>
      </c>
      <c r="M67">
        <v>2.72</v>
      </c>
      <c r="N67">
        <v>0.2682445759368836</v>
      </c>
      <c r="O67">
        <v>19</v>
      </c>
      <c r="P67">
        <v>0.06972270615977982</v>
      </c>
      <c r="Q67">
        <v>0.277069133197898</v>
      </c>
      <c r="R67" t="s">
        <v>780</v>
      </c>
      <c r="S67" t="s">
        <v>787</v>
      </c>
      <c r="T67">
        <v>208544</v>
      </c>
      <c r="U67" s="2">
        <v>44505</v>
      </c>
      <c r="V67" t="s">
        <v>796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156.81</v>
      </c>
      <c r="D68">
        <v>147</v>
      </c>
      <c r="E68">
        <v>1.066734693877551</v>
      </c>
      <c r="F68">
        <v>0.02244754798801097</v>
      </c>
      <c r="G68">
        <v>-0.01283734812174975</v>
      </c>
      <c r="H68">
        <v>0.05</v>
      </c>
      <c r="I68">
        <v>0.05942769832058792</v>
      </c>
      <c r="J68" t="s">
        <v>776</v>
      </c>
      <c r="K68" t="s">
        <v>777</v>
      </c>
      <c r="L68">
        <v>12.25</v>
      </c>
      <c r="M68">
        <v>3.52</v>
      </c>
      <c r="N68">
        <v>0.2873469387755102</v>
      </c>
      <c r="O68">
        <v>16</v>
      </c>
      <c r="P68">
        <v>0.0701307832252307</v>
      </c>
      <c r="Q68">
        <v>0.164177052481101</v>
      </c>
      <c r="R68" t="s">
        <v>780</v>
      </c>
      <c r="S68" t="s">
        <v>789</v>
      </c>
      <c r="T68">
        <v>38746.368203</v>
      </c>
      <c r="U68" s="2">
        <v>44492</v>
      </c>
      <c r="V68" t="s">
        <v>800</v>
      </c>
    </row>
    <row r="69" spans="1:22">
      <c r="A69" s="1" t="s">
        <v>89</v>
      </c>
      <c r="B69">
        <f>HYPERLINK("https://www.suredividend.com/sure-analysis-ABBV/","Abbvie Inc")</f>
        <v>0</v>
      </c>
      <c r="C69">
        <v>135.93</v>
      </c>
      <c r="D69">
        <v>127</v>
      </c>
      <c r="E69">
        <v>1.070314960629921</v>
      </c>
      <c r="F69">
        <v>0.04149194438313838</v>
      </c>
      <c r="G69">
        <v>-0.01349865703544562</v>
      </c>
      <c r="H69">
        <v>0.03</v>
      </c>
      <c r="I69">
        <v>0.05771826258480894</v>
      </c>
      <c r="J69" t="s">
        <v>776</v>
      </c>
      <c r="K69" t="s">
        <v>776</v>
      </c>
      <c r="L69">
        <v>12.65</v>
      </c>
      <c r="M69">
        <v>5.64</v>
      </c>
      <c r="N69">
        <v>0.4458498023715415</v>
      </c>
      <c r="O69">
        <v>50</v>
      </c>
      <c r="P69">
        <v>0.05005169060192549</v>
      </c>
      <c r="Q69">
        <v>0.354847814837465</v>
      </c>
      <c r="R69" t="s">
        <v>780</v>
      </c>
      <c r="S69" t="s">
        <v>785</v>
      </c>
      <c r="T69">
        <v>239204.880012</v>
      </c>
      <c r="U69" s="2">
        <v>44504</v>
      </c>
      <c r="V69" t="s">
        <v>797</v>
      </c>
    </row>
    <row r="70" spans="1:22">
      <c r="A70" s="1" t="s">
        <v>90</v>
      </c>
      <c r="B70">
        <f>HYPERLINK("https://www.suredividend.com/sure-analysis-VFC/","VF Corp.")</f>
        <v>0</v>
      </c>
      <c r="C70">
        <v>73.19</v>
      </c>
      <c r="D70">
        <v>61</v>
      </c>
      <c r="E70">
        <v>1.199836065573771</v>
      </c>
      <c r="F70">
        <v>0.02732613745047138</v>
      </c>
      <c r="G70">
        <v>-0.0357811497803211</v>
      </c>
      <c r="H70">
        <v>0.07000000000000001</v>
      </c>
      <c r="I70">
        <v>0.05747485956843823</v>
      </c>
      <c r="J70" t="s">
        <v>776</v>
      </c>
      <c r="K70" t="s">
        <v>777</v>
      </c>
      <c r="L70">
        <v>3.2</v>
      </c>
      <c r="M70">
        <v>2</v>
      </c>
      <c r="N70">
        <v>0.625</v>
      </c>
      <c r="O70">
        <v>49</v>
      </c>
      <c r="P70">
        <v>0.03886011825408464</v>
      </c>
      <c r="Q70">
        <v>-0.123794445735533</v>
      </c>
      <c r="R70" t="s">
        <v>780</v>
      </c>
      <c r="S70" t="s">
        <v>788</v>
      </c>
      <c r="T70">
        <v>28433.508815</v>
      </c>
      <c r="U70" s="2">
        <v>44493</v>
      </c>
      <c r="V70" t="s">
        <v>799</v>
      </c>
    </row>
    <row r="71" spans="1:22">
      <c r="A71" s="1" t="s">
        <v>91</v>
      </c>
      <c r="B71">
        <f>HYPERLINK("https://www.suredividend.com/sure-analysis-NFG/","National Fuel Gas Co.")</f>
        <v>0</v>
      </c>
      <c r="C71">
        <v>63.77</v>
      </c>
      <c r="D71">
        <v>71</v>
      </c>
      <c r="E71">
        <v>0.8981690140845071</v>
      </c>
      <c r="F71">
        <v>0.02854006586169045</v>
      </c>
      <c r="G71">
        <v>0.02171174627409655</v>
      </c>
      <c r="H71">
        <v>0.01</v>
      </c>
      <c r="I71">
        <v>0.05744067232461059</v>
      </c>
      <c r="J71" t="s">
        <v>776</v>
      </c>
      <c r="K71" t="s">
        <v>776</v>
      </c>
      <c r="L71">
        <v>5.1</v>
      </c>
      <c r="M71">
        <v>1.82</v>
      </c>
      <c r="N71">
        <v>0.3568627450980393</v>
      </c>
      <c r="O71">
        <v>51</v>
      </c>
      <c r="P71">
        <v>0.02107112828035462</v>
      </c>
      <c r="Q71">
        <v>0.616999937315865</v>
      </c>
      <c r="R71" t="s">
        <v>780</v>
      </c>
      <c r="S71" t="s">
        <v>792</v>
      </c>
      <c r="T71">
        <v>5880.847872</v>
      </c>
      <c r="U71" s="2">
        <v>44524</v>
      </c>
      <c r="V71" t="s">
        <v>803</v>
      </c>
    </row>
    <row r="72" spans="1:22">
      <c r="A72" s="1" t="s">
        <v>92</v>
      </c>
      <c r="B72">
        <f>HYPERLINK("https://www.suredividend.com/sure-analysis-AMP/","Ameriprise Financial Inc")</f>
        <v>0</v>
      </c>
      <c r="C72">
        <v>301.97</v>
      </c>
      <c r="D72">
        <v>250</v>
      </c>
      <c r="E72">
        <v>1.20788</v>
      </c>
      <c r="F72">
        <v>0.01496837434182203</v>
      </c>
      <c r="G72">
        <v>-0.03706883680684614</v>
      </c>
      <c r="H72">
        <v>0.08</v>
      </c>
      <c r="I72">
        <v>0.05569624204057488</v>
      </c>
      <c r="J72" t="s">
        <v>776</v>
      </c>
      <c r="K72" t="s">
        <v>346</v>
      </c>
      <c r="L72">
        <v>21.74</v>
      </c>
      <c r="M72">
        <v>4.52</v>
      </c>
      <c r="N72">
        <v>0.2079116835326587</v>
      </c>
      <c r="O72">
        <v>17</v>
      </c>
      <c r="P72">
        <v>0.07995566992594827</v>
      </c>
      <c r="Q72">
        <v>0.6432897432807041</v>
      </c>
      <c r="R72" t="s">
        <v>780</v>
      </c>
      <c r="S72" t="s">
        <v>789</v>
      </c>
      <c r="T72">
        <v>34172.26901</v>
      </c>
      <c r="U72" s="2">
        <v>44496</v>
      </c>
      <c r="V72" t="s">
        <v>796</v>
      </c>
    </row>
    <row r="73" spans="1:22">
      <c r="A73" s="1" t="s">
        <v>93</v>
      </c>
      <c r="B73">
        <f>HYPERLINK("https://www.suredividend.com/sure-analysis-EXPD/","Expeditors International Of Washington, Inc.")</f>
        <v>0</v>
      </c>
      <c r="C73">
        <v>133.4</v>
      </c>
      <c r="D73">
        <v>138</v>
      </c>
      <c r="E73">
        <v>0.9666666666666667</v>
      </c>
      <c r="F73">
        <v>0.008695652173913042</v>
      </c>
      <c r="G73">
        <v>0.006803348678863008</v>
      </c>
      <c r="H73">
        <v>0.04</v>
      </c>
      <c r="I73">
        <v>0.05509695901833722</v>
      </c>
      <c r="J73" t="s">
        <v>776</v>
      </c>
      <c r="K73" t="s">
        <v>346</v>
      </c>
      <c r="L73">
        <v>7.67</v>
      </c>
      <c r="M73">
        <v>1.16</v>
      </c>
      <c r="N73">
        <v>0.151238591916558</v>
      </c>
      <c r="O73">
        <v>27</v>
      </c>
      <c r="P73">
        <v>0.03980577390781126</v>
      </c>
      <c r="Q73">
        <v>0.419982322190342</v>
      </c>
      <c r="R73" t="s">
        <v>780</v>
      </c>
      <c r="S73" t="s">
        <v>786</v>
      </c>
      <c r="T73">
        <v>22561.201014</v>
      </c>
      <c r="U73" s="2">
        <v>44513</v>
      </c>
      <c r="V73" t="s">
        <v>798</v>
      </c>
    </row>
    <row r="74" spans="1:22">
      <c r="A74" s="1" t="s">
        <v>94</v>
      </c>
      <c r="B74">
        <f>HYPERLINK("https://www.suredividend.com/sure-analysis-RNR/","RenaissanceRe Holdings Ltd")</f>
        <v>0</v>
      </c>
      <c r="C74">
        <v>169.79</v>
      </c>
      <c r="D74">
        <v>167</v>
      </c>
      <c r="E74">
        <v>1.016706586826347</v>
      </c>
      <c r="F74">
        <v>0.008481064844808293</v>
      </c>
      <c r="G74">
        <v>-0.003308229093502701</v>
      </c>
      <c r="H74">
        <v>0.05</v>
      </c>
      <c r="I74">
        <v>0.05406641079630359</v>
      </c>
      <c r="J74" t="s">
        <v>776</v>
      </c>
      <c r="K74" t="s">
        <v>346</v>
      </c>
      <c r="L74">
        <v>11</v>
      </c>
      <c r="M74">
        <v>1.44</v>
      </c>
      <c r="N74">
        <v>0.1309090909090909</v>
      </c>
      <c r="O74">
        <v>26</v>
      </c>
      <c r="P74">
        <v>0.02635185407071083</v>
      </c>
      <c r="Q74">
        <v>0.07379564579034401</v>
      </c>
      <c r="R74" t="s">
        <v>780</v>
      </c>
      <c r="S74" t="s">
        <v>789</v>
      </c>
      <c r="T74">
        <v>7953.156007</v>
      </c>
      <c r="U74" s="2">
        <v>44495</v>
      </c>
      <c r="V74" t="s">
        <v>795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68.92</v>
      </c>
      <c r="D75">
        <v>62</v>
      </c>
      <c r="E75">
        <v>1.111612903225806</v>
      </c>
      <c r="F75">
        <v>0.01523505513639002</v>
      </c>
      <c r="G75">
        <v>-0.02094005288970757</v>
      </c>
      <c r="H75">
        <v>0.06</v>
      </c>
      <c r="I75">
        <v>0.05346799536188551</v>
      </c>
      <c r="J75" t="s">
        <v>776</v>
      </c>
      <c r="K75" t="s">
        <v>777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0.116988106354586</v>
      </c>
      <c r="R75" t="s">
        <v>780</v>
      </c>
      <c r="S75" t="s">
        <v>789</v>
      </c>
      <c r="T75">
        <v>8032.090043</v>
      </c>
      <c r="U75" s="2">
        <v>44499</v>
      </c>
      <c r="V75" t="s">
        <v>797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164.78</v>
      </c>
      <c r="D76">
        <v>159</v>
      </c>
      <c r="E76">
        <v>1.036352201257862</v>
      </c>
      <c r="F76">
        <v>0.01941983250394465</v>
      </c>
      <c r="G76">
        <v>-0.007115970460397691</v>
      </c>
      <c r="H76">
        <v>0.04</v>
      </c>
      <c r="I76">
        <v>0.05224380244701288</v>
      </c>
      <c r="J76" t="s">
        <v>776</v>
      </c>
      <c r="K76" t="s">
        <v>777</v>
      </c>
      <c r="L76">
        <v>5.88</v>
      </c>
      <c r="M76">
        <v>3.2</v>
      </c>
      <c r="N76">
        <v>0.54421768707483</v>
      </c>
      <c r="O76">
        <v>59</v>
      </c>
      <c r="P76">
        <v>0.05988502997905321</v>
      </c>
      <c r="Q76">
        <v>-0.05480192803803301</v>
      </c>
      <c r="R76" t="s">
        <v>780</v>
      </c>
      <c r="S76" t="s">
        <v>791</v>
      </c>
      <c r="T76">
        <v>4576.3119</v>
      </c>
      <c r="U76" s="2">
        <v>44541</v>
      </c>
      <c r="V76" t="s">
        <v>800</v>
      </c>
    </row>
    <row r="77" spans="1:22">
      <c r="A77" s="1" t="s">
        <v>97</v>
      </c>
      <c r="B77">
        <f>HYPERLINK("https://www.suredividend.com/sure-analysis-ADP/","Automatic Data Processing Inc.")</f>
        <v>0</v>
      </c>
      <c r="C77">
        <v>245.56</v>
      </c>
      <c r="D77">
        <v>196</v>
      </c>
      <c r="E77">
        <v>1.252857142857143</v>
      </c>
      <c r="F77">
        <v>0.01694086984850953</v>
      </c>
      <c r="G77">
        <v>-0.0440840913528544</v>
      </c>
      <c r="H77">
        <v>0.08</v>
      </c>
      <c r="I77">
        <v>0.05062611404696149</v>
      </c>
      <c r="J77" t="s">
        <v>776</v>
      </c>
      <c r="K77" t="s">
        <v>346</v>
      </c>
      <c r="L77">
        <v>6.75</v>
      </c>
      <c r="M77">
        <v>4.16</v>
      </c>
      <c r="N77">
        <v>0.6162962962962963</v>
      </c>
      <c r="O77">
        <v>47</v>
      </c>
      <c r="P77">
        <v>0.0799150058822331</v>
      </c>
      <c r="Q77">
        <v>0.445193817150728</v>
      </c>
      <c r="R77" t="s">
        <v>780</v>
      </c>
      <c r="S77" t="s">
        <v>786</v>
      </c>
      <c r="T77">
        <v>104507.456256</v>
      </c>
      <c r="U77" s="2">
        <v>44512</v>
      </c>
      <c r="V77" t="s">
        <v>800</v>
      </c>
    </row>
    <row r="78" spans="1:22">
      <c r="A78" s="1" t="s">
        <v>98</v>
      </c>
      <c r="B78">
        <f>HYPERLINK("https://www.suredividend.com/sure-analysis-PNR/","Pentair plc")</f>
        <v>0</v>
      </c>
      <c r="C78">
        <v>72.31999999999999</v>
      </c>
      <c r="D78">
        <v>64</v>
      </c>
      <c r="E78">
        <v>1.13</v>
      </c>
      <c r="F78">
        <v>0.01161504424778761</v>
      </c>
      <c r="G78">
        <v>-0.02414720285851069</v>
      </c>
      <c r="H78">
        <v>0.065</v>
      </c>
      <c r="I78">
        <v>0.05057412895855551</v>
      </c>
      <c r="J78" t="s">
        <v>776</v>
      </c>
      <c r="K78" t="s">
        <v>777</v>
      </c>
      <c r="L78">
        <v>3.37</v>
      </c>
      <c r="M78">
        <v>0.84</v>
      </c>
      <c r="N78">
        <v>0.2492581602373887</v>
      </c>
      <c r="O78">
        <v>46</v>
      </c>
      <c r="P78">
        <v>0.04959293402845044</v>
      </c>
      <c r="Q78">
        <v>0.433829062401663</v>
      </c>
      <c r="R78" t="s">
        <v>780</v>
      </c>
      <c r="S78" t="s">
        <v>786</v>
      </c>
      <c r="T78">
        <v>12139.482146</v>
      </c>
      <c r="U78" s="2">
        <v>44503</v>
      </c>
      <c r="V78" t="s">
        <v>797</v>
      </c>
    </row>
    <row r="79" spans="1:22">
      <c r="A79" s="1" t="s">
        <v>99</v>
      </c>
      <c r="B79">
        <f>HYPERLINK("https://www.suredividend.com/sure-analysis-TSN/","Tyson Foods, Inc.")</f>
        <v>0</v>
      </c>
      <c r="C79">
        <v>86.31999999999999</v>
      </c>
      <c r="D79">
        <v>81</v>
      </c>
      <c r="E79">
        <v>1.065679012345679</v>
      </c>
      <c r="F79">
        <v>0.0206209453197405</v>
      </c>
      <c r="G79">
        <v>-0.01264184522216871</v>
      </c>
      <c r="H79">
        <v>0.04</v>
      </c>
      <c r="I79">
        <v>0.04810731214774622</v>
      </c>
      <c r="J79" t="s">
        <v>776</v>
      </c>
      <c r="K79" t="s">
        <v>777</v>
      </c>
      <c r="L79">
        <v>6.75</v>
      </c>
      <c r="M79">
        <v>1.78</v>
      </c>
      <c r="N79">
        <v>0.2637037037037037</v>
      </c>
      <c r="O79">
        <v>10</v>
      </c>
      <c r="P79">
        <v>0.05981824312960904</v>
      </c>
      <c r="Q79">
        <v>0.393293425144738</v>
      </c>
      <c r="R79" t="s">
        <v>780</v>
      </c>
      <c r="S79" t="s">
        <v>791</v>
      </c>
      <c r="T79">
        <v>31468.63312</v>
      </c>
      <c r="U79" s="2">
        <v>44515</v>
      </c>
      <c r="V79" t="s">
        <v>799</v>
      </c>
    </row>
    <row r="80" spans="1:22">
      <c r="A80" s="1" t="s">
        <v>100</v>
      </c>
      <c r="B80">
        <f>HYPERLINK("https://www.suredividend.com/sure-analysis-DG/","Dollar General Corp.")</f>
        <v>0</v>
      </c>
      <c r="C80">
        <v>235.83</v>
      </c>
      <c r="D80">
        <v>178</v>
      </c>
      <c r="E80">
        <v>1.324887640449438</v>
      </c>
      <c r="F80">
        <v>0.006869355043887546</v>
      </c>
      <c r="G80">
        <v>-0.0547119009548257</v>
      </c>
      <c r="H80">
        <v>0.1</v>
      </c>
      <c r="I80">
        <v>0.04736776932878528</v>
      </c>
      <c r="J80" t="s">
        <v>776</v>
      </c>
      <c r="K80" t="s">
        <v>346</v>
      </c>
      <c r="L80">
        <v>9.9</v>
      </c>
      <c r="M80">
        <v>1.62</v>
      </c>
      <c r="N80">
        <v>0.1636363636363636</v>
      </c>
      <c r="O80">
        <v>7</v>
      </c>
      <c r="P80">
        <v>0.08977506465822516</v>
      </c>
      <c r="Q80">
        <v>0.113810042887265</v>
      </c>
      <c r="R80" t="s">
        <v>780</v>
      </c>
      <c r="S80" t="s">
        <v>791</v>
      </c>
      <c r="T80">
        <v>54122.005204</v>
      </c>
      <c r="U80" s="2">
        <v>44541</v>
      </c>
      <c r="V80" t="s">
        <v>801</v>
      </c>
    </row>
    <row r="81" spans="1:22">
      <c r="A81" s="1" t="s">
        <v>101</v>
      </c>
      <c r="B81">
        <f>HYPERLINK("https://www.suredividend.com/sure-analysis-EBTC/","Enterprise Bancorp, Inc.")</f>
        <v>0</v>
      </c>
      <c r="C81">
        <v>45.18</v>
      </c>
      <c r="D81">
        <v>41</v>
      </c>
      <c r="E81">
        <v>1.101951219512195</v>
      </c>
      <c r="F81">
        <v>0.01637892872952634</v>
      </c>
      <c r="G81">
        <v>-0.01922920295087283</v>
      </c>
      <c r="H81">
        <v>0.05</v>
      </c>
      <c r="I81">
        <v>0.0467528181106085</v>
      </c>
      <c r="J81" t="s">
        <v>776</v>
      </c>
      <c r="K81" t="s">
        <v>777</v>
      </c>
      <c r="L81">
        <v>3.4</v>
      </c>
      <c r="M81">
        <v>0.74</v>
      </c>
      <c r="N81">
        <v>0.2176470588235294</v>
      </c>
      <c r="O81">
        <v>27</v>
      </c>
      <c r="P81">
        <v>0.06207125806326297</v>
      </c>
      <c r="Q81">
        <v>0.8132695794749191</v>
      </c>
      <c r="R81" t="s">
        <v>780</v>
      </c>
      <c r="S81" t="s">
        <v>789</v>
      </c>
      <c r="T81">
        <v>540.020607</v>
      </c>
      <c r="U81" s="2">
        <v>44494</v>
      </c>
      <c r="V81" t="s">
        <v>803</v>
      </c>
    </row>
    <row r="82" spans="1:22">
      <c r="A82" s="1" t="s">
        <v>102</v>
      </c>
      <c r="B82">
        <f>HYPERLINK("https://www.suredividend.com/sure-analysis-PSBQ/","PSB Holdings Inc (WI)")</f>
        <v>0</v>
      </c>
      <c r="C82">
        <v>26.05</v>
      </c>
      <c r="D82">
        <v>30</v>
      </c>
      <c r="E82">
        <v>0.8683333333333334</v>
      </c>
      <c r="F82">
        <v>0.01765834932821497</v>
      </c>
      <c r="G82">
        <v>0.02863833492256096</v>
      </c>
      <c r="H82">
        <v>0</v>
      </c>
      <c r="I82">
        <v>0.0463743365464151</v>
      </c>
      <c r="J82" t="s">
        <v>776</v>
      </c>
      <c r="K82" t="s">
        <v>777</v>
      </c>
      <c r="L82">
        <v>3</v>
      </c>
      <c r="M82">
        <v>0.46</v>
      </c>
      <c r="N82">
        <v>0.1533333333333333</v>
      </c>
      <c r="O82">
        <v>28</v>
      </c>
      <c r="P82">
        <v>0.05103901130952315</v>
      </c>
      <c r="Q82">
        <v>0.258728143574355</v>
      </c>
      <c r="R82" t="s">
        <v>780</v>
      </c>
      <c r="S82" t="s">
        <v>789</v>
      </c>
      <c r="T82">
        <v>117.192411</v>
      </c>
      <c r="U82" s="2">
        <v>44512</v>
      </c>
      <c r="V82" t="s">
        <v>800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207.54</v>
      </c>
      <c r="D83">
        <v>173</v>
      </c>
      <c r="E83">
        <v>1.199653179190751</v>
      </c>
      <c r="F83">
        <v>0.02293533776621374</v>
      </c>
      <c r="G83">
        <v>-0.03575175265977393</v>
      </c>
      <c r="H83">
        <v>0.06</v>
      </c>
      <c r="I83">
        <v>0.04606698706852175</v>
      </c>
      <c r="J83" t="s">
        <v>776</v>
      </c>
      <c r="K83" t="s">
        <v>777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0.446090706733444</v>
      </c>
      <c r="R83" t="s">
        <v>780</v>
      </c>
      <c r="S83" t="s">
        <v>786</v>
      </c>
      <c r="T83">
        <v>58047.634129</v>
      </c>
      <c r="U83" s="2">
        <v>44508</v>
      </c>
      <c r="V83" t="s">
        <v>801</v>
      </c>
    </row>
    <row r="84" spans="1:22">
      <c r="A84" s="1" t="s">
        <v>104</v>
      </c>
      <c r="B84">
        <f>HYPERLINK("https://www.suredividend.com/sure-analysis-AROW/","Arrow Financial Corp.")</f>
        <v>0</v>
      </c>
      <c r="C84">
        <v>34.97</v>
      </c>
      <c r="D84">
        <v>38</v>
      </c>
      <c r="E84">
        <v>0.9202631578947368</v>
      </c>
      <c r="F84">
        <v>0.02973977695167286</v>
      </c>
      <c r="G84">
        <v>0.01675798754314228</v>
      </c>
      <c r="H84">
        <v>0</v>
      </c>
      <c r="I84">
        <v>0.04474374794448788</v>
      </c>
      <c r="J84" t="s">
        <v>776</v>
      </c>
      <c r="K84" t="s">
        <v>776</v>
      </c>
      <c r="L84">
        <v>3.2</v>
      </c>
      <c r="M84">
        <v>1.04</v>
      </c>
      <c r="N84">
        <v>0.325</v>
      </c>
      <c r="O84">
        <v>26</v>
      </c>
      <c r="P84">
        <v>0.02031177855938826</v>
      </c>
      <c r="Q84">
        <v>0.24531779430882</v>
      </c>
      <c r="R84" t="s">
        <v>780</v>
      </c>
      <c r="S84" t="s">
        <v>789</v>
      </c>
      <c r="T84">
        <v>569.472027</v>
      </c>
      <c r="U84" s="2">
        <v>44518</v>
      </c>
      <c r="V84" t="s">
        <v>800</v>
      </c>
    </row>
    <row r="85" spans="1:22">
      <c r="A85" s="1" t="s">
        <v>105</v>
      </c>
      <c r="B85">
        <f>HYPERLINK("https://www.suredividend.com/sure-analysis-CL/","Colgate-Palmolive Co.")</f>
        <v>0</v>
      </c>
      <c r="C85">
        <v>84.59</v>
      </c>
      <c r="D85">
        <v>74</v>
      </c>
      <c r="E85">
        <v>1.143108108108108</v>
      </c>
      <c r="F85">
        <v>0.02127911100602908</v>
      </c>
      <c r="G85">
        <v>-0.02639557528319936</v>
      </c>
      <c r="H85">
        <v>0.05</v>
      </c>
      <c r="I85">
        <v>0.04396963362180206</v>
      </c>
      <c r="J85" t="s">
        <v>776</v>
      </c>
      <c r="K85" t="s">
        <v>777</v>
      </c>
      <c r="L85">
        <v>3.2</v>
      </c>
      <c r="M85">
        <v>1.8</v>
      </c>
      <c r="N85">
        <v>0.5625</v>
      </c>
      <c r="O85">
        <v>58</v>
      </c>
      <c r="P85">
        <v>0.05024607263868264</v>
      </c>
      <c r="Q85">
        <v>0.021403645103433</v>
      </c>
      <c r="R85" t="s">
        <v>780</v>
      </c>
      <c r="S85" t="s">
        <v>791</v>
      </c>
      <c r="T85">
        <v>71566.282353</v>
      </c>
      <c r="U85" s="2">
        <v>44519</v>
      </c>
      <c r="V85" t="s">
        <v>800</v>
      </c>
    </row>
    <row r="86" spans="1:22">
      <c r="A86" s="1" t="s">
        <v>106</v>
      </c>
      <c r="B86">
        <f>HYPERLINK("https://www.suredividend.com/sure-analysis-SCL/","Stepan Co.")</f>
        <v>0</v>
      </c>
      <c r="C86">
        <v>123.42</v>
      </c>
      <c r="D86">
        <v>113</v>
      </c>
      <c r="E86">
        <v>1.092212389380531</v>
      </c>
      <c r="F86">
        <v>0.01085723545616594</v>
      </c>
      <c r="G86">
        <v>-0.01748637813001153</v>
      </c>
      <c r="H86">
        <v>0.05</v>
      </c>
      <c r="I86">
        <v>0.04351348851510717</v>
      </c>
      <c r="J86" t="s">
        <v>776</v>
      </c>
      <c r="K86" t="s">
        <v>777</v>
      </c>
      <c r="L86">
        <v>6.3</v>
      </c>
      <c r="M86">
        <v>1.34</v>
      </c>
      <c r="N86">
        <v>0.2126984126984127</v>
      </c>
      <c r="O86">
        <v>54</v>
      </c>
      <c r="P86">
        <v>0.08012069093414587</v>
      </c>
      <c r="Q86">
        <v>0.06664945570328301</v>
      </c>
      <c r="R86" t="s">
        <v>780</v>
      </c>
      <c r="S86" t="s">
        <v>790</v>
      </c>
      <c r="T86">
        <v>2778.437914</v>
      </c>
      <c r="U86" s="2">
        <v>44499</v>
      </c>
      <c r="V86" t="s">
        <v>800</v>
      </c>
    </row>
    <row r="87" spans="1:22">
      <c r="A87" s="1" t="s">
        <v>107</v>
      </c>
      <c r="B87">
        <f>HYPERLINK("https://www.suredividend.com/sure-analysis-LECO/","Lincoln Electric Holdings, Inc.")</f>
        <v>0</v>
      </c>
      <c r="C87">
        <v>139.18</v>
      </c>
      <c r="D87">
        <v>112</v>
      </c>
      <c r="E87">
        <v>1.242678571428572</v>
      </c>
      <c r="F87">
        <v>0.01609426641758873</v>
      </c>
      <c r="G87">
        <v>-0.04252324752764136</v>
      </c>
      <c r="H87">
        <v>0.07000000000000001</v>
      </c>
      <c r="I87">
        <v>0.04237335999453995</v>
      </c>
      <c r="J87" t="s">
        <v>776</v>
      </c>
      <c r="K87" t="s">
        <v>346</v>
      </c>
      <c r="L87">
        <v>6.2</v>
      </c>
      <c r="M87">
        <v>2.24</v>
      </c>
      <c r="N87">
        <v>0.3612903225806452</v>
      </c>
      <c r="O87">
        <v>26</v>
      </c>
      <c r="P87">
        <v>0.0799150058822331</v>
      </c>
      <c r="Q87">
        <v>0.234951925899379</v>
      </c>
      <c r="R87" t="s">
        <v>780</v>
      </c>
      <c r="S87" t="s">
        <v>786</v>
      </c>
      <c r="T87">
        <v>8322.265288000001</v>
      </c>
      <c r="U87" s="2">
        <v>44500</v>
      </c>
      <c r="V87" t="s">
        <v>797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206.08</v>
      </c>
      <c r="D88">
        <v>168</v>
      </c>
      <c r="E88">
        <v>1.226666666666667</v>
      </c>
      <c r="F88">
        <v>0.02154503105590062</v>
      </c>
      <c r="G88">
        <v>-0.0400365735583017</v>
      </c>
      <c r="H88">
        <v>0.06</v>
      </c>
      <c r="I88">
        <v>0.04183124506742897</v>
      </c>
      <c r="J88" t="s">
        <v>776</v>
      </c>
      <c r="K88" t="s">
        <v>777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0.191853797427968</v>
      </c>
      <c r="R88" t="s">
        <v>780</v>
      </c>
      <c r="S88" t="s">
        <v>786</v>
      </c>
      <c r="T88">
        <v>112153.421928</v>
      </c>
      <c r="U88" s="2">
        <v>44503</v>
      </c>
      <c r="V88" t="s">
        <v>799</v>
      </c>
    </row>
    <row r="89" spans="1:22">
      <c r="A89" s="1" t="s">
        <v>109</v>
      </c>
      <c r="B89">
        <f>HYPERLINK("https://www.suredividend.com/sure-analysis-GPC/","Genuine Parts Co.")</f>
        <v>0</v>
      </c>
      <c r="C89">
        <v>139.38</v>
      </c>
      <c r="D89">
        <v>114</v>
      </c>
      <c r="E89">
        <v>1.222631578947368</v>
      </c>
      <c r="F89">
        <v>0.02338929545128426</v>
      </c>
      <c r="G89">
        <v>-0.03940376916776034</v>
      </c>
      <c r="H89">
        <v>0.06</v>
      </c>
      <c r="I89">
        <v>0.04165638032063224</v>
      </c>
      <c r="J89" t="s">
        <v>776</v>
      </c>
      <c r="K89" t="s">
        <v>776</v>
      </c>
      <c r="L89">
        <v>6.7</v>
      </c>
      <c r="M89">
        <v>3.26</v>
      </c>
      <c r="N89">
        <v>0.4865671641791044</v>
      </c>
      <c r="O89">
        <v>65</v>
      </c>
      <c r="P89">
        <v>0.04019456757723883</v>
      </c>
      <c r="Q89">
        <v>0.4514633162401691</v>
      </c>
      <c r="R89" t="s">
        <v>780</v>
      </c>
      <c r="S89" t="s">
        <v>788</v>
      </c>
      <c r="T89">
        <v>19882.076021</v>
      </c>
      <c r="U89" s="2">
        <v>44499</v>
      </c>
      <c r="V89" t="s">
        <v>800</v>
      </c>
    </row>
    <row r="90" spans="1:22">
      <c r="A90" s="1" t="s">
        <v>110</v>
      </c>
      <c r="B90">
        <f>HYPERLINK("https://www.suredividend.com/sure-analysis-TXT/","Textron Inc.")</f>
        <v>0</v>
      </c>
      <c r="C90">
        <v>77.17</v>
      </c>
      <c r="D90">
        <v>70</v>
      </c>
      <c r="E90">
        <v>1.102428571428572</v>
      </c>
      <c r="F90">
        <v>0.001036672281974861</v>
      </c>
      <c r="G90">
        <v>-0.01931415247781665</v>
      </c>
      <c r="H90">
        <v>0.06</v>
      </c>
      <c r="I90">
        <v>0.04041325169251064</v>
      </c>
      <c r="J90" t="s">
        <v>776</v>
      </c>
      <c r="K90" t="s">
        <v>524</v>
      </c>
      <c r="L90">
        <v>3.25</v>
      </c>
      <c r="M90">
        <v>0.08</v>
      </c>
      <c r="N90">
        <v>0.02461538461538462</v>
      </c>
      <c r="O90">
        <v>0</v>
      </c>
      <c r="P90">
        <v>0</v>
      </c>
      <c r="Q90">
        <v>0.633008305182256</v>
      </c>
      <c r="R90" t="s">
        <v>780</v>
      </c>
      <c r="S90" t="s">
        <v>786</v>
      </c>
      <c r="T90">
        <v>17080.750065</v>
      </c>
      <c r="U90" s="2">
        <v>44504</v>
      </c>
      <c r="V90" t="s">
        <v>801</v>
      </c>
    </row>
    <row r="91" spans="1:22">
      <c r="A91" s="1" t="s">
        <v>111</v>
      </c>
      <c r="B91">
        <f>HYPERLINK("https://www.suredividend.com/sure-analysis-KR/","Kroger Co.")</f>
        <v>0</v>
      </c>
      <c r="C91">
        <v>45.14</v>
      </c>
      <c r="D91">
        <v>45</v>
      </c>
      <c r="E91">
        <v>1.003111111111111</v>
      </c>
      <c r="F91">
        <v>0.01860877270713336</v>
      </c>
      <c r="G91">
        <v>-0.0006210633840610935</v>
      </c>
      <c r="H91">
        <v>0.02</v>
      </c>
      <c r="I91">
        <v>0.03976429898675593</v>
      </c>
      <c r="J91" t="s">
        <v>776</v>
      </c>
      <c r="K91" t="s">
        <v>777</v>
      </c>
      <c r="L91">
        <v>3.45</v>
      </c>
      <c r="M91">
        <v>0.84</v>
      </c>
      <c r="N91">
        <v>0.2434782608695652</v>
      </c>
      <c r="O91">
        <v>16</v>
      </c>
      <c r="P91">
        <v>0.07033701387905711</v>
      </c>
      <c r="Q91">
        <v>0.450130871797532</v>
      </c>
      <c r="R91" t="s">
        <v>780</v>
      </c>
      <c r="S91" t="s">
        <v>791</v>
      </c>
      <c r="T91">
        <v>32873.276266</v>
      </c>
      <c r="U91" s="2">
        <v>44534</v>
      </c>
      <c r="V91" t="s">
        <v>799</v>
      </c>
    </row>
    <row r="92" spans="1:22">
      <c r="A92" s="1" t="s">
        <v>112</v>
      </c>
      <c r="B92">
        <f>HYPERLINK("https://www.suredividend.com/sure-analysis-FFMR/","First Farmers Financial Corp")</f>
        <v>0</v>
      </c>
      <c r="C92">
        <v>54</v>
      </c>
      <c r="D92">
        <v>45</v>
      </c>
      <c r="E92">
        <v>1.2</v>
      </c>
      <c r="F92">
        <v>0.02444444444444445</v>
      </c>
      <c r="G92">
        <v>-0.03580749599737276</v>
      </c>
      <c r="H92">
        <v>0.05</v>
      </c>
      <c r="I92">
        <v>0.03953099602404175</v>
      </c>
      <c r="J92" t="s">
        <v>776</v>
      </c>
      <c r="K92" t="s">
        <v>777</v>
      </c>
      <c r="L92">
        <v>4.5</v>
      </c>
      <c r="M92">
        <v>1.32</v>
      </c>
      <c r="N92">
        <v>0.2933333333333333</v>
      </c>
      <c r="O92">
        <v>30</v>
      </c>
      <c r="P92">
        <v>0.0698417929634616</v>
      </c>
      <c r="Q92">
        <v>0.276851608949104</v>
      </c>
      <c r="R92" t="s">
        <v>780</v>
      </c>
      <c r="S92" t="s">
        <v>789</v>
      </c>
      <c r="T92">
        <v>387.057055</v>
      </c>
      <c r="U92" s="2">
        <v>44253</v>
      </c>
      <c r="V92" t="s">
        <v>800</v>
      </c>
    </row>
    <row r="93" spans="1:22">
      <c r="A93" s="1" t="s">
        <v>113</v>
      </c>
      <c r="B93">
        <f>HYPERLINK("https://www.suredividend.com/sure-analysis-HRL/","Hormel Foods Corp.")</f>
        <v>0</v>
      </c>
      <c r="C93">
        <v>48.57</v>
      </c>
      <c r="D93">
        <v>43</v>
      </c>
      <c r="E93">
        <v>1.12953488372093</v>
      </c>
      <c r="F93">
        <v>0.02141239448219065</v>
      </c>
      <c r="G93">
        <v>-0.02406684938077397</v>
      </c>
      <c r="H93">
        <v>0.04</v>
      </c>
      <c r="I93">
        <v>0.03739899870498098</v>
      </c>
      <c r="J93" t="s">
        <v>776</v>
      </c>
      <c r="K93" t="s">
        <v>777</v>
      </c>
      <c r="L93">
        <v>1.95</v>
      </c>
      <c r="M93">
        <v>1.04</v>
      </c>
      <c r="N93">
        <v>0.5333333333333333</v>
      </c>
      <c r="O93">
        <v>56</v>
      </c>
      <c r="P93">
        <v>0.05042164036374652</v>
      </c>
      <c r="Q93">
        <v>0.060581888591915</v>
      </c>
      <c r="R93" t="s">
        <v>780</v>
      </c>
      <c r="S93" t="s">
        <v>791</v>
      </c>
      <c r="T93">
        <v>26330.919625</v>
      </c>
      <c r="U93" s="2">
        <v>44542</v>
      </c>
      <c r="V93" t="s">
        <v>800</v>
      </c>
    </row>
    <row r="94" spans="1:22">
      <c r="A94" s="1" t="s">
        <v>114</v>
      </c>
      <c r="B94">
        <f>HYPERLINK("https://www.suredividend.com/sure-analysis-AXP/","American Express Co.")</f>
        <v>0</v>
      </c>
      <c r="C94">
        <v>164.16</v>
      </c>
      <c r="D94">
        <v>131</v>
      </c>
      <c r="E94">
        <v>1.253129770992366</v>
      </c>
      <c r="F94">
        <v>0.0104775828460039</v>
      </c>
      <c r="G94">
        <v>-0.04412568836214348</v>
      </c>
      <c r="H94">
        <v>0.07000000000000001</v>
      </c>
      <c r="I94">
        <v>0.03464832227229442</v>
      </c>
      <c r="J94" t="s">
        <v>776</v>
      </c>
      <c r="K94" t="s">
        <v>346</v>
      </c>
      <c r="L94">
        <v>8.75</v>
      </c>
      <c r="M94">
        <v>1.72</v>
      </c>
      <c r="N94">
        <v>0.1965714285714286</v>
      </c>
      <c r="O94">
        <v>9</v>
      </c>
      <c r="P94">
        <v>0.08023542380212056</v>
      </c>
      <c r="Q94">
        <v>0.402911149816832</v>
      </c>
      <c r="R94" t="s">
        <v>780</v>
      </c>
      <c r="S94" t="s">
        <v>789</v>
      </c>
      <c r="T94">
        <v>126895.470325</v>
      </c>
      <c r="U94" s="2">
        <v>44491</v>
      </c>
      <c r="V94" t="s">
        <v>797</v>
      </c>
    </row>
    <row r="95" spans="1:22">
      <c r="A95" s="1" t="s">
        <v>115</v>
      </c>
      <c r="B95">
        <f>HYPERLINK("https://www.suredividend.com/sure-analysis-PPG/","PPG Industries, Inc.")</f>
        <v>0</v>
      </c>
      <c r="C95">
        <v>171.09</v>
      </c>
      <c r="D95">
        <v>127</v>
      </c>
      <c r="E95">
        <v>1.347165354330709</v>
      </c>
      <c r="F95">
        <v>0.01379390963820211</v>
      </c>
      <c r="G95">
        <v>-0.0578591840918079</v>
      </c>
      <c r="H95">
        <v>0.08</v>
      </c>
      <c r="I95">
        <v>0.03332668569609543</v>
      </c>
      <c r="J95" t="s">
        <v>776</v>
      </c>
      <c r="K95" t="s">
        <v>777</v>
      </c>
      <c r="L95">
        <v>6.7</v>
      </c>
      <c r="M95">
        <v>2.36</v>
      </c>
      <c r="N95">
        <v>0.3522388059701492</v>
      </c>
      <c r="O95">
        <v>50</v>
      </c>
      <c r="P95">
        <v>0.08014856837381279</v>
      </c>
      <c r="Q95">
        <v>0.215246477623593</v>
      </c>
      <c r="R95" t="s">
        <v>780</v>
      </c>
      <c r="S95" t="s">
        <v>790</v>
      </c>
      <c r="T95">
        <v>40645.400042</v>
      </c>
      <c r="U95" s="2">
        <v>44490</v>
      </c>
      <c r="V95" t="s">
        <v>796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37.32</v>
      </c>
      <c r="D96">
        <v>28</v>
      </c>
      <c r="E96">
        <v>1.332857142857143</v>
      </c>
      <c r="F96">
        <v>0.009914255091103965</v>
      </c>
      <c r="G96">
        <v>-0.05584503942875796</v>
      </c>
      <c r="H96">
        <v>0.08</v>
      </c>
      <c r="I96">
        <v>0.03201898626389044</v>
      </c>
      <c r="J96" t="s">
        <v>776</v>
      </c>
      <c r="K96" t="s">
        <v>346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0.276286475031244</v>
      </c>
      <c r="R96" t="s">
        <v>780</v>
      </c>
      <c r="S96" t="s">
        <v>786</v>
      </c>
      <c r="T96">
        <v>84723.956298</v>
      </c>
      <c r="U96" s="2">
        <v>44493</v>
      </c>
      <c r="V96" t="s">
        <v>800</v>
      </c>
    </row>
    <row r="97" spans="1:22">
      <c r="A97" s="1" t="s">
        <v>117</v>
      </c>
      <c r="B97">
        <f>HYPERLINK("https://www.suredividend.com/sure-analysis-JKHY/","Jack Henry &amp; Associates, Inc.")</f>
        <v>0</v>
      </c>
      <c r="C97">
        <v>167.72</v>
      </c>
      <c r="D97">
        <v>117</v>
      </c>
      <c r="E97">
        <v>1.433504273504274</v>
      </c>
      <c r="F97">
        <v>0.01097066539470546</v>
      </c>
      <c r="G97">
        <v>-0.06949180654027776</v>
      </c>
      <c r="H97">
        <v>0.095</v>
      </c>
      <c r="I97">
        <v>0.03185014560765231</v>
      </c>
      <c r="J97" t="s">
        <v>776</v>
      </c>
      <c r="K97" t="s">
        <v>346</v>
      </c>
      <c r="L97">
        <v>4.68</v>
      </c>
      <c r="M97">
        <v>1.84</v>
      </c>
      <c r="N97">
        <v>0.3931623931623932</v>
      </c>
      <c r="O97">
        <v>31</v>
      </c>
      <c r="P97">
        <v>0.08991774272866437</v>
      </c>
      <c r="Q97">
        <v>0.066300729333435</v>
      </c>
      <c r="R97" t="s">
        <v>780</v>
      </c>
      <c r="S97" t="s">
        <v>787</v>
      </c>
      <c r="T97">
        <v>12427.046811</v>
      </c>
      <c r="U97" s="2">
        <v>44512</v>
      </c>
      <c r="V97" t="s">
        <v>797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95.56999999999999</v>
      </c>
      <c r="D98">
        <v>69</v>
      </c>
      <c r="E98">
        <v>1.385072463768116</v>
      </c>
      <c r="F98">
        <v>0.01548603118133306</v>
      </c>
      <c r="G98">
        <v>-0.06307354692135625</v>
      </c>
      <c r="H98">
        <v>0.08</v>
      </c>
      <c r="I98">
        <v>0.02951197641349701</v>
      </c>
      <c r="J98" t="s">
        <v>776</v>
      </c>
      <c r="K98" t="s">
        <v>346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0.027929982079488</v>
      </c>
      <c r="R98" t="s">
        <v>780</v>
      </c>
      <c r="S98" t="s">
        <v>791</v>
      </c>
      <c r="T98">
        <v>25538.631129</v>
      </c>
      <c r="U98" s="2">
        <v>44470</v>
      </c>
      <c r="V98" t="s">
        <v>796</v>
      </c>
    </row>
    <row r="99" spans="1:22">
      <c r="A99" s="1" t="s">
        <v>119</v>
      </c>
      <c r="B99">
        <f>HYPERLINK("https://www.suredividend.com/sure-analysis-SPGI/","S&amp;P Global Inc")</f>
        <v>0</v>
      </c>
      <c r="C99">
        <v>470.48</v>
      </c>
      <c r="D99">
        <v>355</v>
      </c>
      <c r="E99">
        <v>1.325295774647887</v>
      </c>
      <c r="F99">
        <v>0.006546505696310151</v>
      </c>
      <c r="G99">
        <v>-0.05477012975797257</v>
      </c>
      <c r="H99">
        <v>0.08</v>
      </c>
      <c r="I99">
        <v>0.02928749990444568</v>
      </c>
      <c r="J99" t="s">
        <v>776</v>
      </c>
      <c r="K99" t="s">
        <v>346</v>
      </c>
      <c r="L99">
        <v>13.65</v>
      </c>
      <c r="M99">
        <v>3.08</v>
      </c>
      <c r="N99">
        <v>0.2256410256410256</v>
      </c>
      <c r="O99">
        <v>48</v>
      </c>
      <c r="P99">
        <v>0.1200820117377759</v>
      </c>
      <c r="Q99">
        <v>0.4876376076542721</v>
      </c>
      <c r="R99" t="s">
        <v>780</v>
      </c>
      <c r="S99" t="s">
        <v>789</v>
      </c>
      <c r="T99">
        <v>114366.55</v>
      </c>
      <c r="U99" s="2">
        <v>44512</v>
      </c>
      <c r="V99" t="s">
        <v>800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274.21</v>
      </c>
      <c r="D100">
        <v>252</v>
      </c>
      <c r="E100">
        <v>1.08813492063492</v>
      </c>
      <c r="F100">
        <v>0.02261040808139747</v>
      </c>
      <c r="G100">
        <v>-0.01675114260089172</v>
      </c>
      <c r="H100">
        <v>0.02</v>
      </c>
      <c r="I100">
        <v>0.02759586092509947</v>
      </c>
      <c r="J100" t="s">
        <v>776</v>
      </c>
      <c r="K100" t="s">
        <v>777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0.233077000345993</v>
      </c>
      <c r="R100" t="s">
        <v>780</v>
      </c>
      <c r="S100" t="s">
        <v>789</v>
      </c>
      <c r="T100">
        <v>10960.884587</v>
      </c>
      <c r="U100" s="2">
        <v>44508</v>
      </c>
      <c r="V100" t="s">
        <v>797</v>
      </c>
    </row>
    <row r="101" spans="1:22">
      <c r="A101" s="1" t="s">
        <v>121</v>
      </c>
      <c r="B101">
        <f>HYPERLINK("https://www.suredividend.com/sure-analysis-COST/","Costco Wholesale Corp")</f>
        <v>0</v>
      </c>
      <c r="C101">
        <v>563.91</v>
      </c>
      <c r="D101">
        <v>405</v>
      </c>
      <c r="E101">
        <v>1.39237037037037</v>
      </c>
      <c r="F101">
        <v>0.005603731091840898</v>
      </c>
      <c r="G101">
        <v>-0.06405776526716189</v>
      </c>
      <c r="H101">
        <v>0.09</v>
      </c>
      <c r="I101">
        <v>0.02703343251121115</v>
      </c>
      <c r="J101" t="s">
        <v>776</v>
      </c>
      <c r="K101" t="s">
        <v>524</v>
      </c>
      <c r="L101">
        <v>12.65</v>
      </c>
      <c r="M101">
        <v>3.16</v>
      </c>
      <c r="N101">
        <v>0.249802371541502</v>
      </c>
      <c r="O101">
        <v>18</v>
      </c>
      <c r="P101">
        <v>0.1000340793951375</v>
      </c>
      <c r="Q101">
        <v>0.534939147990767</v>
      </c>
      <c r="R101" t="s">
        <v>780</v>
      </c>
      <c r="S101" t="s">
        <v>791</v>
      </c>
      <c r="T101">
        <v>251767.662576</v>
      </c>
      <c r="U101" s="2">
        <v>44542</v>
      </c>
      <c r="V101" t="s">
        <v>800</v>
      </c>
    </row>
    <row r="102" spans="1:22">
      <c r="A102" s="1" t="s">
        <v>122</v>
      </c>
      <c r="B102">
        <f>HYPERLINK("https://www.suredividend.com/sure-analysis-CSVI/","Computer Services, Inc.")</f>
        <v>0</v>
      </c>
      <c r="C102">
        <v>53.75</v>
      </c>
      <c r="D102">
        <v>37</v>
      </c>
      <c r="E102">
        <v>1.452702702702703</v>
      </c>
      <c r="F102">
        <v>0.02009302325581395</v>
      </c>
      <c r="G102">
        <v>-0.0719643684560074</v>
      </c>
      <c r="H102">
        <v>0.08</v>
      </c>
      <c r="I102">
        <v>0.0264468218098366</v>
      </c>
      <c r="J102" t="s">
        <v>776</v>
      </c>
      <c r="K102" t="s">
        <v>777</v>
      </c>
      <c r="L102">
        <v>2.15</v>
      </c>
      <c r="M102">
        <v>1.08</v>
      </c>
      <c r="N102">
        <v>0.5023255813953489</v>
      </c>
      <c r="O102">
        <v>50</v>
      </c>
      <c r="P102">
        <v>0.08178074106640287</v>
      </c>
      <c r="Q102">
        <v>-0.128865962594969</v>
      </c>
      <c r="R102" t="s">
        <v>780</v>
      </c>
      <c r="S102" t="s">
        <v>787</v>
      </c>
      <c r="T102">
        <v>1468.897445</v>
      </c>
      <c r="U102" s="2">
        <v>44477</v>
      </c>
      <c r="V102" t="s">
        <v>803</v>
      </c>
    </row>
    <row r="103" spans="1:22">
      <c r="A103" s="1" t="s">
        <v>123</v>
      </c>
      <c r="B103">
        <f>HYPERLINK("https://www.suredividend.com/sure-analysis-MCO/","Moody`s Corp.")</f>
        <v>0</v>
      </c>
      <c r="C103">
        <v>391.06</v>
      </c>
      <c r="D103">
        <v>320</v>
      </c>
      <c r="E103">
        <v>1.2220625</v>
      </c>
      <c r="F103">
        <v>0.006341737840740551</v>
      </c>
      <c r="G103">
        <v>-0.03931432148471936</v>
      </c>
      <c r="H103">
        <v>0.06</v>
      </c>
      <c r="I103">
        <v>0.02635414299846306</v>
      </c>
      <c r="J103" t="s">
        <v>776</v>
      </c>
      <c r="K103" t="s">
        <v>524</v>
      </c>
      <c r="L103">
        <v>12.3</v>
      </c>
      <c r="M103">
        <v>2.48</v>
      </c>
      <c r="N103">
        <v>0.2016260162601626</v>
      </c>
      <c r="O103">
        <v>12</v>
      </c>
      <c r="P103">
        <v>0.1100560807786035</v>
      </c>
      <c r="Q103">
        <v>0.428515034828262</v>
      </c>
      <c r="R103" t="s">
        <v>780</v>
      </c>
      <c r="S103" t="s">
        <v>789</v>
      </c>
      <c r="T103">
        <v>73999.35400000001</v>
      </c>
      <c r="U103" s="2">
        <v>44518</v>
      </c>
      <c r="V103" t="s">
        <v>800</v>
      </c>
    </row>
    <row r="104" spans="1:22">
      <c r="A104" s="1" t="s">
        <v>124</v>
      </c>
      <c r="B104">
        <f>HYPERLINK("https://www.suredividend.com/sure-analysis-THFF/","First Financial Corp. - Indiana")</f>
        <v>0</v>
      </c>
      <c r="C104">
        <v>45.16</v>
      </c>
      <c r="D104">
        <v>48</v>
      </c>
      <c r="E104">
        <v>0.9408333333333333</v>
      </c>
      <c r="F104">
        <v>0.02347209920283437</v>
      </c>
      <c r="G104">
        <v>0.01227255155669837</v>
      </c>
      <c r="H104">
        <v>-0.01</v>
      </c>
      <c r="I104">
        <v>0.02571631163795551</v>
      </c>
      <c r="J104" t="s">
        <v>776</v>
      </c>
      <c r="K104" t="s">
        <v>776</v>
      </c>
      <c r="L104">
        <v>4.4</v>
      </c>
      <c r="M104">
        <v>1.06</v>
      </c>
      <c r="N104">
        <v>0.2409090909090909</v>
      </c>
      <c r="O104">
        <v>32</v>
      </c>
      <c r="P104">
        <v>0.01994322923769842</v>
      </c>
      <c r="Q104">
        <v>0.199609503496429</v>
      </c>
      <c r="R104" t="s">
        <v>780</v>
      </c>
      <c r="S104" t="s">
        <v>789</v>
      </c>
      <c r="T104">
        <v>582.068946</v>
      </c>
      <c r="U104" s="2">
        <v>44518</v>
      </c>
      <c r="V104" t="s">
        <v>800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46.35</v>
      </c>
      <c r="D105">
        <v>46</v>
      </c>
      <c r="E105">
        <v>1.007608695652174</v>
      </c>
      <c r="F105">
        <v>0.0250269687162891</v>
      </c>
      <c r="G105">
        <v>-0.001514830588679739</v>
      </c>
      <c r="H105">
        <v>0</v>
      </c>
      <c r="I105">
        <v>0.02456511533071781</v>
      </c>
      <c r="J105" t="s">
        <v>776</v>
      </c>
      <c r="K105" t="s">
        <v>777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0.552657143524808</v>
      </c>
      <c r="R105" t="s">
        <v>780</v>
      </c>
      <c r="S105" t="s">
        <v>789</v>
      </c>
      <c r="T105">
        <v>5654.554502</v>
      </c>
      <c r="U105" s="2">
        <v>44493</v>
      </c>
      <c r="V105" t="s">
        <v>799</v>
      </c>
    </row>
    <row r="106" spans="1:22">
      <c r="A106" s="1" t="s">
        <v>126</v>
      </c>
      <c r="B106">
        <f>HYPERLINK("https://www.suredividend.com/sure-analysis-TROW/","T. Rowe Price Group Inc.")</f>
        <v>0</v>
      </c>
      <c r="C106">
        <v>198.14</v>
      </c>
      <c r="D106">
        <v>179</v>
      </c>
      <c r="E106">
        <v>1.106927374301676</v>
      </c>
      <c r="F106">
        <v>0.02180276572120723</v>
      </c>
      <c r="G106">
        <v>-0.02011259731789783</v>
      </c>
      <c r="H106">
        <v>0.02</v>
      </c>
      <c r="I106">
        <v>0.02334583900894449</v>
      </c>
      <c r="J106" t="s">
        <v>776</v>
      </c>
      <c r="K106" t="s">
        <v>777</v>
      </c>
      <c r="L106">
        <v>12.74</v>
      </c>
      <c r="M106">
        <v>4.32</v>
      </c>
      <c r="N106">
        <v>0.3390894819466248</v>
      </c>
      <c r="O106">
        <v>35</v>
      </c>
      <c r="P106">
        <v>0.04563955259127317</v>
      </c>
      <c r="Q106">
        <v>0.382732987078439</v>
      </c>
      <c r="R106" t="s">
        <v>780</v>
      </c>
      <c r="S106" t="s">
        <v>789</v>
      </c>
      <c r="T106">
        <v>44397.380494</v>
      </c>
      <c r="U106" s="2">
        <v>44502</v>
      </c>
      <c r="V106" t="s">
        <v>799</v>
      </c>
    </row>
    <row r="107" spans="1:22">
      <c r="A107" s="1" t="s">
        <v>127</v>
      </c>
      <c r="B107">
        <f>HYPERLINK("https://www.suredividend.com/sure-analysis-BRO/","Brown &amp; Brown, Inc.")</f>
        <v>0</v>
      </c>
      <c r="C107">
        <v>69.81</v>
      </c>
      <c r="D107">
        <v>53</v>
      </c>
      <c r="E107">
        <v>1.317169811320755</v>
      </c>
      <c r="F107">
        <v>0.005873084085374587</v>
      </c>
      <c r="G107">
        <v>-0.05360672336078665</v>
      </c>
      <c r="H107">
        <v>0.07000000000000001</v>
      </c>
      <c r="I107">
        <v>0.0198191096641418</v>
      </c>
      <c r="J107" t="s">
        <v>776</v>
      </c>
      <c r="K107" t="s">
        <v>346</v>
      </c>
      <c r="L107">
        <v>2.2</v>
      </c>
      <c r="M107">
        <v>0.41</v>
      </c>
      <c r="N107">
        <v>0.1863636363636363</v>
      </c>
      <c r="O107">
        <v>28</v>
      </c>
      <c r="P107">
        <v>0.08971100922578001</v>
      </c>
      <c r="Q107">
        <v>0.5280087527352291</v>
      </c>
      <c r="R107" t="s">
        <v>780</v>
      </c>
      <c r="S107" t="s">
        <v>789</v>
      </c>
      <c r="T107">
        <v>19721.866167</v>
      </c>
      <c r="U107" s="2">
        <v>44507</v>
      </c>
      <c r="V107" t="s">
        <v>800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245.72</v>
      </c>
      <c r="D108">
        <v>184</v>
      </c>
      <c r="E108">
        <v>1.335434782608696</v>
      </c>
      <c r="F108">
        <v>0.008790493244343155</v>
      </c>
      <c r="G108">
        <v>-0.05620980041314483</v>
      </c>
      <c r="H108">
        <v>0.07000000000000001</v>
      </c>
      <c r="I108">
        <v>0.01975918183222714</v>
      </c>
      <c r="J108" t="s">
        <v>776</v>
      </c>
      <c r="K108" t="s">
        <v>346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0.6031247268994431</v>
      </c>
      <c r="R108" t="s">
        <v>780</v>
      </c>
      <c r="S108" t="s">
        <v>786</v>
      </c>
      <c r="T108">
        <v>12852.070152</v>
      </c>
      <c r="U108" s="2">
        <v>44509</v>
      </c>
      <c r="V108" t="s">
        <v>797</v>
      </c>
    </row>
    <row r="109" spans="1:22">
      <c r="A109" s="1" t="s">
        <v>129</v>
      </c>
      <c r="B109">
        <f>HYPERLINK("https://www.suredividend.com/sure-analysis-DOV/","Dover Corp.")</f>
        <v>0</v>
      </c>
      <c r="C109">
        <v>180.67</v>
      </c>
      <c r="D109">
        <v>127</v>
      </c>
      <c r="E109">
        <v>1.42259842519685</v>
      </c>
      <c r="F109">
        <v>0.01106990645929042</v>
      </c>
      <c r="G109">
        <v>-0.06806947891312531</v>
      </c>
      <c r="H109">
        <v>0.08</v>
      </c>
      <c r="I109">
        <v>0.01869477505632644</v>
      </c>
      <c r="J109" t="s">
        <v>776</v>
      </c>
      <c r="K109" t="s">
        <v>777</v>
      </c>
      <c r="L109">
        <v>7.48</v>
      </c>
      <c r="M109">
        <v>2</v>
      </c>
      <c r="N109">
        <v>0.267379679144385</v>
      </c>
      <c r="O109">
        <v>66</v>
      </c>
      <c r="P109">
        <v>0.04978904632428516</v>
      </c>
      <c r="Q109">
        <v>0.488609638433641</v>
      </c>
      <c r="R109" t="s">
        <v>780</v>
      </c>
      <c r="S109" t="s">
        <v>786</v>
      </c>
      <c r="T109">
        <v>26128.89498</v>
      </c>
      <c r="U109" s="2">
        <v>44488</v>
      </c>
      <c r="V109" t="s">
        <v>796</v>
      </c>
    </row>
    <row r="110" spans="1:22">
      <c r="A110" s="1" t="s">
        <v>130</v>
      </c>
      <c r="B110">
        <f>HYPERLINK("https://www.suredividend.com/sure-analysis-AMAT/","Applied Materials Inc.")</f>
        <v>0</v>
      </c>
      <c r="C110">
        <v>157.98</v>
      </c>
      <c r="D110">
        <v>130</v>
      </c>
      <c r="E110">
        <v>1.215230769230769</v>
      </c>
      <c r="F110">
        <v>0.006076718571971135</v>
      </c>
      <c r="G110">
        <v>-0.03823659417565461</v>
      </c>
      <c r="H110">
        <v>0.05</v>
      </c>
      <c r="I110">
        <v>0.01759256264034703</v>
      </c>
      <c r="J110" t="s">
        <v>776</v>
      </c>
      <c r="K110" t="s">
        <v>346</v>
      </c>
      <c r="L110">
        <v>8.15</v>
      </c>
      <c r="M110">
        <v>0.96</v>
      </c>
      <c r="N110">
        <v>0.1177914110429448</v>
      </c>
      <c r="O110">
        <v>4</v>
      </c>
      <c r="P110">
        <v>0.1005558662160053</v>
      </c>
      <c r="Q110">
        <v>0.9238675258619041</v>
      </c>
      <c r="R110" t="s">
        <v>780</v>
      </c>
      <c r="S110" t="s">
        <v>787</v>
      </c>
      <c r="T110">
        <v>143032.862663</v>
      </c>
      <c r="U110" s="2">
        <v>44535</v>
      </c>
      <c r="V110" t="s">
        <v>800</v>
      </c>
    </row>
    <row r="111" spans="1:22">
      <c r="A111" s="1" t="s">
        <v>131</v>
      </c>
      <c r="B111">
        <f>HYPERLINK("https://www.suredividend.com/sure-analysis-SRCE/","1st Source Corp.")</f>
        <v>0</v>
      </c>
      <c r="C111">
        <v>48.69</v>
      </c>
      <c r="D111">
        <v>60</v>
      </c>
      <c r="E111">
        <v>0.8115</v>
      </c>
      <c r="F111">
        <v>0.02546724173341549</v>
      </c>
      <c r="G111">
        <v>0.0426589972460798</v>
      </c>
      <c r="H111">
        <v>-0.05</v>
      </c>
      <c r="I111">
        <v>0.01715314627173292</v>
      </c>
      <c r="J111" t="s">
        <v>776</v>
      </c>
      <c r="K111" t="s">
        <v>776</v>
      </c>
      <c r="L111">
        <v>4.8</v>
      </c>
      <c r="M111">
        <v>1.24</v>
      </c>
      <c r="N111">
        <v>0.2583333333333334</v>
      </c>
      <c r="O111">
        <v>34</v>
      </c>
      <c r="P111">
        <v>0.02013999925026777</v>
      </c>
      <c r="Q111">
        <v>0.265309809893783</v>
      </c>
      <c r="R111" t="s">
        <v>780</v>
      </c>
      <c r="S111" t="s">
        <v>789</v>
      </c>
      <c r="T111">
        <v>1225.803777</v>
      </c>
      <c r="U111" s="2">
        <v>44498</v>
      </c>
      <c r="V111" t="s">
        <v>800</v>
      </c>
    </row>
    <row r="112" spans="1:22">
      <c r="A112" s="1" t="s">
        <v>132</v>
      </c>
      <c r="B112">
        <f>HYPERLINK("https://www.suredividend.com/sure-analysis-GRC/","Gorman-Rupp Co.")</f>
        <v>0</v>
      </c>
      <c r="C112">
        <v>44.21</v>
      </c>
      <c r="D112">
        <v>33</v>
      </c>
      <c r="E112">
        <v>1.33969696969697</v>
      </c>
      <c r="F112">
        <v>0.01538113548970821</v>
      </c>
      <c r="G112">
        <v>-0.05681109150967056</v>
      </c>
      <c r="H112">
        <v>0.06</v>
      </c>
      <c r="I112">
        <v>0.01706312873189386</v>
      </c>
      <c r="J112" t="s">
        <v>776</v>
      </c>
      <c r="K112" t="s">
        <v>777</v>
      </c>
      <c r="L112">
        <v>1.3</v>
      </c>
      <c r="M112">
        <v>0.68</v>
      </c>
      <c r="N112">
        <v>0.5230769230769231</v>
      </c>
      <c r="O112">
        <v>49</v>
      </c>
      <c r="P112">
        <v>0.0505145404837426</v>
      </c>
      <c r="Q112">
        <v>0.410288329115599</v>
      </c>
      <c r="R112" t="s">
        <v>780</v>
      </c>
      <c r="S112" t="s">
        <v>786</v>
      </c>
      <c r="T112">
        <v>1169.16714</v>
      </c>
      <c r="U112" s="2">
        <v>44499</v>
      </c>
      <c r="V112" t="s">
        <v>800</v>
      </c>
    </row>
    <row r="113" spans="1:22">
      <c r="A113" s="1" t="s">
        <v>133</v>
      </c>
      <c r="B113">
        <f>HYPERLINK("https://www.suredividend.com/sure-analysis-FUL/","H.B. Fuller Company")</f>
        <v>0</v>
      </c>
      <c r="C113">
        <v>80.44</v>
      </c>
      <c r="D113">
        <v>54</v>
      </c>
      <c r="E113">
        <v>1.48962962962963</v>
      </c>
      <c r="F113">
        <v>0.008329189457981105</v>
      </c>
      <c r="G113">
        <v>-0.0766117592013883</v>
      </c>
      <c r="H113">
        <v>0.09</v>
      </c>
      <c r="I113">
        <v>0.01577191038952286</v>
      </c>
      <c r="J113" t="s">
        <v>776</v>
      </c>
      <c r="K113" t="s">
        <v>346</v>
      </c>
      <c r="L113">
        <v>3.6</v>
      </c>
      <c r="M113">
        <v>0.67</v>
      </c>
      <c r="N113">
        <v>0.1861111111111111</v>
      </c>
      <c r="O113">
        <v>52</v>
      </c>
      <c r="P113">
        <v>0.05119849323654324</v>
      </c>
      <c r="Q113">
        <v>0.5704778676490421</v>
      </c>
      <c r="R113" t="s">
        <v>780</v>
      </c>
      <c r="S113" t="s">
        <v>790</v>
      </c>
      <c r="T113">
        <v>4283.68086</v>
      </c>
      <c r="U113" s="2">
        <v>44463</v>
      </c>
      <c r="V113" t="s">
        <v>803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193.11</v>
      </c>
      <c r="D114">
        <v>148</v>
      </c>
      <c r="E114">
        <v>1.304797297297297</v>
      </c>
      <c r="F114">
        <v>0.01657086634560613</v>
      </c>
      <c r="G114">
        <v>-0.05181869043037179</v>
      </c>
      <c r="H114">
        <v>0.05</v>
      </c>
      <c r="I114">
        <v>0.01469806357131542</v>
      </c>
      <c r="J114" t="s">
        <v>776</v>
      </c>
      <c r="K114" t="s">
        <v>777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0.311156024598679</v>
      </c>
      <c r="R114" t="s">
        <v>780</v>
      </c>
      <c r="S114" t="s">
        <v>789</v>
      </c>
      <c r="T114">
        <v>83718.875181</v>
      </c>
      <c r="U114" s="2">
        <v>44506</v>
      </c>
      <c r="V114" t="s">
        <v>797</v>
      </c>
    </row>
    <row r="115" spans="1:22">
      <c r="A115" s="1" t="s">
        <v>135</v>
      </c>
      <c r="B115">
        <f>HYPERLINK("https://www.suredividend.com/sure-analysis-MCD/","McDonald`s Corp")</f>
        <v>0</v>
      </c>
      <c r="C115">
        <v>267.21</v>
      </c>
      <c r="D115">
        <v>186</v>
      </c>
      <c r="E115">
        <v>1.436612903225806</v>
      </c>
      <c r="F115">
        <v>0.02065790950937465</v>
      </c>
      <c r="G115">
        <v>-0.06989485350623625</v>
      </c>
      <c r="H115">
        <v>0.06</v>
      </c>
      <c r="I115">
        <v>0.0107624638012811</v>
      </c>
      <c r="J115" t="s">
        <v>776</v>
      </c>
      <c r="K115" t="s">
        <v>777</v>
      </c>
      <c r="L115">
        <v>9.300000000000001</v>
      </c>
      <c r="M115">
        <v>5.52</v>
      </c>
      <c r="N115">
        <v>0.5935483870967742</v>
      </c>
      <c r="O115">
        <v>47</v>
      </c>
      <c r="P115">
        <v>0.06008593430202303</v>
      </c>
      <c r="Q115">
        <v>0.29113512556937</v>
      </c>
      <c r="R115" t="s">
        <v>780</v>
      </c>
      <c r="S115" t="s">
        <v>788</v>
      </c>
      <c r="T115">
        <v>200627.924695</v>
      </c>
      <c r="U115" s="2">
        <v>44497</v>
      </c>
      <c r="V115" t="s">
        <v>799</v>
      </c>
    </row>
    <row r="116" spans="1:22">
      <c r="A116" s="1" t="s">
        <v>136</v>
      </c>
      <c r="B116">
        <f>HYPERLINK("https://www.suredividend.com/sure-analysis-UBSI/","United Bankshares, Inc.")</f>
        <v>0</v>
      </c>
      <c r="C116">
        <v>36.32</v>
      </c>
      <c r="D116">
        <v>34</v>
      </c>
      <c r="E116">
        <v>1.068235294117647</v>
      </c>
      <c r="F116">
        <v>0.03854625550660792</v>
      </c>
      <c r="G116">
        <v>-0.01311484683088071</v>
      </c>
      <c r="H116">
        <v>-0.02</v>
      </c>
      <c r="I116">
        <v>0.01002389746736232</v>
      </c>
      <c r="J116" t="s">
        <v>776</v>
      </c>
      <c r="K116" t="s">
        <v>776</v>
      </c>
      <c r="L116">
        <v>2.85</v>
      </c>
      <c r="M116">
        <v>1.4</v>
      </c>
      <c r="N116">
        <v>0.4912280701754386</v>
      </c>
      <c r="O116">
        <v>46</v>
      </c>
      <c r="P116">
        <v>0.02056514630321193</v>
      </c>
      <c r="Q116">
        <v>0.19842272954683</v>
      </c>
      <c r="R116" t="s">
        <v>780</v>
      </c>
      <c r="S116" t="s">
        <v>789</v>
      </c>
      <c r="T116">
        <v>4704.28731</v>
      </c>
      <c r="U116" s="2">
        <v>44501</v>
      </c>
      <c r="V116" t="s">
        <v>800</v>
      </c>
    </row>
    <row r="117" spans="1:22">
      <c r="A117" s="1" t="s">
        <v>137</v>
      </c>
      <c r="B117">
        <f>HYPERLINK("https://www.suredividend.com/sure-analysis-CHD/","Church &amp; Dwight Co., Inc.")</f>
        <v>0</v>
      </c>
      <c r="C117">
        <v>101.42</v>
      </c>
      <c r="D117">
        <v>75</v>
      </c>
      <c r="E117">
        <v>1.352266666666667</v>
      </c>
      <c r="F117">
        <v>0.00995858804969434</v>
      </c>
      <c r="G117">
        <v>-0.05857108855110538</v>
      </c>
      <c r="H117">
        <v>0.06</v>
      </c>
      <c r="I117">
        <v>0.009995670305869009</v>
      </c>
      <c r="J117" t="s">
        <v>776</v>
      </c>
      <c r="K117" t="s">
        <v>346</v>
      </c>
      <c r="L117">
        <v>3</v>
      </c>
      <c r="M117">
        <v>1.01</v>
      </c>
      <c r="N117">
        <v>0.3366666666666667</v>
      </c>
      <c r="O117">
        <v>25</v>
      </c>
      <c r="P117">
        <v>0.0705165705095081</v>
      </c>
      <c r="Q117">
        <v>0.173329243296755</v>
      </c>
      <c r="R117" t="s">
        <v>780</v>
      </c>
      <c r="S117" t="s">
        <v>791</v>
      </c>
      <c r="T117">
        <v>24654.101999</v>
      </c>
      <c r="U117" s="2">
        <v>44519</v>
      </c>
      <c r="V117" t="s">
        <v>800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439.55</v>
      </c>
      <c r="D118">
        <v>308</v>
      </c>
      <c r="E118">
        <v>1.42711038961039</v>
      </c>
      <c r="F118">
        <v>0.008645205323626436</v>
      </c>
      <c r="G118">
        <v>-0.06865950546009625</v>
      </c>
      <c r="H118">
        <v>0.07000000000000001</v>
      </c>
      <c r="I118">
        <v>0.008039594682266227</v>
      </c>
      <c r="J118" t="s">
        <v>776</v>
      </c>
      <c r="K118" t="s">
        <v>346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0.29241658722316</v>
      </c>
      <c r="R118" t="s">
        <v>780</v>
      </c>
      <c r="S118" t="s">
        <v>786</v>
      </c>
      <c r="T118">
        <v>46010.188223</v>
      </c>
      <c r="U118" s="2">
        <v>44553</v>
      </c>
      <c r="V118" t="s">
        <v>800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245.41</v>
      </c>
      <c r="D119">
        <v>160</v>
      </c>
      <c r="E119">
        <v>1.5338125</v>
      </c>
      <c r="F119">
        <v>0.01988509025712074</v>
      </c>
      <c r="G119">
        <v>-0.08199394562329332</v>
      </c>
      <c r="H119">
        <v>0.07000000000000001</v>
      </c>
      <c r="I119">
        <v>0.005238012608731024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0.259681375610606</v>
      </c>
      <c r="R119" t="s">
        <v>780</v>
      </c>
      <c r="S119" t="s">
        <v>786</v>
      </c>
      <c r="T119">
        <v>77550.51072599999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HYPERLINK("https://www.suredividend.com/sure-analysis-NDSN/","Nordson Corp.")</f>
        <v>0</v>
      </c>
      <c r="C120">
        <v>254.76</v>
      </c>
      <c r="D120">
        <v>193</v>
      </c>
      <c r="E120">
        <v>1.32</v>
      </c>
      <c r="F120">
        <v>0.008007536504945833</v>
      </c>
      <c r="G120">
        <v>-0.05401290088240229</v>
      </c>
      <c r="H120">
        <v>0.05</v>
      </c>
      <c r="I120">
        <v>0.003503878576367025</v>
      </c>
      <c r="J120" t="s">
        <v>776</v>
      </c>
      <c r="K120" t="s">
        <v>346</v>
      </c>
      <c r="L120">
        <v>8.75</v>
      </c>
      <c r="M120">
        <v>2.04</v>
      </c>
      <c r="N120">
        <v>0.2331428571428572</v>
      </c>
      <c r="O120">
        <v>58</v>
      </c>
      <c r="P120">
        <v>0.0801851873035635</v>
      </c>
      <c r="Q120">
        <v>0.315116335638623</v>
      </c>
      <c r="R120" t="s">
        <v>780</v>
      </c>
      <c r="S120" t="s">
        <v>786</v>
      </c>
      <c r="T120">
        <v>14940.334187</v>
      </c>
      <c r="U120" s="2">
        <v>44551</v>
      </c>
      <c r="V120" t="s">
        <v>802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93.73999999999999</v>
      </c>
      <c r="D121">
        <v>59</v>
      </c>
      <c r="E121">
        <v>1.588813559322034</v>
      </c>
      <c r="F121">
        <v>0.007467463196074248</v>
      </c>
      <c r="G121">
        <v>-0.08843967935889729</v>
      </c>
      <c r="H121">
        <v>0.09</v>
      </c>
      <c r="I121">
        <v>0.003304815508895054</v>
      </c>
      <c r="J121" t="s">
        <v>776</v>
      </c>
      <c r="K121" t="s">
        <v>346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0.387436861270997</v>
      </c>
      <c r="R121" t="s">
        <v>780</v>
      </c>
      <c r="S121" t="s">
        <v>786</v>
      </c>
      <c r="T121">
        <v>4387.240906</v>
      </c>
      <c r="U121" s="2">
        <v>44496</v>
      </c>
      <c r="V121" t="s">
        <v>803</v>
      </c>
    </row>
    <row r="122" spans="1:22">
      <c r="A122" s="1" t="s">
        <v>142</v>
      </c>
      <c r="B122">
        <f>HYPERLINK("https://www.suredividend.com/sure-analysis-RPM/","RPM International, Inc.")</f>
        <v>0</v>
      </c>
      <c r="C122">
        <v>99.93000000000001</v>
      </c>
      <c r="D122">
        <v>72</v>
      </c>
      <c r="E122">
        <v>1.387916666666667</v>
      </c>
      <c r="F122">
        <v>0.01601120784549184</v>
      </c>
      <c r="G122">
        <v>-0.06345786336375125</v>
      </c>
      <c r="H122">
        <v>0.05</v>
      </c>
      <c r="I122">
        <v>0.002468633479690396</v>
      </c>
      <c r="J122" t="s">
        <v>776</v>
      </c>
      <c r="K122" t="s">
        <v>777</v>
      </c>
      <c r="L122">
        <v>4</v>
      </c>
      <c r="M122">
        <v>1.6</v>
      </c>
      <c r="N122">
        <v>0.4</v>
      </c>
      <c r="O122">
        <v>48</v>
      </c>
      <c r="P122">
        <v>0.04978904632428516</v>
      </c>
      <c r="Q122">
        <v>0.142249635608991</v>
      </c>
      <c r="R122" t="s">
        <v>780</v>
      </c>
      <c r="S122" t="s">
        <v>790</v>
      </c>
      <c r="T122">
        <v>13072.748851</v>
      </c>
      <c r="U122" s="2">
        <v>44475</v>
      </c>
      <c r="V122" t="s">
        <v>796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162.77</v>
      </c>
      <c r="D123">
        <v>118</v>
      </c>
      <c r="E123">
        <v>1.379406779661017</v>
      </c>
      <c r="F123">
        <v>0.02137986115377526</v>
      </c>
      <c r="G123">
        <v>-0.06230515436425377</v>
      </c>
      <c r="H123">
        <v>0.04</v>
      </c>
      <c r="I123">
        <v>0.0008575767830178993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0.215998838731847</v>
      </c>
      <c r="R123" t="s">
        <v>780</v>
      </c>
      <c r="S123" t="s">
        <v>791</v>
      </c>
      <c r="T123">
        <v>397331.232402</v>
      </c>
      <c r="U123" s="2">
        <v>44488</v>
      </c>
      <c r="V123" t="s">
        <v>799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167.49</v>
      </c>
      <c r="D124">
        <v>96</v>
      </c>
      <c r="E124">
        <v>1.7446875</v>
      </c>
      <c r="F124">
        <v>0.007284016956236193</v>
      </c>
      <c r="G124">
        <v>-0.1053431940675983</v>
      </c>
      <c r="H124">
        <v>0.1</v>
      </c>
      <c r="I124">
        <v>-0.005677363928154544</v>
      </c>
      <c r="J124" t="s">
        <v>776</v>
      </c>
      <c r="K124" t="s">
        <v>524</v>
      </c>
      <c r="L124">
        <v>4</v>
      </c>
      <c r="M124">
        <v>1.22</v>
      </c>
      <c r="N124">
        <v>0.305</v>
      </c>
      <c r="O124">
        <v>20</v>
      </c>
      <c r="P124">
        <v>0.09945953022431997</v>
      </c>
      <c r="Q124">
        <v>0.201166579130531</v>
      </c>
      <c r="R124" t="s">
        <v>780</v>
      </c>
      <c r="S124" t="s">
        <v>788</v>
      </c>
      <c r="T124">
        <v>264955.9101</v>
      </c>
      <c r="U124" s="2">
        <v>44552</v>
      </c>
      <c r="V124" t="s">
        <v>799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72.67</v>
      </c>
      <c r="D125">
        <v>43</v>
      </c>
      <c r="E125">
        <v>1.69</v>
      </c>
      <c r="F125">
        <v>0.01871473785606165</v>
      </c>
      <c r="G125">
        <v>-0.0996265936752927</v>
      </c>
      <c r="H125">
        <v>0.076</v>
      </c>
      <c r="I125">
        <v>-0.007044496284048685</v>
      </c>
      <c r="J125" t="s">
        <v>776</v>
      </c>
      <c r="K125" t="s">
        <v>777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0.074356420757095</v>
      </c>
      <c r="R125" t="s">
        <v>780</v>
      </c>
      <c r="S125" t="s">
        <v>792</v>
      </c>
      <c r="T125">
        <v>2152.559236</v>
      </c>
      <c r="U125" s="2">
        <v>44502</v>
      </c>
      <c r="V125" t="s">
        <v>796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121.88</v>
      </c>
      <c r="D126">
        <v>77</v>
      </c>
      <c r="E126">
        <v>1.582857142857143</v>
      </c>
      <c r="F126">
        <v>0.01230718739744011</v>
      </c>
      <c r="G126">
        <v>-0.08775465500573265</v>
      </c>
      <c r="H126">
        <v>0.07000000000000001</v>
      </c>
      <c r="I126">
        <v>-0.008670734568628213</v>
      </c>
      <c r="J126" t="s">
        <v>776</v>
      </c>
      <c r="K126" t="s">
        <v>346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-0.08763623810228301</v>
      </c>
      <c r="R126" t="s">
        <v>780</v>
      </c>
      <c r="S126" t="s">
        <v>788</v>
      </c>
      <c r="T126">
        <v>8037.489643</v>
      </c>
      <c r="U126" s="2">
        <v>44507</v>
      </c>
      <c r="V126" t="s">
        <v>798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516.66</v>
      </c>
      <c r="D127">
        <v>356</v>
      </c>
      <c r="E127">
        <v>1.451292134831461</v>
      </c>
      <c r="F127">
        <v>0.01254209731738474</v>
      </c>
      <c r="G127">
        <v>-0.07178403968818337</v>
      </c>
      <c r="H127">
        <v>0.05</v>
      </c>
      <c r="I127">
        <v>-0.009291417267726088</v>
      </c>
      <c r="J127" t="s">
        <v>776</v>
      </c>
      <c r="K127" t="s">
        <v>777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0.309144350488583</v>
      </c>
      <c r="R127" t="s">
        <v>780</v>
      </c>
      <c r="S127" t="s">
        <v>786</v>
      </c>
      <c r="T127">
        <v>27068.117493</v>
      </c>
      <c r="U127" s="2">
        <v>44505</v>
      </c>
      <c r="V127" t="s">
        <v>799</v>
      </c>
    </row>
    <row r="128" spans="1:22">
      <c r="A128" s="1" t="s">
        <v>148</v>
      </c>
      <c r="B128">
        <f>HYPERLINK("https://www.suredividend.com/sure-analysis-ABT/","Abbott Laboratories")</f>
        <v>0</v>
      </c>
      <c r="C128">
        <v>141</v>
      </c>
      <c r="D128">
        <v>101</v>
      </c>
      <c r="E128">
        <v>1.396039603960396</v>
      </c>
      <c r="F128">
        <v>0.01333333333333333</v>
      </c>
      <c r="G128">
        <v>-0.06455027376564404</v>
      </c>
      <c r="H128">
        <v>0.04</v>
      </c>
      <c r="I128">
        <v>-0.009944702487409973</v>
      </c>
      <c r="J128" t="s">
        <v>776</v>
      </c>
      <c r="K128" t="s">
        <v>777</v>
      </c>
      <c r="L128">
        <v>5.05</v>
      </c>
      <c r="M128">
        <v>1.88</v>
      </c>
      <c r="N128">
        <v>0.3722772277227723</v>
      </c>
      <c r="O128">
        <v>50</v>
      </c>
      <c r="P128">
        <v>0.06034828502666922</v>
      </c>
      <c r="Q128">
        <v>0.32347840758898</v>
      </c>
      <c r="R128" t="s">
        <v>780</v>
      </c>
      <c r="S128" t="s">
        <v>785</v>
      </c>
      <c r="T128">
        <v>249664.437153</v>
      </c>
      <c r="U128" s="2">
        <v>44490</v>
      </c>
      <c r="V128" t="s">
        <v>799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85.29000000000001</v>
      </c>
      <c r="D129">
        <v>55</v>
      </c>
      <c r="E129">
        <v>1.550727272727273</v>
      </c>
      <c r="F129">
        <v>0.01313166842537226</v>
      </c>
      <c r="G129">
        <v>-0.08400539660882256</v>
      </c>
      <c r="H129">
        <v>0.06</v>
      </c>
      <c r="I129">
        <v>-0.01097706165630974</v>
      </c>
      <c r="J129" t="s">
        <v>776</v>
      </c>
      <c r="K129" t="s">
        <v>346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0.5952423444727011</v>
      </c>
      <c r="R129" t="s">
        <v>780</v>
      </c>
      <c r="S129" t="s">
        <v>786</v>
      </c>
      <c r="T129">
        <v>13855.05422</v>
      </c>
      <c r="U129" s="2">
        <v>44510</v>
      </c>
      <c r="V129" t="s">
        <v>797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339.32</v>
      </c>
      <c r="D130">
        <v>216</v>
      </c>
      <c r="E130">
        <v>1.570925925925926</v>
      </c>
      <c r="F130">
        <v>0.00730873511729341</v>
      </c>
      <c r="G130">
        <v>-0.08637314101744886</v>
      </c>
      <c r="H130">
        <v>0.07000000000000001</v>
      </c>
      <c r="I130">
        <v>-0.01218763610067997</v>
      </c>
      <c r="J130" t="s">
        <v>776</v>
      </c>
      <c r="K130" t="s">
        <v>346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0.538328653941059</v>
      </c>
      <c r="R130" t="s">
        <v>780</v>
      </c>
      <c r="S130" t="s">
        <v>787</v>
      </c>
      <c r="T130">
        <v>2567353.912826</v>
      </c>
      <c r="U130" s="2">
        <v>44497</v>
      </c>
      <c r="V130" t="s">
        <v>799</v>
      </c>
    </row>
    <row r="131" spans="1:22">
      <c r="A131" s="1" t="s">
        <v>151</v>
      </c>
      <c r="B131">
        <f>HYPERLINK("https://www.suredividend.com/sure-analysis-TR/","Tootsie Roll Industries, Inc.")</f>
        <v>0</v>
      </c>
      <c r="C131">
        <v>36.46</v>
      </c>
      <c r="D131">
        <v>28</v>
      </c>
      <c r="E131">
        <v>1.302142857142857</v>
      </c>
      <c r="F131">
        <v>0.009873834339001644</v>
      </c>
      <c r="G131">
        <v>-0.05143242854749075</v>
      </c>
      <c r="H131">
        <v>0.03</v>
      </c>
      <c r="I131">
        <v>-0.01237218523052175</v>
      </c>
      <c r="J131" t="s">
        <v>776</v>
      </c>
      <c r="K131" t="s">
        <v>346</v>
      </c>
      <c r="L131">
        <v>0.92</v>
      </c>
      <c r="M131">
        <v>0.36</v>
      </c>
      <c r="N131">
        <v>0.3913043478260869</v>
      </c>
      <c r="O131">
        <v>53</v>
      </c>
      <c r="P131">
        <v>0</v>
      </c>
      <c r="Q131">
        <v>0.285161145376614</v>
      </c>
      <c r="R131" t="s">
        <v>780</v>
      </c>
      <c r="S131" t="s">
        <v>791</v>
      </c>
      <c r="T131">
        <v>1439.94862</v>
      </c>
      <c r="U131" s="2">
        <v>44522</v>
      </c>
      <c r="V131" t="s">
        <v>801</v>
      </c>
    </row>
    <row r="132" spans="1:22">
      <c r="A132" s="1" t="s">
        <v>152</v>
      </c>
      <c r="B132">
        <f>HYPERLINK("https://www.suredividend.com/sure-analysis-LIN/","Linde Plc")</f>
        <v>0</v>
      </c>
      <c r="C132">
        <v>344.33</v>
      </c>
      <c r="D132">
        <v>222</v>
      </c>
      <c r="E132">
        <v>1.551036036036036</v>
      </c>
      <c r="F132">
        <v>0.01231376876833271</v>
      </c>
      <c r="G132">
        <v>-0.08404186875278274</v>
      </c>
      <c r="H132">
        <v>0.06</v>
      </c>
      <c r="I132">
        <v>-0.01259526059289029</v>
      </c>
      <c r="J132" t="s">
        <v>776</v>
      </c>
      <c r="K132" t="s">
        <v>346</v>
      </c>
      <c r="L132">
        <v>10.57</v>
      </c>
      <c r="M132">
        <v>4.24</v>
      </c>
      <c r="N132">
        <v>0.4011352885525071</v>
      </c>
      <c r="O132">
        <v>28</v>
      </c>
      <c r="P132">
        <v>0.07011443361889147</v>
      </c>
      <c r="Q132">
        <v>0.350908969308083</v>
      </c>
      <c r="R132" t="s">
        <v>780</v>
      </c>
      <c r="S132" t="s">
        <v>790</v>
      </c>
      <c r="T132">
        <v>177036.404087</v>
      </c>
      <c r="U132" s="2">
        <v>44503</v>
      </c>
      <c r="V132" t="s">
        <v>797</v>
      </c>
    </row>
    <row r="133" spans="1:22">
      <c r="A133" s="1" t="s">
        <v>153</v>
      </c>
      <c r="B133">
        <f>HYPERLINK("https://www.suredividend.com/sure-analysis-TSCO/","Tractor Supply Co.")</f>
        <v>0</v>
      </c>
      <c r="C133">
        <v>236.72</v>
      </c>
      <c r="D133">
        <v>152</v>
      </c>
      <c r="E133">
        <v>1.557368421052632</v>
      </c>
      <c r="F133">
        <v>0.008786752281176074</v>
      </c>
      <c r="G133">
        <v>-0.08478795505822423</v>
      </c>
      <c r="H133">
        <v>0.065</v>
      </c>
      <c r="I133">
        <v>-0.01340040082982075</v>
      </c>
      <c r="J133" t="s">
        <v>776</v>
      </c>
      <c r="K133" t="s">
        <v>524</v>
      </c>
      <c r="L133">
        <v>8.01</v>
      </c>
      <c r="M133">
        <v>2.08</v>
      </c>
      <c r="N133">
        <v>0.2596754057428215</v>
      </c>
      <c r="O133">
        <v>11</v>
      </c>
      <c r="P133">
        <v>0.07599829696383686</v>
      </c>
      <c r="Q133">
        <v>0.673648448998115</v>
      </c>
      <c r="R133" t="s">
        <v>780</v>
      </c>
      <c r="S133" t="s">
        <v>788</v>
      </c>
      <c r="T133">
        <v>26946.821406</v>
      </c>
      <c r="U133" s="2">
        <v>44491</v>
      </c>
      <c r="V133" t="s">
        <v>805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81.36</v>
      </c>
      <c r="D134">
        <v>54.5</v>
      </c>
      <c r="E134">
        <v>1.492844036697248</v>
      </c>
      <c r="F134">
        <v>0.01905113077679449</v>
      </c>
      <c r="G134">
        <v>-0.07700975193722892</v>
      </c>
      <c r="H134">
        <v>0.041</v>
      </c>
      <c r="I134">
        <v>-0.01547723029999748</v>
      </c>
      <c r="J134" t="s">
        <v>776</v>
      </c>
      <c r="K134" t="s">
        <v>777</v>
      </c>
      <c r="L134">
        <v>3.03</v>
      </c>
      <c r="M134">
        <v>1.55</v>
      </c>
      <c r="N134">
        <v>0.5115511551155116</v>
      </c>
      <c r="O134">
        <v>45</v>
      </c>
      <c r="P134">
        <v>0.03601968190208304</v>
      </c>
      <c r="Q134">
        <v>0.178134113361014</v>
      </c>
      <c r="R134" t="s">
        <v>780</v>
      </c>
      <c r="S134" t="s">
        <v>792</v>
      </c>
      <c r="T134">
        <v>2895.601036</v>
      </c>
      <c r="U134" s="2">
        <v>44531</v>
      </c>
      <c r="V134" t="s">
        <v>805</v>
      </c>
    </row>
    <row r="135" spans="1:22">
      <c r="A135" s="1" t="s">
        <v>155</v>
      </c>
      <c r="B135">
        <f>HYPERLINK("https://www.suredividend.com/sure-analysis-EBAY/","EBay Inc.")</f>
        <v>0</v>
      </c>
      <c r="C135">
        <v>66.78</v>
      </c>
      <c r="D135">
        <v>47.5</v>
      </c>
      <c r="E135">
        <v>1.405894736842105</v>
      </c>
      <c r="F135">
        <v>0.01078167115902965</v>
      </c>
      <c r="G135">
        <v>-0.06586544194981825</v>
      </c>
      <c r="H135">
        <v>0.037</v>
      </c>
      <c r="I135">
        <v>-0.01650480546080646</v>
      </c>
      <c r="J135" t="s">
        <v>776</v>
      </c>
      <c r="K135" t="s">
        <v>346</v>
      </c>
      <c r="L135">
        <v>3.96</v>
      </c>
      <c r="M135">
        <v>0.72</v>
      </c>
      <c r="N135">
        <v>0.1818181818181818</v>
      </c>
      <c r="O135">
        <v>2</v>
      </c>
      <c r="P135">
        <v>0.07423907511540473</v>
      </c>
      <c r="Q135">
        <v>0.321272365805169</v>
      </c>
      <c r="R135" t="s">
        <v>780</v>
      </c>
      <c r="S135" t="s">
        <v>788</v>
      </c>
      <c r="T135">
        <v>43202.7088</v>
      </c>
      <c r="U135" s="2">
        <v>44504</v>
      </c>
      <c r="V135" t="s">
        <v>805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83.31</v>
      </c>
      <c r="D136">
        <v>77</v>
      </c>
      <c r="E136">
        <v>1.081948051948052</v>
      </c>
      <c r="F136">
        <v>0.02736766294562477</v>
      </c>
      <c r="G136">
        <v>-0.0156292098266968</v>
      </c>
      <c r="H136">
        <v>-0.04</v>
      </c>
      <c r="I136">
        <v>-0.02016414884226836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0.222293795567007</v>
      </c>
      <c r="R136" t="s">
        <v>780</v>
      </c>
      <c r="S136" t="s">
        <v>789</v>
      </c>
      <c r="T136">
        <v>1223.896191</v>
      </c>
      <c r="U136" s="2">
        <v>44499</v>
      </c>
      <c r="V136" t="s">
        <v>800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150.48</v>
      </c>
      <c r="D137">
        <v>92</v>
      </c>
      <c r="E137">
        <v>1.635652173913043</v>
      </c>
      <c r="F137">
        <v>0.01169590643274854</v>
      </c>
      <c r="G137">
        <v>-0.09372122499597335</v>
      </c>
      <c r="H137">
        <v>0.06</v>
      </c>
      <c r="I137">
        <v>-0.02296288421161496</v>
      </c>
      <c r="J137" t="s">
        <v>776</v>
      </c>
      <c r="K137" t="s">
        <v>346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0.045932344022718</v>
      </c>
      <c r="R137" t="s">
        <v>780</v>
      </c>
      <c r="S137" t="s">
        <v>786</v>
      </c>
      <c r="T137">
        <v>5965.407584</v>
      </c>
      <c r="U137" s="2">
        <v>44504</v>
      </c>
      <c r="V137" t="s">
        <v>799</v>
      </c>
    </row>
    <row r="138" spans="1:22">
      <c r="A138" s="1" t="s">
        <v>158</v>
      </c>
      <c r="B138">
        <f>HYPERLINK("https://www.suredividend.com/sure-analysis-ECL/","Ecolab, Inc.")</f>
        <v>0</v>
      </c>
      <c r="C138">
        <v>234.01</v>
      </c>
      <c r="D138">
        <v>106</v>
      </c>
      <c r="E138">
        <v>2.207641509433962</v>
      </c>
      <c r="F138">
        <v>0.008717576171958464</v>
      </c>
      <c r="G138">
        <v>-0.1464788451662762</v>
      </c>
      <c r="H138">
        <v>0.13</v>
      </c>
      <c r="I138">
        <v>-0.02307336671691873</v>
      </c>
      <c r="J138" t="s">
        <v>776</v>
      </c>
      <c r="K138" t="s">
        <v>346</v>
      </c>
      <c r="L138">
        <v>5.3</v>
      </c>
      <c r="M138">
        <v>2.04</v>
      </c>
      <c r="N138">
        <v>0.3849056603773585</v>
      </c>
      <c r="O138">
        <v>36</v>
      </c>
      <c r="P138">
        <v>0.0801851873035635</v>
      </c>
      <c r="Q138">
        <v>0.108426752766833</v>
      </c>
      <c r="R138" t="s">
        <v>780</v>
      </c>
      <c r="S138" t="s">
        <v>790</v>
      </c>
      <c r="T138">
        <v>67526.720221</v>
      </c>
      <c r="U138" s="2">
        <v>44496</v>
      </c>
      <c r="V138" t="s">
        <v>803</v>
      </c>
    </row>
    <row r="139" spans="1:22">
      <c r="A139" s="1" t="s">
        <v>159</v>
      </c>
      <c r="B139">
        <f>HYPERLINK("https://www.suredividend.com/sure-analysis-AAPL/","Apple Inc")</f>
        <v>0</v>
      </c>
      <c r="C139">
        <v>178.2</v>
      </c>
      <c r="D139">
        <v>108</v>
      </c>
      <c r="E139">
        <v>1.65</v>
      </c>
      <c r="F139">
        <v>0.004938271604938272</v>
      </c>
      <c r="G139">
        <v>-0.09530287298975992</v>
      </c>
      <c r="H139">
        <v>0.07000000000000001</v>
      </c>
      <c r="I139">
        <v>-0.02407094740860471</v>
      </c>
      <c r="J139" t="s">
        <v>776</v>
      </c>
      <c r="K139" t="s">
        <v>346</v>
      </c>
      <c r="L139">
        <v>6</v>
      </c>
      <c r="M139">
        <v>0.88</v>
      </c>
      <c r="N139">
        <v>0.1466666666666667</v>
      </c>
      <c r="O139">
        <v>9</v>
      </c>
      <c r="P139">
        <v>0.1213169452916456</v>
      </c>
      <c r="Q139">
        <v>0.338221295160679</v>
      </c>
      <c r="R139" t="s">
        <v>780</v>
      </c>
      <c r="S139" t="s">
        <v>787</v>
      </c>
      <c r="T139">
        <v>2942979.49386</v>
      </c>
      <c r="U139" s="2">
        <v>44500</v>
      </c>
      <c r="V139" t="s">
        <v>799</v>
      </c>
    </row>
    <row r="140" spans="1:22">
      <c r="A140" s="1" t="s">
        <v>160</v>
      </c>
      <c r="B140">
        <f>HYPERLINK("https://www.suredividend.com/sure-analysis-UNF/","Unifirst Corp.")</f>
        <v>0</v>
      </c>
      <c r="C140">
        <v>209.39</v>
      </c>
      <c r="D140">
        <v>130</v>
      </c>
      <c r="E140">
        <v>1.610692307692308</v>
      </c>
      <c r="F140">
        <v>0.005730932709298439</v>
      </c>
      <c r="G140">
        <v>-0.09092967109923233</v>
      </c>
      <c r="H140">
        <v>0.063</v>
      </c>
      <c r="I140">
        <v>-0.02499547145673586</v>
      </c>
      <c r="J140" t="s">
        <v>776</v>
      </c>
      <c r="K140" t="s">
        <v>524</v>
      </c>
      <c r="L140">
        <v>5.9</v>
      </c>
      <c r="M140">
        <v>1.2</v>
      </c>
      <c r="N140">
        <v>0.2033898305084746</v>
      </c>
      <c r="O140">
        <v>4</v>
      </c>
      <c r="P140">
        <v>0.09970250059947383</v>
      </c>
      <c r="Q140">
        <v>0.006499494505218001</v>
      </c>
      <c r="R140" t="s">
        <v>780</v>
      </c>
      <c r="S140" t="s">
        <v>786</v>
      </c>
      <c r="T140">
        <v>3174.145041</v>
      </c>
      <c r="U140" s="2">
        <v>44491</v>
      </c>
      <c r="V140" t="s">
        <v>802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72.40000000000001</v>
      </c>
      <c r="D141">
        <v>42</v>
      </c>
      <c r="E141">
        <v>1.723809523809524</v>
      </c>
      <c r="F141">
        <v>0.01035911602209945</v>
      </c>
      <c r="G141">
        <v>-0.1031864842230864</v>
      </c>
      <c r="H141">
        <v>0.07000000000000001</v>
      </c>
      <c r="I141">
        <v>-0.02626539689762919</v>
      </c>
      <c r="J141" t="s">
        <v>776</v>
      </c>
      <c r="K141" t="s">
        <v>346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-0.06019426543382801</v>
      </c>
      <c r="R141" t="s">
        <v>780</v>
      </c>
      <c r="S141" t="s">
        <v>791</v>
      </c>
      <c r="T141">
        <v>33864.365057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350.36</v>
      </c>
      <c r="D142">
        <v>186</v>
      </c>
      <c r="E142">
        <v>1.883655913978495</v>
      </c>
      <c r="F142">
        <v>0.00627925562278799</v>
      </c>
      <c r="G142">
        <v>-0.1189517654012349</v>
      </c>
      <c r="H142">
        <v>0.08</v>
      </c>
      <c r="I142">
        <v>-0.0378043338750822</v>
      </c>
      <c r="J142" t="s">
        <v>776</v>
      </c>
      <c r="K142" t="s">
        <v>346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0.454210136179064</v>
      </c>
      <c r="R142" t="s">
        <v>780</v>
      </c>
      <c r="S142" t="s">
        <v>790</v>
      </c>
      <c r="T142">
        <v>92125.255427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71.37</v>
      </c>
      <c r="D143">
        <v>40</v>
      </c>
      <c r="E143">
        <v>1.78425</v>
      </c>
      <c r="F143">
        <v>0.01289057026761945</v>
      </c>
      <c r="G143">
        <v>-0.1093463358852294</v>
      </c>
      <c r="H143">
        <v>0.05</v>
      </c>
      <c r="I143">
        <v>-0.04549947346082683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0.3405592563320911</v>
      </c>
      <c r="R143" t="s">
        <v>780</v>
      </c>
      <c r="S143" t="s">
        <v>792</v>
      </c>
      <c r="T143">
        <v>3747.79392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60.53</v>
      </c>
      <c r="D144">
        <v>30</v>
      </c>
      <c r="E144">
        <v>2.017666666666666</v>
      </c>
      <c r="F144">
        <v>0.008590781430695523</v>
      </c>
      <c r="G144">
        <v>-0.1309793105422239</v>
      </c>
      <c r="H144">
        <v>0.07000000000000001</v>
      </c>
      <c r="I144">
        <v>-0.05675547261814817</v>
      </c>
      <c r="J144" t="s">
        <v>776</v>
      </c>
      <c r="K144" t="s">
        <v>524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0.500921445536163</v>
      </c>
      <c r="R144" t="s">
        <v>780</v>
      </c>
      <c r="S144" t="s">
        <v>789</v>
      </c>
      <c r="T144">
        <v>99940.15923999999</v>
      </c>
      <c r="U144" s="2">
        <v>44528</v>
      </c>
      <c r="V144" t="s">
        <v>800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112.3</v>
      </c>
      <c r="D145">
        <v>67</v>
      </c>
      <c r="E145">
        <v>1.676119402985075</v>
      </c>
      <c r="F145">
        <v>0.008904719501335707</v>
      </c>
      <c r="G145">
        <v>-0.09814024067189586</v>
      </c>
      <c r="H145">
        <v>0.03</v>
      </c>
      <c r="I145">
        <v>-0.05758013462192613</v>
      </c>
      <c r="J145" t="s">
        <v>776</v>
      </c>
      <c r="K145" t="s">
        <v>346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0.104102807101019</v>
      </c>
      <c r="R145" t="s">
        <v>780</v>
      </c>
      <c r="S145" t="s">
        <v>789</v>
      </c>
      <c r="T145">
        <v>5081.410357</v>
      </c>
      <c r="U145" s="2">
        <v>44505</v>
      </c>
      <c r="V145" t="s">
        <v>797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341.9</v>
      </c>
      <c r="D146">
        <v>174</v>
      </c>
      <c r="E146">
        <v>1.964942528735632</v>
      </c>
      <c r="F146">
        <v>0.004211757823925124</v>
      </c>
      <c r="G146">
        <v>-0.12636499021063</v>
      </c>
      <c r="H146">
        <v>0.07000000000000001</v>
      </c>
      <c r="I146">
        <v>-0.05887049138337719</v>
      </c>
      <c r="J146" t="s">
        <v>776</v>
      </c>
      <c r="K146" t="s">
        <v>524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0.534354273807511</v>
      </c>
      <c r="R146" t="s">
        <v>780</v>
      </c>
      <c r="S146" t="s">
        <v>789</v>
      </c>
      <c r="T146">
        <v>14826.142457</v>
      </c>
      <c r="U146" s="2">
        <v>44518</v>
      </c>
      <c r="V146" t="s">
        <v>800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113.85</v>
      </c>
      <c r="D147">
        <v>60</v>
      </c>
      <c r="E147">
        <v>1.8975</v>
      </c>
      <c r="F147">
        <v>0.01756697408871322</v>
      </c>
      <c r="G147">
        <v>-0.1202411525535293</v>
      </c>
      <c r="H147">
        <v>0.037</v>
      </c>
      <c r="I147">
        <v>-0.06363389607671921</v>
      </c>
      <c r="J147" t="s">
        <v>776</v>
      </c>
      <c r="K147" t="s">
        <v>777</v>
      </c>
      <c r="L147">
        <v>22.95</v>
      </c>
      <c r="M147">
        <v>2</v>
      </c>
      <c r="N147">
        <v>0.08714596949891068</v>
      </c>
      <c r="O147">
        <v>49</v>
      </c>
      <c r="P147">
        <v>0</v>
      </c>
      <c r="Q147">
        <v>1.253235508120394</v>
      </c>
      <c r="R147" t="s">
        <v>780</v>
      </c>
      <c r="S147" t="s">
        <v>790</v>
      </c>
      <c r="T147">
        <v>32835.432634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103.03</v>
      </c>
      <c r="D148">
        <v>60.8</v>
      </c>
      <c r="E148">
        <v>1.694572368421053</v>
      </c>
      <c r="F148">
        <v>0.01417062991361739</v>
      </c>
      <c r="G148">
        <v>-0.1001130042302164</v>
      </c>
      <c r="H148">
        <v>0.015</v>
      </c>
      <c r="I148">
        <v>-0.0660453707882025</v>
      </c>
      <c r="J148" t="s">
        <v>776</v>
      </c>
      <c r="K148" t="s">
        <v>777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0.331174391629949</v>
      </c>
      <c r="R148" t="s">
        <v>780</v>
      </c>
      <c r="S148" t="s">
        <v>792</v>
      </c>
      <c r="T148">
        <v>3789.199705</v>
      </c>
      <c r="U148" s="2">
        <v>44506</v>
      </c>
      <c r="V148" t="s">
        <v>805</v>
      </c>
    </row>
    <row r="149" spans="1:22">
      <c r="A149" s="1" t="s">
        <v>169</v>
      </c>
      <c r="B149">
        <f>HYPERLINK("https://www.suredividend.com/sure-analysis-ALB/","Albemarle Corp.")</f>
        <v>0</v>
      </c>
      <c r="C149">
        <v>234.35</v>
      </c>
      <c r="D149">
        <v>97</v>
      </c>
      <c r="E149">
        <v>2.415979381443299</v>
      </c>
      <c r="F149">
        <v>0.006656710049071902</v>
      </c>
      <c r="G149">
        <v>-0.1617349579191537</v>
      </c>
      <c r="H149">
        <v>0.1</v>
      </c>
      <c r="I149">
        <v>-0.06619722055622834</v>
      </c>
      <c r="J149" t="s">
        <v>776</v>
      </c>
      <c r="K149" t="s">
        <v>524</v>
      </c>
      <c r="L149">
        <v>4</v>
      </c>
      <c r="M149">
        <v>1.56</v>
      </c>
      <c r="N149">
        <v>0.39</v>
      </c>
      <c r="O149">
        <v>27</v>
      </c>
      <c r="P149">
        <v>0.08997698704834534</v>
      </c>
      <c r="Q149">
        <v>0.6032073800076531</v>
      </c>
      <c r="R149" t="s">
        <v>780</v>
      </c>
      <c r="S149" t="s">
        <v>790</v>
      </c>
      <c r="T149">
        <v>27200.503225</v>
      </c>
      <c r="U149" s="2">
        <v>44503</v>
      </c>
      <c r="V149" t="s">
        <v>796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471.34</v>
      </c>
      <c r="D150">
        <v>211</v>
      </c>
      <c r="E150">
        <v>2.233838862559242</v>
      </c>
      <c r="F150">
        <v>0.001527559723341961</v>
      </c>
      <c r="G150">
        <v>-0.1484902373410359</v>
      </c>
      <c r="H150">
        <v>0.09</v>
      </c>
      <c r="I150">
        <v>-0.06941290323252103</v>
      </c>
      <c r="J150" t="s">
        <v>776</v>
      </c>
      <c r="K150" t="s">
        <v>346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0.6837679502313611</v>
      </c>
      <c r="R150" t="s">
        <v>780</v>
      </c>
      <c r="S150" t="s">
        <v>785</v>
      </c>
      <c r="T150">
        <v>34668.565823</v>
      </c>
      <c r="U150" s="2">
        <v>44502</v>
      </c>
      <c r="V150" t="s">
        <v>797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105.64</v>
      </c>
      <c r="D151">
        <v>51</v>
      </c>
      <c r="E151">
        <v>2.071372549019608</v>
      </c>
      <c r="F151">
        <v>0.007572889057175312</v>
      </c>
      <c r="G151">
        <v>-0.1355331244828799</v>
      </c>
      <c r="H151">
        <v>0.05</v>
      </c>
      <c r="I151">
        <v>-0.07806593343871637</v>
      </c>
      <c r="J151" t="s">
        <v>776</v>
      </c>
      <c r="K151" t="s">
        <v>524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0.159238994463238</v>
      </c>
      <c r="R151" t="s">
        <v>780</v>
      </c>
      <c r="S151" t="s">
        <v>786</v>
      </c>
      <c r="T151">
        <v>3117.156301</v>
      </c>
      <c r="U151" s="2">
        <v>44485</v>
      </c>
      <c r="V151" t="s">
        <v>796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118.92</v>
      </c>
      <c r="D152">
        <v>48.6</v>
      </c>
      <c r="E152">
        <v>2.446913580246914</v>
      </c>
      <c r="F152">
        <v>0.009754456777665657</v>
      </c>
      <c r="G152">
        <v>-0.1638652489707194</v>
      </c>
      <c r="H152">
        <v>0.045</v>
      </c>
      <c r="I152">
        <v>-0.1097903104252125</v>
      </c>
      <c r="J152" t="s">
        <v>776</v>
      </c>
      <c r="K152" t="s">
        <v>346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0.648472913094409</v>
      </c>
      <c r="R152" t="s">
        <v>780</v>
      </c>
      <c r="S152" t="s">
        <v>792</v>
      </c>
      <c r="T152">
        <v>2038.752188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230.75</v>
      </c>
      <c r="D153">
        <v>265</v>
      </c>
      <c r="E153">
        <v>0.870754716981132</v>
      </c>
      <c r="F153">
        <v>0.01733477789815818</v>
      </c>
      <c r="G153">
        <v>0.02806561263912521</v>
      </c>
      <c r="H153">
        <v>0.15</v>
      </c>
      <c r="I153">
        <v>0.1910176590566857</v>
      </c>
      <c r="J153" t="s">
        <v>777</v>
      </c>
      <c r="K153" t="s">
        <v>346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0.150375678480799</v>
      </c>
      <c r="R153" t="s">
        <v>780</v>
      </c>
      <c r="S153" t="s">
        <v>785</v>
      </c>
      <c r="T153">
        <v>76775.244079</v>
      </c>
      <c r="U153" s="2">
        <v>44504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297.17</v>
      </c>
      <c r="D154">
        <v>413</v>
      </c>
      <c r="E154">
        <v>0.7195399515738499</v>
      </c>
      <c r="F154">
        <v>0.004711108119931352</v>
      </c>
      <c r="G154">
        <v>0.06804368735851885</v>
      </c>
      <c r="H154">
        <v>0.08</v>
      </c>
      <c r="I154">
        <v>0.157034795413721</v>
      </c>
      <c r="J154" t="s">
        <v>777</v>
      </c>
      <c r="K154" t="s">
        <v>524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0.030742809619418</v>
      </c>
      <c r="R154" t="s">
        <v>780</v>
      </c>
      <c r="S154" t="s">
        <v>788</v>
      </c>
      <c r="T154">
        <v>8834.061922000001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50.59</v>
      </c>
      <c r="D155">
        <v>61</v>
      </c>
      <c r="E155">
        <v>0.8293442622950821</v>
      </c>
      <c r="F155">
        <v>0.01976675232259339</v>
      </c>
      <c r="G155">
        <v>0.03813308265312143</v>
      </c>
      <c r="H155">
        <v>0.09</v>
      </c>
      <c r="I155">
        <v>0.146883174948276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-0.005236322736809001</v>
      </c>
      <c r="R155" t="s">
        <v>780</v>
      </c>
      <c r="S155" t="s">
        <v>784</v>
      </c>
      <c r="T155">
        <v>230664.025915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44.19</v>
      </c>
      <c r="D156">
        <v>60</v>
      </c>
      <c r="E156">
        <v>0.7364999999999999</v>
      </c>
      <c r="F156">
        <v>0.04254356189183073</v>
      </c>
      <c r="G156">
        <v>0.06307878105837927</v>
      </c>
      <c r="H156">
        <v>0.05</v>
      </c>
      <c r="I156">
        <v>0.1455476378036946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0.108071850445145</v>
      </c>
      <c r="R156" t="s">
        <v>781</v>
      </c>
      <c r="S156" t="s">
        <v>789</v>
      </c>
      <c r="T156">
        <v>5020.346371</v>
      </c>
      <c r="U156" s="2">
        <v>44508</v>
      </c>
      <c r="V156" t="s">
        <v>801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52.25</v>
      </c>
      <c r="D157">
        <v>70</v>
      </c>
      <c r="E157">
        <v>0.7464285714285714</v>
      </c>
      <c r="F157">
        <v>0.04899521531100479</v>
      </c>
      <c r="G157">
        <v>0.06023551800454729</v>
      </c>
      <c r="H157">
        <v>0.04</v>
      </c>
      <c r="I157">
        <v>0.1358036122710804</v>
      </c>
      <c r="J157" t="s">
        <v>777</v>
      </c>
      <c r="K157" t="s">
        <v>776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-0.05983412428648101</v>
      </c>
      <c r="R157" t="s">
        <v>780</v>
      </c>
      <c r="S157" t="s">
        <v>784</v>
      </c>
      <c r="T157">
        <v>219795.439257</v>
      </c>
      <c r="U157" s="2">
        <v>44489</v>
      </c>
      <c r="V157" t="s">
        <v>796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30.73</v>
      </c>
      <c r="D158">
        <v>44</v>
      </c>
      <c r="E158">
        <v>0.6984090909090909</v>
      </c>
      <c r="F158">
        <v>0.03644646924829158</v>
      </c>
      <c r="G158">
        <v>0.0744297455284626</v>
      </c>
      <c r="H158">
        <v>0.03</v>
      </c>
      <c r="I158">
        <v>0.1320653053726013</v>
      </c>
      <c r="J158" t="s">
        <v>777</v>
      </c>
      <c r="K158" t="s">
        <v>776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-0.103157894736842</v>
      </c>
      <c r="R158" t="s">
        <v>780</v>
      </c>
      <c r="S158" t="s">
        <v>785</v>
      </c>
      <c r="T158">
        <v>7560.861865</v>
      </c>
      <c r="U158" s="2">
        <v>44512</v>
      </c>
      <c r="V158" t="s">
        <v>796</v>
      </c>
    </row>
    <row r="159" spans="1:22">
      <c r="A159" s="1" t="s">
        <v>179</v>
      </c>
      <c r="B159">
        <f>HYPERLINK("https://www.suredividend.com/sure-analysis-PNGAY/","Ping AN Insurance (Group) Co. of China, Ltd.")</f>
        <v>0</v>
      </c>
      <c r="C159">
        <v>14.5725</v>
      </c>
      <c r="D159">
        <v>16</v>
      </c>
      <c r="E159">
        <v>0.91078125</v>
      </c>
      <c r="F159">
        <v>0.04803568365071195</v>
      </c>
      <c r="G159">
        <v>0.01886626708451167</v>
      </c>
      <c r="H159">
        <v>0.07000000000000001</v>
      </c>
      <c r="I159">
        <v>0.1291091203262744</v>
      </c>
      <c r="J159" t="s">
        <v>777</v>
      </c>
      <c r="K159" t="s">
        <v>776</v>
      </c>
      <c r="L159">
        <v>2</v>
      </c>
      <c r="M159">
        <v>0.7</v>
      </c>
      <c r="N159">
        <v>0.35</v>
      </c>
      <c r="O159">
        <v>12</v>
      </c>
      <c r="P159">
        <v>0.06961037572506878</v>
      </c>
      <c r="Q159">
        <v>-0.401981015270326</v>
      </c>
      <c r="R159" t="s">
        <v>780</v>
      </c>
      <c r="S159" t="s">
        <v>789</v>
      </c>
      <c r="T159">
        <v>53957.694727</v>
      </c>
      <c r="U159" s="2">
        <v>44517</v>
      </c>
      <c r="V159" t="s">
        <v>795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140.4</v>
      </c>
      <c r="D160">
        <v>160</v>
      </c>
      <c r="E160">
        <v>0.8775000000000001</v>
      </c>
      <c r="F160">
        <v>0.0160968660968661</v>
      </c>
      <c r="G160">
        <v>0.02648019618477426</v>
      </c>
      <c r="H160">
        <v>0.08</v>
      </c>
      <c r="I160">
        <v>0.1219792317048956</v>
      </c>
      <c r="J160" t="s">
        <v>777</v>
      </c>
      <c r="K160" t="s">
        <v>346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0.095340111551989</v>
      </c>
      <c r="R160" t="s">
        <v>780</v>
      </c>
      <c r="S160" t="s">
        <v>787</v>
      </c>
      <c r="T160">
        <v>172039.404396</v>
      </c>
      <c r="U160" s="2">
        <v>44507</v>
      </c>
      <c r="V160" t="s">
        <v>797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38.65</v>
      </c>
      <c r="D161">
        <v>43</v>
      </c>
      <c r="E161">
        <v>0.8988372093023256</v>
      </c>
      <c r="F161">
        <v>0.06959896507115136</v>
      </c>
      <c r="G161">
        <v>0.0215597930628133</v>
      </c>
      <c r="H161">
        <v>0.04</v>
      </c>
      <c r="I161">
        <v>0.1185945237007338</v>
      </c>
      <c r="J161" t="s">
        <v>777</v>
      </c>
      <c r="K161" t="s">
        <v>776</v>
      </c>
      <c r="L161">
        <v>3.88</v>
      </c>
      <c r="M161">
        <v>2.69</v>
      </c>
      <c r="N161">
        <v>0.6932989690721649</v>
      </c>
      <c r="O161">
        <v>26</v>
      </c>
      <c r="P161">
        <v>0.04486096680385954</v>
      </c>
      <c r="Q161">
        <v>0.291666246092869</v>
      </c>
      <c r="R161" t="s">
        <v>780</v>
      </c>
      <c r="S161" t="s">
        <v>793</v>
      </c>
      <c r="T161">
        <v>77776.70056700001</v>
      </c>
      <c r="U161" s="2">
        <v>44505</v>
      </c>
      <c r="V161" t="s">
        <v>797</v>
      </c>
    </row>
    <row r="162" spans="1:22">
      <c r="A162" s="1" t="s">
        <v>182</v>
      </c>
      <c r="B162">
        <f>HYPERLINK("https://www.suredividend.com/sure-analysis-TTE/","TotalEnergies SE")</f>
        <v>0</v>
      </c>
      <c r="C162">
        <v>49.97</v>
      </c>
      <c r="D162">
        <v>71</v>
      </c>
      <c r="E162">
        <v>0.7038028169014084</v>
      </c>
      <c r="F162">
        <v>0.06163698218931359</v>
      </c>
      <c r="G162">
        <v>0.0727778547954816</v>
      </c>
      <c r="H162">
        <v>0</v>
      </c>
      <c r="I162">
        <v>0.1171152276081138</v>
      </c>
      <c r="J162" t="s">
        <v>777</v>
      </c>
      <c r="K162" t="s">
        <v>776</v>
      </c>
      <c r="L162">
        <v>5.9</v>
      </c>
      <c r="M162">
        <v>3.08</v>
      </c>
      <c r="N162">
        <v>0.5220338983050847</v>
      </c>
      <c r="O162">
        <v>3</v>
      </c>
      <c r="P162">
        <v>0.01142428402057938</v>
      </c>
      <c r="Q162">
        <v>0.219045523469675</v>
      </c>
      <c r="R162" t="s">
        <v>780</v>
      </c>
      <c r="S162" t="s">
        <v>793</v>
      </c>
      <c r="T162">
        <v>134582.682899</v>
      </c>
      <c r="U162" s="2">
        <v>44501</v>
      </c>
      <c r="V162" t="s">
        <v>803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226.47</v>
      </c>
      <c r="D163">
        <v>225</v>
      </c>
      <c r="E163">
        <v>1.006533333333333</v>
      </c>
      <c r="F163">
        <v>0.03426502406499757</v>
      </c>
      <c r="G163">
        <v>-0.00130156894647715</v>
      </c>
      <c r="H163">
        <v>0.09</v>
      </c>
      <c r="I163">
        <v>0.1169949404481612</v>
      </c>
      <c r="J163" t="s">
        <v>777</v>
      </c>
      <c r="K163" t="s">
        <v>777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0.034253982968436</v>
      </c>
      <c r="R163" t="s">
        <v>780</v>
      </c>
      <c r="S163" t="s">
        <v>785</v>
      </c>
      <c r="T163">
        <v>128199.319295</v>
      </c>
      <c r="U163" s="2">
        <v>44503</v>
      </c>
      <c r="V163" t="s">
        <v>796</v>
      </c>
    </row>
    <row r="164" spans="1:22">
      <c r="A164" s="1" t="s">
        <v>184</v>
      </c>
      <c r="B164">
        <f>HYPERLINK("https://www.suredividend.com/sure-analysis-DDS/","Dillard`s Inc.")</f>
        <v>0</v>
      </c>
      <c r="C164">
        <v>251.03</v>
      </c>
      <c r="D164">
        <v>391</v>
      </c>
      <c r="E164">
        <v>0.6420204603580563</v>
      </c>
      <c r="F164">
        <v>0.003186870095207744</v>
      </c>
      <c r="G164">
        <v>0.09267303645457159</v>
      </c>
      <c r="H164">
        <v>0.02</v>
      </c>
      <c r="I164">
        <v>0.1168825079907623</v>
      </c>
      <c r="J164" t="s">
        <v>777</v>
      </c>
      <c r="K164" t="s">
        <v>524</v>
      </c>
      <c r="L164">
        <v>35.5</v>
      </c>
      <c r="M164">
        <v>0.8</v>
      </c>
      <c r="N164">
        <v>0.02253521126760564</v>
      </c>
      <c r="O164">
        <v>11</v>
      </c>
      <c r="P164">
        <v>0.04563955259127317</v>
      </c>
      <c r="Q164">
        <v>3.1608055324745</v>
      </c>
      <c r="R164" t="s">
        <v>780</v>
      </c>
      <c r="S164" t="s">
        <v>788</v>
      </c>
      <c r="T164">
        <v>3929.647232</v>
      </c>
      <c r="U164" s="2">
        <v>44529</v>
      </c>
      <c r="V164" t="s">
        <v>797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51.74</v>
      </c>
      <c r="D165">
        <v>63</v>
      </c>
      <c r="E165">
        <v>0.8212698412698413</v>
      </c>
      <c r="F165">
        <v>0.02686509470429068</v>
      </c>
      <c r="G165">
        <v>0.04016640995655951</v>
      </c>
      <c r="H165">
        <v>0.05</v>
      </c>
      <c r="I165">
        <v>0.1132255370049369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0.07657316148597401</v>
      </c>
      <c r="R165" t="s">
        <v>780</v>
      </c>
      <c r="S165" t="s">
        <v>787</v>
      </c>
      <c r="T165">
        <v>210792.61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HYPERLINK("https://www.suredividend.com/sure-analysis-WU/","Western Union Company")</f>
        <v>0</v>
      </c>
      <c r="C166">
        <v>18.03</v>
      </c>
      <c r="D166">
        <v>23</v>
      </c>
      <c r="E166">
        <v>0.783913043478261</v>
      </c>
      <c r="F166">
        <v>0.05213533000554631</v>
      </c>
      <c r="G166">
        <v>0.04989634026918566</v>
      </c>
      <c r="H166">
        <v>0.02</v>
      </c>
      <c r="I166">
        <v>0.1121605810783444</v>
      </c>
      <c r="J166" t="s">
        <v>777</v>
      </c>
      <c r="K166" t="s">
        <v>776</v>
      </c>
      <c r="L166">
        <v>2.07</v>
      </c>
      <c r="M166">
        <v>0.9399999999999999</v>
      </c>
      <c r="N166">
        <v>0.4541062801932367</v>
      </c>
      <c r="O166">
        <v>7</v>
      </c>
      <c r="P166">
        <v>0.03933463380769542</v>
      </c>
      <c r="Q166">
        <v>-0.135499663778548</v>
      </c>
      <c r="R166" t="s">
        <v>780</v>
      </c>
      <c r="S166" t="s">
        <v>787</v>
      </c>
      <c r="T166">
        <v>7183.8588</v>
      </c>
      <c r="U166" s="2">
        <v>44517</v>
      </c>
      <c r="V166" t="s">
        <v>801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21.7</v>
      </c>
      <c r="D167">
        <v>24.1</v>
      </c>
      <c r="E167">
        <v>0.900414937759336</v>
      </c>
      <c r="F167">
        <v>0.08294930875576037</v>
      </c>
      <c r="G167">
        <v>0.02120154160963383</v>
      </c>
      <c r="H167">
        <v>0.026</v>
      </c>
      <c r="I167">
        <v>0.1116926145754153</v>
      </c>
      <c r="J167" t="s">
        <v>777</v>
      </c>
      <c r="K167" t="s">
        <v>776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0.193137395249474</v>
      </c>
      <c r="R167" t="s">
        <v>781</v>
      </c>
      <c r="S167" t="s">
        <v>793</v>
      </c>
      <c r="T167">
        <v>47286.756168</v>
      </c>
      <c r="U167" s="2">
        <v>44506</v>
      </c>
      <c r="V167" t="s">
        <v>805</v>
      </c>
    </row>
    <row r="168" spans="1:22">
      <c r="A168" s="1" t="s">
        <v>188</v>
      </c>
      <c r="B168">
        <f>HYPERLINK("https://www.suredividend.com/sure-analysis-IPG/","Interpublic Group Of Cos., Inc.")</f>
        <v>0</v>
      </c>
      <c r="C168">
        <v>37.77</v>
      </c>
      <c r="D168">
        <v>41</v>
      </c>
      <c r="E168">
        <v>0.921219512195122</v>
      </c>
      <c r="F168">
        <v>0.02859412231930103</v>
      </c>
      <c r="G168">
        <v>0.01654679251320079</v>
      </c>
      <c r="H168">
        <v>0.07000000000000001</v>
      </c>
      <c r="I168">
        <v>0.1114252356901619</v>
      </c>
      <c r="J168" t="s">
        <v>777</v>
      </c>
      <c r="K168" t="s">
        <v>777</v>
      </c>
      <c r="L168">
        <v>2.58</v>
      </c>
      <c r="M168">
        <v>1.08</v>
      </c>
      <c r="N168">
        <v>0.4186046511627907</v>
      </c>
      <c r="O168">
        <v>10</v>
      </c>
      <c r="P168">
        <v>0.06504410274056371</v>
      </c>
      <c r="Q168">
        <v>0.6502212379716871</v>
      </c>
      <c r="R168" t="s">
        <v>780</v>
      </c>
      <c r="S168" t="s">
        <v>784</v>
      </c>
      <c r="T168">
        <v>14876.073723</v>
      </c>
      <c r="U168" s="2">
        <v>44494</v>
      </c>
      <c r="V168" t="s">
        <v>795</v>
      </c>
    </row>
    <row r="169" spans="1:22">
      <c r="A169" s="1" t="s">
        <v>189</v>
      </c>
      <c r="B169">
        <f>HYPERLINK("https://www.suredividend.com/sure-analysis-FLIC/","First Of Long Island Corp.")</f>
        <v>0</v>
      </c>
      <c r="C169">
        <v>21.69</v>
      </c>
      <c r="D169">
        <v>24</v>
      </c>
      <c r="E169">
        <v>0.9037500000000001</v>
      </c>
      <c r="F169">
        <v>0.03688335638543108</v>
      </c>
      <c r="G169">
        <v>0.02044672908010936</v>
      </c>
      <c r="H169">
        <v>0.055</v>
      </c>
      <c r="I169">
        <v>0.1080493459695819</v>
      </c>
      <c r="J169" t="s">
        <v>777</v>
      </c>
      <c r="K169" t="s">
        <v>776</v>
      </c>
      <c r="L169">
        <v>1.85</v>
      </c>
      <c r="M169">
        <v>0.8</v>
      </c>
      <c r="N169">
        <v>0.4324324324324325</v>
      </c>
      <c r="O169">
        <v>13</v>
      </c>
      <c r="P169">
        <v>0.06576275663547415</v>
      </c>
      <c r="Q169">
        <v>0.268405283467596</v>
      </c>
      <c r="R169" t="s">
        <v>780</v>
      </c>
      <c r="S169" t="s">
        <v>789</v>
      </c>
      <c r="T169">
        <v>513.916669</v>
      </c>
      <c r="U169" s="2">
        <v>44506</v>
      </c>
      <c r="V169" t="s">
        <v>797</v>
      </c>
    </row>
    <row r="170" spans="1:22">
      <c r="A170" s="1" t="s">
        <v>190</v>
      </c>
      <c r="B170">
        <f>HYPERLINK("https://www.suredividend.com/sure-analysis-NTIOF/","National Bank of Canada")</f>
        <v>0</v>
      </c>
      <c r="C170">
        <v>76.09999999999999</v>
      </c>
      <c r="D170">
        <v>82</v>
      </c>
      <c r="E170">
        <v>0.9280487804878048</v>
      </c>
      <c r="F170">
        <v>0.03574244415243102</v>
      </c>
      <c r="G170">
        <v>0.01504626879990556</v>
      </c>
      <c r="H170">
        <v>0.06</v>
      </c>
      <c r="I170">
        <v>0.1078180939155802</v>
      </c>
      <c r="J170" t="s">
        <v>777</v>
      </c>
      <c r="K170" t="s">
        <v>776</v>
      </c>
      <c r="L170">
        <v>7.11</v>
      </c>
      <c r="M170">
        <v>2.72</v>
      </c>
      <c r="N170">
        <v>0.3825597749648383</v>
      </c>
      <c r="O170">
        <v>9</v>
      </c>
      <c r="P170">
        <v>0.0801851873035635</v>
      </c>
      <c r="Q170">
        <v>0.35639570277529</v>
      </c>
      <c r="R170" t="s">
        <v>780</v>
      </c>
      <c r="S170" t="s">
        <v>789</v>
      </c>
      <c r="T170">
        <v>25598.970953</v>
      </c>
      <c r="U170" s="2">
        <v>44541</v>
      </c>
      <c r="V170" t="s">
        <v>804</v>
      </c>
    </row>
    <row r="171" spans="1:22">
      <c r="A171" s="1" t="s">
        <v>191</v>
      </c>
      <c r="B171">
        <f>HYPERLINK("https://www.suredividend.com/sure-analysis-FNV/","Franco-Nevada Corporation")</f>
        <v>0</v>
      </c>
      <c r="C171">
        <v>137.2</v>
      </c>
      <c r="D171">
        <v>161</v>
      </c>
      <c r="E171">
        <v>0.8521739130434782</v>
      </c>
      <c r="F171">
        <v>0.008746355685131196</v>
      </c>
      <c r="G171">
        <v>0.03251020536869853</v>
      </c>
      <c r="H171">
        <v>0.065</v>
      </c>
      <c r="I171">
        <v>0.1070929270643639</v>
      </c>
      <c r="J171" t="s">
        <v>777</v>
      </c>
      <c r="K171" t="s">
        <v>524</v>
      </c>
      <c r="L171">
        <v>3.49</v>
      </c>
      <c r="M171">
        <v>1.2</v>
      </c>
      <c r="N171">
        <v>0.3438395415472779</v>
      </c>
      <c r="O171">
        <v>14</v>
      </c>
      <c r="P171">
        <v>0.0796084730466029</v>
      </c>
      <c r="Q171">
        <v>0.09277008017466201</v>
      </c>
      <c r="R171" t="s">
        <v>780</v>
      </c>
      <c r="S171" t="s">
        <v>790</v>
      </c>
      <c r="T171">
        <v>25895.076173</v>
      </c>
      <c r="U171" s="2">
        <v>44508</v>
      </c>
      <c r="V171" t="s">
        <v>802</v>
      </c>
    </row>
    <row r="172" spans="1:22">
      <c r="A172" s="1" t="s">
        <v>192</v>
      </c>
      <c r="B172">
        <f>HYPERLINK("https://www.suredividend.com/sure-analysis-OMC/","Omnicom Group, Inc.")</f>
        <v>0</v>
      </c>
      <c r="C172">
        <v>73.76000000000001</v>
      </c>
      <c r="D172">
        <v>87</v>
      </c>
      <c r="E172">
        <v>0.8478160919540231</v>
      </c>
      <c r="F172">
        <v>0.03796095444685466</v>
      </c>
      <c r="G172">
        <v>0.03356946153505591</v>
      </c>
      <c r="H172">
        <v>0.04</v>
      </c>
      <c r="I172">
        <v>0.1064893202233872</v>
      </c>
      <c r="J172" t="s">
        <v>777</v>
      </c>
      <c r="K172" t="s">
        <v>777</v>
      </c>
      <c r="L172">
        <v>6.2</v>
      </c>
      <c r="M172">
        <v>2.8</v>
      </c>
      <c r="N172">
        <v>0.4516129032258064</v>
      </c>
      <c r="O172">
        <v>1</v>
      </c>
      <c r="P172">
        <v>0.05502951838285242</v>
      </c>
      <c r="Q172">
        <v>0.229564385769556</v>
      </c>
      <c r="R172" t="s">
        <v>780</v>
      </c>
      <c r="S172" t="s">
        <v>784</v>
      </c>
      <c r="T172">
        <v>15631.553708</v>
      </c>
      <c r="U172" s="2">
        <v>44491</v>
      </c>
      <c r="V172" t="s">
        <v>797</v>
      </c>
    </row>
    <row r="173" spans="1:22">
      <c r="A173" s="1" t="s">
        <v>193</v>
      </c>
      <c r="B173">
        <f>HYPERLINK("https://www.suredividend.com/sure-analysis-SRE/","Sempra Energy")</f>
        <v>0</v>
      </c>
      <c r="C173">
        <v>131.77</v>
      </c>
      <c r="D173">
        <v>151</v>
      </c>
      <c r="E173">
        <v>0.8726490066225167</v>
      </c>
      <c r="F173">
        <v>0.03339151551946574</v>
      </c>
      <c r="G173">
        <v>0.02761889300862208</v>
      </c>
      <c r="H173">
        <v>0.05</v>
      </c>
      <c r="I173">
        <v>0.1061937687922117</v>
      </c>
      <c r="J173" t="s">
        <v>777</v>
      </c>
      <c r="K173" t="s">
        <v>777</v>
      </c>
      <c r="L173">
        <v>8.050000000000001</v>
      </c>
      <c r="M173">
        <v>4.4</v>
      </c>
      <c r="N173">
        <v>0.5465838509316771</v>
      </c>
      <c r="O173">
        <v>11</v>
      </c>
      <c r="P173">
        <v>0.05016303610438722</v>
      </c>
      <c r="Q173">
        <v>0.06696948199423</v>
      </c>
      <c r="R173" t="s">
        <v>780</v>
      </c>
      <c r="S173" t="s">
        <v>792</v>
      </c>
      <c r="T173">
        <v>41975.70911</v>
      </c>
      <c r="U173" s="2">
        <v>44516</v>
      </c>
      <c r="V173" t="s">
        <v>803</v>
      </c>
    </row>
    <row r="174" spans="1:22">
      <c r="A174" s="1" t="s">
        <v>194</v>
      </c>
      <c r="B174">
        <f>HYPERLINK("https://www.suredividend.com/sure-analysis-RY/","Royal Bank Of Canada")</f>
        <v>0</v>
      </c>
      <c r="C174">
        <v>105.49</v>
      </c>
      <c r="D174">
        <v>107</v>
      </c>
      <c r="E174">
        <v>0.9858878504672897</v>
      </c>
      <c r="F174">
        <v>0.03649635036496351</v>
      </c>
      <c r="G174">
        <v>0.002846578385651721</v>
      </c>
      <c r="H174">
        <v>0.07000000000000001</v>
      </c>
      <c r="I174">
        <v>0.1058704715219876</v>
      </c>
      <c r="J174" t="s">
        <v>777</v>
      </c>
      <c r="K174" t="s">
        <v>776</v>
      </c>
      <c r="L174">
        <v>8.73</v>
      </c>
      <c r="M174">
        <v>3.85</v>
      </c>
      <c r="N174">
        <v>0.4410080183276059</v>
      </c>
      <c r="O174">
        <v>10</v>
      </c>
      <c r="P174">
        <v>0.08011784268735989</v>
      </c>
      <c r="Q174">
        <v>0.330531327953415</v>
      </c>
      <c r="R174" t="s">
        <v>780</v>
      </c>
      <c r="S174" t="s">
        <v>789</v>
      </c>
      <c r="T174">
        <v>149924.5368</v>
      </c>
      <c r="U174" s="2">
        <v>44541</v>
      </c>
      <c r="V174" t="s">
        <v>804</v>
      </c>
    </row>
    <row r="175" spans="1:22">
      <c r="A175" s="1" t="s">
        <v>195</v>
      </c>
      <c r="B175">
        <f>HYPERLINK("https://www.suredividend.com/sure-analysis-MURGF/","Münchener Rückversicherungs-Gesellschaft AG")</f>
        <v>0</v>
      </c>
      <c r="C175">
        <v>296.4</v>
      </c>
      <c r="D175">
        <v>338</v>
      </c>
      <c r="E175">
        <v>0.8769230769230768</v>
      </c>
      <c r="F175">
        <v>0.04385964912280702</v>
      </c>
      <c r="G175">
        <v>0.02661522383956338</v>
      </c>
      <c r="H175">
        <v>0.04</v>
      </c>
      <c r="I175">
        <v>0.1042502450476837</v>
      </c>
      <c r="J175" t="s">
        <v>777</v>
      </c>
      <c r="K175" t="s">
        <v>776</v>
      </c>
      <c r="L175">
        <v>27</v>
      </c>
      <c r="M175">
        <v>13</v>
      </c>
      <c r="N175">
        <v>0.4814814814814815</v>
      </c>
      <c r="O175">
        <v>6</v>
      </c>
      <c r="P175">
        <v>0.0499789846479779</v>
      </c>
      <c r="Q175">
        <v>-0.009854685151160001</v>
      </c>
      <c r="R175" t="s">
        <v>780</v>
      </c>
      <c r="S175" t="s">
        <v>789</v>
      </c>
      <c r="T175">
        <v>41525.323148</v>
      </c>
      <c r="U175" s="2">
        <v>44516</v>
      </c>
      <c r="V175" t="s">
        <v>795</v>
      </c>
    </row>
    <row r="176" spans="1:22">
      <c r="A176" s="1" t="s">
        <v>196</v>
      </c>
      <c r="B176">
        <f>HYPERLINK("https://www.suredividend.com/sure-analysis-GEF/","Greif Inc")</f>
        <v>0</v>
      </c>
      <c r="C176">
        <v>59.8</v>
      </c>
      <c r="D176">
        <v>84</v>
      </c>
      <c r="E176">
        <v>0.7119047619047618</v>
      </c>
      <c r="F176">
        <v>0.03076923076923077</v>
      </c>
      <c r="G176">
        <v>0.07032487895151318</v>
      </c>
      <c r="H176">
        <v>0.01</v>
      </c>
      <c r="I176">
        <v>0.1038779073578591</v>
      </c>
      <c r="J176" t="s">
        <v>777</v>
      </c>
      <c r="K176" t="s">
        <v>777</v>
      </c>
      <c r="L176">
        <v>6</v>
      </c>
      <c r="M176">
        <v>1.84</v>
      </c>
      <c r="N176">
        <v>0.3066666666666667</v>
      </c>
      <c r="O176">
        <v>1</v>
      </c>
      <c r="P176">
        <v>0.01884169405651681</v>
      </c>
      <c r="Q176">
        <v>0.333762713683815</v>
      </c>
      <c r="R176" t="s">
        <v>780</v>
      </c>
      <c r="S176" t="s">
        <v>788</v>
      </c>
      <c r="T176">
        <v>2897.578367</v>
      </c>
      <c r="U176" s="2">
        <v>44544</v>
      </c>
      <c r="V176" t="s">
        <v>799</v>
      </c>
    </row>
    <row r="177" spans="1:22">
      <c r="A177" s="1" t="s">
        <v>197</v>
      </c>
      <c r="B177">
        <f>HYPERLINK("https://www.suredividend.com/sure-analysis-NC/","Nacco Industries Inc.")</f>
        <v>0</v>
      </c>
      <c r="C177">
        <v>35.35</v>
      </c>
      <c r="D177">
        <v>59</v>
      </c>
      <c r="E177">
        <v>0.5991525423728814</v>
      </c>
      <c r="F177">
        <v>0.02234794908062235</v>
      </c>
      <c r="G177">
        <v>0.1078794805172429</v>
      </c>
      <c r="H177">
        <v>-0.02</v>
      </c>
      <c r="I177">
        <v>0.1037924590701556</v>
      </c>
      <c r="J177" t="s">
        <v>777</v>
      </c>
      <c r="K177" t="s">
        <v>777</v>
      </c>
      <c r="L177">
        <v>6.5</v>
      </c>
      <c r="M177">
        <v>0.79</v>
      </c>
      <c r="N177">
        <v>0.1215384615384615</v>
      </c>
      <c r="O177">
        <v>36</v>
      </c>
      <c r="P177">
        <v>0.05036164940748145</v>
      </c>
      <c r="Q177">
        <v>0.361536205926407</v>
      </c>
      <c r="R177" t="s">
        <v>780</v>
      </c>
      <c r="S177" t="s">
        <v>793</v>
      </c>
      <c r="T177">
        <v>192.66164</v>
      </c>
      <c r="U177" s="2">
        <v>44506</v>
      </c>
      <c r="V177" t="s">
        <v>796</v>
      </c>
    </row>
    <row r="178" spans="1:22">
      <c r="A178" s="1" t="s">
        <v>198</v>
      </c>
      <c r="B178">
        <f>HYPERLINK("https://www.suredividend.com/sure-analysis-SUN/","Sunoco LP")</f>
        <v>0</v>
      </c>
      <c r="C178">
        <v>40.48</v>
      </c>
      <c r="D178">
        <v>46</v>
      </c>
      <c r="E178">
        <v>0.8799999999999999</v>
      </c>
      <c r="F178">
        <v>0.08152173913043478</v>
      </c>
      <c r="G178">
        <v>0.02589630491023409</v>
      </c>
      <c r="H178">
        <v>0.015</v>
      </c>
      <c r="I178">
        <v>0.1028923466274569</v>
      </c>
      <c r="J178" t="s">
        <v>777</v>
      </c>
      <c r="K178" t="s">
        <v>776</v>
      </c>
      <c r="L178">
        <v>7</v>
      </c>
      <c r="M178">
        <v>3.3</v>
      </c>
      <c r="N178">
        <v>0.4714285714285714</v>
      </c>
      <c r="O178">
        <v>0</v>
      </c>
      <c r="P178">
        <v>0</v>
      </c>
      <c r="Q178">
        <v>0.5534534465080061</v>
      </c>
      <c r="R178" t="s">
        <v>781</v>
      </c>
      <c r="S178" t="s">
        <v>793</v>
      </c>
      <c r="T178">
        <v>3359.090557</v>
      </c>
      <c r="U178" s="2">
        <v>44507</v>
      </c>
      <c r="V178" t="s">
        <v>797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107.13</v>
      </c>
      <c r="D179">
        <v>114</v>
      </c>
      <c r="E179">
        <v>0.9397368421052631</v>
      </c>
      <c r="F179">
        <v>0.03873798189116028</v>
      </c>
      <c r="G179">
        <v>0.01250866665785821</v>
      </c>
      <c r="H179">
        <v>0.055</v>
      </c>
      <c r="I179">
        <v>0.1025309482691212</v>
      </c>
      <c r="J179" t="s">
        <v>777</v>
      </c>
      <c r="K179" t="s">
        <v>776</v>
      </c>
      <c r="L179">
        <v>10.23</v>
      </c>
      <c r="M179">
        <v>4.15</v>
      </c>
      <c r="N179">
        <v>0.4056695992179863</v>
      </c>
      <c r="O179">
        <v>9</v>
      </c>
      <c r="P179">
        <v>0.06997831883783956</v>
      </c>
      <c r="Q179">
        <v>0.462957772475885</v>
      </c>
      <c r="R179" t="s">
        <v>780</v>
      </c>
      <c r="S179" t="s">
        <v>789</v>
      </c>
      <c r="T179">
        <v>69354.510251</v>
      </c>
      <c r="U179" s="2">
        <v>44535</v>
      </c>
      <c r="V179" t="s">
        <v>804</v>
      </c>
    </row>
    <row r="180" spans="1:22">
      <c r="A180" s="1" t="s">
        <v>200</v>
      </c>
      <c r="B180">
        <f>HYPERLINK("https://www.suredividend.com/sure-analysis-HBI/","Hanesbrands Inc")</f>
        <v>0</v>
      </c>
      <c r="C180">
        <v>16.8</v>
      </c>
      <c r="D180">
        <v>18</v>
      </c>
      <c r="E180">
        <v>0.9333333333333333</v>
      </c>
      <c r="F180">
        <v>0.03571428571428571</v>
      </c>
      <c r="G180">
        <v>0.01389421401466451</v>
      </c>
      <c r="H180">
        <v>0.06</v>
      </c>
      <c r="I180">
        <v>0.1014588451848537</v>
      </c>
      <c r="J180" t="s">
        <v>777</v>
      </c>
      <c r="K180" t="s">
        <v>776</v>
      </c>
      <c r="L180">
        <v>1.82</v>
      </c>
      <c r="M180">
        <v>0.6</v>
      </c>
      <c r="N180">
        <v>0.3296703296703297</v>
      </c>
      <c r="O180">
        <v>0</v>
      </c>
      <c r="P180">
        <v>0.01613736474159566</v>
      </c>
      <c r="Q180">
        <v>0.202889222627476</v>
      </c>
      <c r="R180" t="s">
        <v>780</v>
      </c>
      <c r="S180" t="s">
        <v>788</v>
      </c>
      <c r="T180">
        <v>5873.619909</v>
      </c>
      <c r="U180" s="2">
        <v>44512</v>
      </c>
      <c r="V180" t="s">
        <v>803</v>
      </c>
    </row>
    <row r="181" spans="1:22">
      <c r="A181" s="1" t="s">
        <v>201</v>
      </c>
      <c r="B181">
        <f>HYPERLINK("https://www.suredividend.com/sure-analysis-HRB/","H&amp;R Block Inc.")</f>
        <v>0</v>
      </c>
      <c r="C181">
        <v>23.62</v>
      </c>
      <c r="D181">
        <v>26.6</v>
      </c>
      <c r="E181">
        <v>0.8879699248120301</v>
      </c>
      <c r="F181">
        <v>0.04572396274343776</v>
      </c>
      <c r="G181">
        <v>0.02404808242047562</v>
      </c>
      <c r="H181">
        <v>0.037</v>
      </c>
      <c r="I181">
        <v>0.1010704590014784</v>
      </c>
      <c r="J181" t="s">
        <v>777</v>
      </c>
      <c r="K181" t="s">
        <v>776</v>
      </c>
      <c r="L181">
        <v>2.84</v>
      </c>
      <c r="M181">
        <v>1.08</v>
      </c>
      <c r="N181">
        <v>0.3802816901408451</v>
      </c>
      <c r="O181">
        <v>6</v>
      </c>
      <c r="P181">
        <v>0.05327276858309027</v>
      </c>
      <c r="Q181">
        <v>0.581500387524387</v>
      </c>
      <c r="R181" t="s">
        <v>780</v>
      </c>
      <c r="S181" t="s">
        <v>788</v>
      </c>
      <c r="T181">
        <v>4157.148442</v>
      </c>
      <c r="U181" s="2">
        <v>44509</v>
      </c>
      <c r="V181" t="s">
        <v>805</v>
      </c>
    </row>
    <row r="182" spans="1:22">
      <c r="A182" s="1" t="s">
        <v>202</v>
      </c>
      <c r="B182">
        <f>HYPERLINK("https://www.suredividend.com/sure-analysis-SWX/","Southwest Gas Holdings Inc")</f>
        <v>0</v>
      </c>
      <c r="C182">
        <v>69.95</v>
      </c>
      <c r="D182">
        <v>76</v>
      </c>
      <c r="E182">
        <v>0.9203947368421053</v>
      </c>
      <c r="F182">
        <v>0.03402430307362402</v>
      </c>
      <c r="G182">
        <v>0.01672891488740191</v>
      </c>
      <c r="H182">
        <v>0.055</v>
      </c>
      <c r="I182">
        <v>0.1009537572130743</v>
      </c>
      <c r="J182" t="s">
        <v>777</v>
      </c>
      <c r="K182" t="s">
        <v>777</v>
      </c>
      <c r="L182">
        <v>4.1</v>
      </c>
      <c r="M182">
        <v>2.38</v>
      </c>
      <c r="N182">
        <v>0.5804878048780489</v>
      </c>
      <c r="O182">
        <v>14</v>
      </c>
      <c r="P182">
        <v>0.05016931709648742</v>
      </c>
      <c r="Q182">
        <v>0.189767995240927</v>
      </c>
      <c r="R182" t="s">
        <v>780</v>
      </c>
      <c r="S182" t="s">
        <v>792</v>
      </c>
      <c r="T182">
        <v>4202.801846</v>
      </c>
      <c r="U182" s="2">
        <v>44511</v>
      </c>
      <c r="V182" t="s">
        <v>802</v>
      </c>
    </row>
    <row r="183" spans="1:22">
      <c r="A183" s="1" t="s">
        <v>203</v>
      </c>
      <c r="B183">
        <f>HYPERLINK("https://www.suredividend.com/sure-analysis-MRK/","Merck &amp; Co Inc")</f>
        <v>0</v>
      </c>
      <c r="C183">
        <v>77.14</v>
      </c>
      <c r="D183">
        <v>85</v>
      </c>
      <c r="E183">
        <v>0.9075294117647059</v>
      </c>
      <c r="F183">
        <v>0.03577910292973813</v>
      </c>
      <c r="G183">
        <v>0.0195953783902536</v>
      </c>
      <c r="H183">
        <v>0.05</v>
      </c>
      <c r="I183">
        <v>0.09944664967569339</v>
      </c>
      <c r="J183" t="s">
        <v>777</v>
      </c>
      <c r="K183" t="s">
        <v>777</v>
      </c>
      <c r="L183">
        <v>5.68</v>
      </c>
      <c r="M183">
        <v>2.76</v>
      </c>
      <c r="N183">
        <v>0.4859154929577464</v>
      </c>
      <c r="O183">
        <v>11</v>
      </c>
      <c r="P183">
        <v>0.03763783845459012</v>
      </c>
      <c r="Q183">
        <v>-0.020579913424101</v>
      </c>
      <c r="R183" t="s">
        <v>780</v>
      </c>
      <c r="S183" t="s">
        <v>785</v>
      </c>
      <c r="T183">
        <v>194371.385875</v>
      </c>
      <c r="U183" s="2">
        <v>44500</v>
      </c>
      <c r="V183" t="s">
        <v>796</v>
      </c>
    </row>
    <row r="184" spans="1:22">
      <c r="A184" s="1" t="s">
        <v>204</v>
      </c>
      <c r="B184">
        <f>HYPERLINK("https://www.suredividend.com/sure-analysis-MO/","Altria Group Inc.")</f>
        <v>0</v>
      </c>
      <c r="C184">
        <v>47.25</v>
      </c>
      <c r="D184">
        <v>50.8</v>
      </c>
      <c r="E184">
        <v>0.9301181102362205</v>
      </c>
      <c r="F184">
        <v>0.0761904761904762</v>
      </c>
      <c r="G184">
        <v>0.01459421068708711</v>
      </c>
      <c r="H184">
        <v>0.022</v>
      </c>
      <c r="I184">
        <v>0.09920638374390478</v>
      </c>
      <c r="J184" t="s">
        <v>777</v>
      </c>
      <c r="K184" t="s">
        <v>776</v>
      </c>
      <c r="L184">
        <v>4.62</v>
      </c>
      <c r="M184">
        <v>3.6</v>
      </c>
      <c r="N184">
        <v>0.7792207792207793</v>
      </c>
      <c r="O184">
        <v>52</v>
      </c>
      <c r="P184">
        <v>0.02129568760013512</v>
      </c>
      <c r="Q184">
        <v>0.226787447428016</v>
      </c>
      <c r="R184" t="s">
        <v>780</v>
      </c>
      <c r="S184" t="s">
        <v>791</v>
      </c>
      <c r="T184">
        <v>87073.27016299999</v>
      </c>
      <c r="U184" s="2">
        <v>44506</v>
      </c>
      <c r="V184" t="s">
        <v>805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913.76</v>
      </c>
      <c r="D185">
        <v>802</v>
      </c>
      <c r="E185">
        <v>1.139351620947631</v>
      </c>
      <c r="F185">
        <v>0.01807914550866748</v>
      </c>
      <c r="G185">
        <v>-0.02575441786952026</v>
      </c>
      <c r="H185">
        <v>0.11</v>
      </c>
      <c r="I185">
        <v>0.09910230290387156</v>
      </c>
      <c r="J185" t="s">
        <v>777</v>
      </c>
      <c r="K185" t="s">
        <v>346</v>
      </c>
      <c r="L185">
        <v>38.2</v>
      </c>
      <c r="M185">
        <v>16.52</v>
      </c>
      <c r="N185">
        <v>0.4324607329842932</v>
      </c>
      <c r="O185">
        <v>11</v>
      </c>
      <c r="P185">
        <v>0.1100226421779109</v>
      </c>
      <c r="Q185">
        <v>0.313440662431947</v>
      </c>
      <c r="R185" t="s">
        <v>780</v>
      </c>
      <c r="S185" t="s">
        <v>789</v>
      </c>
      <c r="T185">
        <v>138202.09426</v>
      </c>
      <c r="U185" s="2">
        <v>44484</v>
      </c>
      <c r="V185" t="s">
        <v>804</v>
      </c>
    </row>
    <row r="186" spans="1:22">
      <c r="A186" s="1" t="s">
        <v>206</v>
      </c>
      <c r="B186">
        <f>HYPERLINK("https://www.suredividend.com/sure-analysis-TTC/","Toro Co.")</f>
        <v>0</v>
      </c>
      <c r="C186">
        <v>99.45</v>
      </c>
      <c r="D186">
        <v>94</v>
      </c>
      <c r="E186">
        <v>1.057978723404255</v>
      </c>
      <c r="F186">
        <v>0.01206636500754148</v>
      </c>
      <c r="G186">
        <v>-0.01120875314247627</v>
      </c>
      <c r="H186">
        <v>0.1</v>
      </c>
      <c r="I186">
        <v>0.09900165982385944</v>
      </c>
      <c r="J186" t="s">
        <v>777</v>
      </c>
      <c r="K186" t="s">
        <v>346</v>
      </c>
      <c r="L186">
        <v>4</v>
      </c>
      <c r="M186">
        <v>1.2</v>
      </c>
      <c r="N186">
        <v>0.3</v>
      </c>
      <c r="O186">
        <v>12</v>
      </c>
      <c r="P186">
        <v>0.09970250059947383</v>
      </c>
      <c r="Q186">
        <v>0.07641066167312301</v>
      </c>
      <c r="R186" t="s">
        <v>780</v>
      </c>
      <c r="S186" t="s">
        <v>786</v>
      </c>
      <c r="T186">
        <v>10474.724407</v>
      </c>
      <c r="U186" s="2">
        <v>44547</v>
      </c>
      <c r="V186" t="s">
        <v>802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185.23</v>
      </c>
      <c r="D187">
        <v>209</v>
      </c>
      <c r="E187">
        <v>0.886267942583732</v>
      </c>
      <c r="F187">
        <v>0.02548183339631809</v>
      </c>
      <c r="G187">
        <v>0.02444109547316287</v>
      </c>
      <c r="H187">
        <v>0.05</v>
      </c>
      <c r="I187">
        <v>0.09877797451686243</v>
      </c>
      <c r="J187" t="s">
        <v>777</v>
      </c>
      <c r="K187" t="s">
        <v>777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0.139650154191937</v>
      </c>
      <c r="R187" t="s">
        <v>780</v>
      </c>
      <c r="S187" t="s">
        <v>786</v>
      </c>
      <c r="T187">
        <v>7430.513909</v>
      </c>
      <c r="U187" s="2">
        <v>44516</v>
      </c>
      <c r="V187" t="s">
        <v>801</v>
      </c>
    </row>
    <row r="188" spans="1:22">
      <c r="A188" s="1" t="s">
        <v>208</v>
      </c>
      <c r="B188">
        <f>HYPERLINK("https://www.suredividend.com/sure-analysis-NVS/","Novartis AG")</f>
        <v>0</v>
      </c>
      <c r="C188">
        <v>87.45999999999999</v>
      </c>
      <c r="D188">
        <v>100</v>
      </c>
      <c r="E188">
        <v>0.8745999999999999</v>
      </c>
      <c r="F188">
        <v>0.03658815458495313</v>
      </c>
      <c r="G188">
        <v>0.02716001603939677</v>
      </c>
      <c r="H188">
        <v>0.04</v>
      </c>
      <c r="I188">
        <v>0.09816056144015795</v>
      </c>
      <c r="J188" t="s">
        <v>777</v>
      </c>
      <c r="K188" t="s">
        <v>776</v>
      </c>
      <c r="L188">
        <v>6.28</v>
      </c>
      <c r="M188">
        <v>3.2</v>
      </c>
      <c r="N188">
        <v>0.5095541401273885</v>
      </c>
      <c r="O188">
        <v>25</v>
      </c>
      <c r="P188">
        <v>0.03982420952666454</v>
      </c>
      <c r="Q188">
        <v>-0.018141868026322</v>
      </c>
      <c r="R188" t="s">
        <v>780</v>
      </c>
      <c r="S188" t="s">
        <v>785</v>
      </c>
      <c r="T188">
        <v>214521.17147</v>
      </c>
      <c r="U188" s="2">
        <v>44496</v>
      </c>
      <c r="V188" t="s">
        <v>796</v>
      </c>
    </row>
    <row r="189" spans="1:22">
      <c r="A189" s="1" t="s">
        <v>209</v>
      </c>
      <c r="B189">
        <f>HYPERLINK("https://www.suredividend.com/sure-analysis-RDEIY/","Red Electrica Corporacion S.A.")</f>
        <v>0</v>
      </c>
      <c r="C189">
        <v>10.72</v>
      </c>
      <c r="D189">
        <v>10.5</v>
      </c>
      <c r="E189">
        <v>1.020952380952381</v>
      </c>
      <c r="F189">
        <v>0.05597014925373134</v>
      </c>
      <c r="G189">
        <v>-0.004138592021765031</v>
      </c>
      <c r="H189">
        <v>0.05</v>
      </c>
      <c r="I189">
        <v>0.09523571940347519</v>
      </c>
      <c r="J189" t="s">
        <v>777</v>
      </c>
      <c r="K189" t="s">
        <v>776</v>
      </c>
      <c r="L189">
        <v>1.75</v>
      </c>
      <c r="M189">
        <v>0.6</v>
      </c>
      <c r="N189">
        <v>0.3428571428571429</v>
      </c>
      <c r="O189">
        <v>5</v>
      </c>
      <c r="P189">
        <v>0.05115774595007161</v>
      </c>
      <c r="Q189">
        <v>0.038874903175832</v>
      </c>
      <c r="R189" t="s">
        <v>780</v>
      </c>
      <c r="S189" t="s">
        <v>792</v>
      </c>
      <c r="T189">
        <v>11611.03572</v>
      </c>
      <c r="U189" s="2">
        <v>44500</v>
      </c>
      <c r="V189" t="s">
        <v>796</v>
      </c>
    </row>
    <row r="190" spans="1:22">
      <c r="A190" s="1" t="s">
        <v>210</v>
      </c>
      <c r="B190">
        <f>HYPERLINK("https://www.suredividend.com/sure-analysis-LMT/","Lockheed Martin Corp.")</f>
        <v>0</v>
      </c>
      <c r="C190">
        <v>353.58</v>
      </c>
      <c r="D190">
        <v>359</v>
      </c>
      <c r="E190">
        <v>0.9849025069637882</v>
      </c>
      <c r="F190">
        <v>0.03167599977374286</v>
      </c>
      <c r="G190">
        <v>0.003047157256131694</v>
      </c>
      <c r="H190">
        <v>0.06</v>
      </c>
      <c r="I190">
        <v>0.09196902549900821</v>
      </c>
      <c r="J190" t="s">
        <v>777</v>
      </c>
      <c r="K190" t="s">
        <v>777</v>
      </c>
      <c r="L190">
        <v>22.45</v>
      </c>
      <c r="M190">
        <v>11.2</v>
      </c>
      <c r="N190">
        <v>0.4988864142538975</v>
      </c>
      <c r="O190">
        <v>20</v>
      </c>
      <c r="P190">
        <v>0.06810541783933033</v>
      </c>
      <c r="Q190">
        <v>0.031345304899989</v>
      </c>
      <c r="R190" t="s">
        <v>780</v>
      </c>
      <c r="S190" t="s">
        <v>786</v>
      </c>
      <c r="T190">
        <v>97702.86209900001</v>
      </c>
      <c r="U190" s="2">
        <v>44502</v>
      </c>
      <c r="V190" t="s">
        <v>801</v>
      </c>
    </row>
    <row r="191" spans="1:22">
      <c r="A191" s="1" t="s">
        <v>211</v>
      </c>
      <c r="B191">
        <f>HYPERLINK("https://www.suredividend.com/sure-analysis-CMI/","Cummins Inc.")</f>
        <v>0</v>
      </c>
      <c r="C191">
        <v>217.84</v>
      </c>
      <c r="D191">
        <v>207</v>
      </c>
      <c r="E191">
        <v>1.052367149758454</v>
      </c>
      <c r="F191">
        <v>0.02662504590525156</v>
      </c>
      <c r="G191">
        <v>-0.01015648204657171</v>
      </c>
      <c r="H191">
        <v>0.08</v>
      </c>
      <c r="I191">
        <v>0.09169961538171378</v>
      </c>
      <c r="J191" t="s">
        <v>777</v>
      </c>
      <c r="K191" t="s">
        <v>777</v>
      </c>
      <c r="L191">
        <v>15.92</v>
      </c>
      <c r="M191">
        <v>5.8</v>
      </c>
      <c r="N191">
        <v>0.364321608040201</v>
      </c>
      <c r="O191">
        <v>16</v>
      </c>
      <c r="P191">
        <v>0.0499309672496191</v>
      </c>
      <c r="Q191">
        <v>0.005345263381429001</v>
      </c>
      <c r="R191" t="s">
        <v>780</v>
      </c>
      <c r="S191" t="s">
        <v>786</v>
      </c>
      <c r="T191">
        <v>31283.925795</v>
      </c>
      <c r="U191" s="2">
        <v>44502</v>
      </c>
      <c r="V191" t="s">
        <v>796</v>
      </c>
    </row>
    <row r="192" spans="1:22">
      <c r="A192" s="1" t="s">
        <v>212</v>
      </c>
      <c r="B192">
        <f>HYPERLINK("https://www.suredividend.com/sure-analysis-SLF/","Sun Life Financial, Inc.")</f>
        <v>0</v>
      </c>
      <c r="C192">
        <v>55.16</v>
      </c>
      <c r="D192">
        <v>53</v>
      </c>
      <c r="E192">
        <v>1.040754716981132</v>
      </c>
      <c r="F192">
        <v>0.03190717911530094</v>
      </c>
      <c r="G192">
        <v>-0.007957398813190575</v>
      </c>
      <c r="H192">
        <v>0.07000000000000001</v>
      </c>
      <c r="I192">
        <v>0.09160529787283589</v>
      </c>
      <c r="J192" t="s">
        <v>777</v>
      </c>
      <c r="K192" t="s">
        <v>777</v>
      </c>
      <c r="L192">
        <v>4.8</v>
      </c>
      <c r="M192">
        <v>1.76</v>
      </c>
      <c r="N192">
        <v>0.3666666666666667</v>
      </c>
      <c r="O192">
        <v>6</v>
      </c>
      <c r="P192">
        <v>0.08033244512790017</v>
      </c>
      <c r="Q192">
        <v>0.297301631472948</v>
      </c>
      <c r="R192" t="s">
        <v>780</v>
      </c>
      <c r="S192" t="s">
        <v>789</v>
      </c>
      <c r="T192">
        <v>32227.809672</v>
      </c>
      <c r="U192" s="2">
        <v>44510</v>
      </c>
      <c r="V192" t="s">
        <v>797</v>
      </c>
    </row>
    <row r="193" spans="1:22">
      <c r="A193" s="1" t="s">
        <v>213</v>
      </c>
      <c r="B193">
        <f>HYPERLINK("https://www.suredividend.com/sure-analysis-NJR/","New Jersey Resources Corporation")</f>
        <v>0</v>
      </c>
      <c r="C193">
        <v>40.97</v>
      </c>
      <c r="D193">
        <v>42</v>
      </c>
      <c r="E193">
        <v>0.9754761904761905</v>
      </c>
      <c r="F193">
        <v>0.03539175006102026</v>
      </c>
      <c r="G193">
        <v>0.004978255888278493</v>
      </c>
      <c r="H193">
        <v>0.055</v>
      </c>
      <c r="I193">
        <v>0.09140150465087249</v>
      </c>
      <c r="J193" t="s">
        <v>777</v>
      </c>
      <c r="K193" t="s">
        <v>777</v>
      </c>
      <c r="L193">
        <v>2.25</v>
      </c>
      <c r="M193">
        <v>1.45</v>
      </c>
      <c r="N193">
        <v>0.6444444444444444</v>
      </c>
      <c r="O193">
        <v>25</v>
      </c>
      <c r="P193">
        <v>0.05554589164848389</v>
      </c>
      <c r="Q193">
        <v>0.215906909434575</v>
      </c>
      <c r="R193" t="s">
        <v>780</v>
      </c>
      <c r="S193" t="s">
        <v>792</v>
      </c>
      <c r="T193">
        <v>3950.225106</v>
      </c>
      <c r="U193" s="2">
        <v>44532</v>
      </c>
      <c r="V193" t="s">
        <v>802</v>
      </c>
    </row>
    <row r="194" spans="1:22">
      <c r="A194" s="1" t="s">
        <v>214</v>
      </c>
      <c r="B194">
        <f>HYPERLINK("https://www.suredividend.com/sure-analysis-TDS/","Telephone And Data Systems, Inc.")</f>
        <v>0</v>
      </c>
      <c r="C194">
        <v>20.37</v>
      </c>
      <c r="D194">
        <v>25</v>
      </c>
      <c r="E194">
        <v>0.8148000000000001</v>
      </c>
      <c r="F194">
        <v>0.03436426116838488</v>
      </c>
      <c r="G194">
        <v>0.04181305654131129</v>
      </c>
      <c r="H194">
        <v>0.02</v>
      </c>
      <c r="I194">
        <v>0.09058246651955382</v>
      </c>
      <c r="J194" t="s">
        <v>777</v>
      </c>
      <c r="K194" t="s">
        <v>776</v>
      </c>
      <c r="L194">
        <v>0.93</v>
      </c>
      <c r="M194">
        <v>0.7</v>
      </c>
      <c r="N194">
        <v>0.7526881720430106</v>
      </c>
      <c r="O194">
        <v>45</v>
      </c>
      <c r="P194">
        <v>0.02962100943384161</v>
      </c>
      <c r="Q194">
        <v>0.14315863524446</v>
      </c>
      <c r="R194" t="s">
        <v>780</v>
      </c>
      <c r="S194" t="s">
        <v>784</v>
      </c>
      <c r="T194">
        <v>2163.75133</v>
      </c>
      <c r="U194" s="2">
        <v>44515</v>
      </c>
      <c r="V194" t="s">
        <v>802</v>
      </c>
    </row>
    <row r="195" spans="1:22">
      <c r="A195" s="1" t="s">
        <v>215</v>
      </c>
      <c r="B195">
        <f>HYPERLINK("https://www.suredividend.com/sure-analysis-EVRG/","Evergy Inc")</f>
        <v>0</v>
      </c>
      <c r="C195">
        <v>68.43000000000001</v>
      </c>
      <c r="D195">
        <v>65</v>
      </c>
      <c r="E195">
        <v>1.052769230769231</v>
      </c>
      <c r="F195">
        <v>0.03346485459593745</v>
      </c>
      <c r="G195">
        <v>-0.01023210319636947</v>
      </c>
      <c r="H195">
        <v>0.07000000000000001</v>
      </c>
      <c r="I195">
        <v>0.09020922469413617</v>
      </c>
      <c r="J195" t="s">
        <v>777</v>
      </c>
      <c r="K195" t="s">
        <v>777</v>
      </c>
      <c r="L195">
        <v>3.55</v>
      </c>
      <c r="M195">
        <v>2.29</v>
      </c>
      <c r="N195">
        <v>0.6450704225352113</v>
      </c>
      <c r="O195">
        <v>17</v>
      </c>
      <c r="P195">
        <v>0.07318952131901812</v>
      </c>
      <c r="Q195">
        <v>0.314761755804737</v>
      </c>
      <c r="R195" t="s">
        <v>780</v>
      </c>
      <c r="S195" t="s">
        <v>792</v>
      </c>
      <c r="T195">
        <v>15709.527977</v>
      </c>
      <c r="U195" s="2">
        <v>44508</v>
      </c>
      <c r="V195" t="s">
        <v>803</v>
      </c>
    </row>
    <row r="196" spans="1:22">
      <c r="A196" s="1" t="s">
        <v>216</v>
      </c>
      <c r="B196">
        <f>HYPERLINK("https://www.suredividend.com/sure-analysis-TD/","Toronto Dominion Bank")</f>
        <v>0</v>
      </c>
      <c r="C196">
        <v>76.3</v>
      </c>
      <c r="D196">
        <v>77</v>
      </c>
      <c r="E196">
        <v>0.9909090909090909</v>
      </c>
      <c r="F196">
        <v>0.036435124508519</v>
      </c>
      <c r="G196">
        <v>0.001828165773798629</v>
      </c>
      <c r="H196">
        <v>0.055</v>
      </c>
      <c r="I196">
        <v>0.08972048815779976</v>
      </c>
      <c r="J196" t="s">
        <v>777</v>
      </c>
      <c r="K196" t="s">
        <v>776</v>
      </c>
      <c r="L196">
        <v>6.29</v>
      </c>
      <c r="M196">
        <v>2.78</v>
      </c>
      <c r="N196">
        <v>0.4419713831478537</v>
      </c>
      <c r="O196">
        <v>9</v>
      </c>
      <c r="P196">
        <v>0.0599847785013683</v>
      </c>
      <c r="Q196">
        <v>0.393978758244673</v>
      </c>
      <c r="R196" t="s">
        <v>780</v>
      </c>
      <c r="S196" t="s">
        <v>789</v>
      </c>
      <c r="T196">
        <v>138965.427537</v>
      </c>
      <c r="U196" s="2">
        <v>44548</v>
      </c>
      <c r="V196" t="s">
        <v>804</v>
      </c>
    </row>
    <row r="197" spans="1:22">
      <c r="A197" s="1" t="s">
        <v>217</v>
      </c>
      <c r="B197">
        <f>HYPERLINK("https://www.suredividend.com/sure-analysis-BNS/","Bank Of Nova Scotia")</f>
        <v>0</v>
      </c>
      <c r="C197">
        <v>71.73</v>
      </c>
      <c r="D197">
        <v>72</v>
      </c>
      <c r="E197">
        <v>0.9962500000000001</v>
      </c>
      <c r="F197">
        <v>0.04363585668479018</v>
      </c>
      <c r="G197">
        <v>0.0007516921545909216</v>
      </c>
      <c r="H197">
        <v>0.05</v>
      </c>
      <c r="I197">
        <v>0.08935402281230886</v>
      </c>
      <c r="J197" t="s">
        <v>777</v>
      </c>
      <c r="K197" t="s">
        <v>776</v>
      </c>
      <c r="L197">
        <v>6.33</v>
      </c>
      <c r="M197">
        <v>3.13</v>
      </c>
      <c r="N197">
        <v>0.4944707740916272</v>
      </c>
      <c r="O197">
        <v>9</v>
      </c>
      <c r="P197">
        <v>0.0497495850210754</v>
      </c>
      <c r="Q197">
        <v>0.395190629135771</v>
      </c>
      <c r="R197" t="s">
        <v>780</v>
      </c>
      <c r="S197" t="s">
        <v>789</v>
      </c>
      <c r="T197">
        <v>86738.63901699999</v>
      </c>
      <c r="U197" s="2">
        <v>44530</v>
      </c>
      <c r="V197" t="s">
        <v>804</v>
      </c>
    </row>
    <row r="198" spans="1:22">
      <c r="A198" s="1" t="s">
        <v>218</v>
      </c>
      <c r="B198">
        <f>HYPERLINK("https://www.suredividend.com/sure-analysis-FOXA/","Fox Corporation")</f>
        <v>0</v>
      </c>
      <c r="C198">
        <v>37.53</v>
      </c>
      <c r="D198">
        <v>43</v>
      </c>
      <c r="E198">
        <v>0.8727906976744186</v>
      </c>
      <c r="F198">
        <v>0.01278976818545164</v>
      </c>
      <c r="G198">
        <v>0.02758552559113503</v>
      </c>
      <c r="H198">
        <v>0.05</v>
      </c>
      <c r="I198">
        <v>0.08824091827442304</v>
      </c>
      <c r="J198" t="s">
        <v>777</v>
      </c>
      <c r="K198" t="s">
        <v>346</v>
      </c>
      <c r="L198">
        <v>2.84</v>
      </c>
      <c r="M198">
        <v>0.48</v>
      </c>
      <c r="N198">
        <v>0.1690140845070423</v>
      </c>
      <c r="O198">
        <v>0</v>
      </c>
      <c r="P198">
        <v>0</v>
      </c>
      <c r="Q198">
        <v>0.2934386497184</v>
      </c>
      <c r="R198" t="s">
        <v>780</v>
      </c>
      <c r="S198" t="s">
        <v>784</v>
      </c>
      <c r="T198">
        <v>20450.510675</v>
      </c>
      <c r="U198" s="2">
        <v>44528</v>
      </c>
      <c r="V198" t="s">
        <v>798</v>
      </c>
    </row>
    <row r="199" spans="1:22">
      <c r="A199" s="1" t="s">
        <v>219</v>
      </c>
      <c r="B199">
        <f>HYPERLINK("https://www.suredividend.com/sure-analysis-YUM/","Yum Brands Inc.")</f>
        <v>0</v>
      </c>
      <c r="C199">
        <v>138.39</v>
      </c>
      <c r="D199">
        <v>113</v>
      </c>
      <c r="E199">
        <v>1.224690265486726</v>
      </c>
      <c r="F199">
        <v>0.01445191126526483</v>
      </c>
      <c r="G199">
        <v>-0.03972693619747991</v>
      </c>
      <c r="H199">
        <v>0.12</v>
      </c>
      <c r="I199">
        <v>0.08812505964693762</v>
      </c>
      <c r="J199" t="s">
        <v>777</v>
      </c>
      <c r="K199" t="s">
        <v>524</v>
      </c>
      <c r="L199">
        <v>4.65</v>
      </c>
      <c r="M199">
        <v>2</v>
      </c>
      <c r="N199">
        <v>0.4301075268817204</v>
      </c>
      <c r="O199">
        <v>4</v>
      </c>
      <c r="P199">
        <v>0.0602809527753625</v>
      </c>
      <c r="Q199">
        <v>0.288115817088668</v>
      </c>
      <c r="R199" t="s">
        <v>780</v>
      </c>
      <c r="S199" t="s">
        <v>788</v>
      </c>
      <c r="T199">
        <v>40645.836062</v>
      </c>
      <c r="U199" s="2">
        <v>44510</v>
      </c>
      <c r="V199" t="s">
        <v>803</v>
      </c>
    </row>
    <row r="200" spans="1:22">
      <c r="A200" s="1" t="s">
        <v>220</v>
      </c>
      <c r="B200">
        <f>HYPERLINK("https://www.suredividend.com/sure-analysis-BIP/","Brookfield Infrastructure Partners L.P")</f>
        <v>0</v>
      </c>
      <c r="C200">
        <v>60.18</v>
      </c>
      <c r="D200">
        <v>56</v>
      </c>
      <c r="E200">
        <v>1.074642857142857</v>
      </c>
      <c r="F200">
        <v>0.03389830508474576</v>
      </c>
      <c r="G200">
        <v>-0.01429452519271079</v>
      </c>
      <c r="H200">
        <v>0.07000000000000001</v>
      </c>
      <c r="I200">
        <v>0.08735215792057049</v>
      </c>
      <c r="J200" t="s">
        <v>777</v>
      </c>
      <c r="K200" t="s">
        <v>777</v>
      </c>
      <c r="L200">
        <v>3.5</v>
      </c>
      <c r="M200">
        <v>2.04</v>
      </c>
      <c r="N200">
        <v>0.5828571428571429</v>
      </c>
      <c r="O200">
        <v>12</v>
      </c>
      <c r="P200">
        <v>0.0801851873035635</v>
      </c>
      <c r="Q200">
        <v>0.256041068825369</v>
      </c>
      <c r="R200" t="s">
        <v>781</v>
      </c>
      <c r="S200" t="s">
        <v>792</v>
      </c>
      <c r="T200">
        <v>17767.159418</v>
      </c>
      <c r="U200" s="2">
        <v>44506</v>
      </c>
      <c r="V200" t="s">
        <v>804</v>
      </c>
    </row>
    <row r="201" spans="1:22">
      <c r="A201" s="1" t="s">
        <v>221</v>
      </c>
      <c r="B201">
        <f>HYPERLINK("https://www.suredividend.com/sure-analysis-KDP/","Keurig Dr Pepper Inc")</f>
        <v>0</v>
      </c>
      <c r="C201">
        <v>36.68</v>
      </c>
      <c r="D201">
        <v>32</v>
      </c>
      <c r="E201">
        <v>1.14625</v>
      </c>
      <c r="F201">
        <v>0.01935659760087241</v>
      </c>
      <c r="G201">
        <v>-0.02692989488886111</v>
      </c>
      <c r="H201">
        <v>0.1</v>
      </c>
      <c r="I201">
        <v>0.08700839263739724</v>
      </c>
      <c r="J201" t="s">
        <v>777</v>
      </c>
      <c r="K201" t="s">
        <v>346</v>
      </c>
      <c r="L201">
        <v>1.6</v>
      </c>
      <c r="M201">
        <v>0.71</v>
      </c>
      <c r="N201">
        <v>0.44375</v>
      </c>
      <c r="O201">
        <v>1</v>
      </c>
      <c r="P201">
        <v>0.05088842545712402</v>
      </c>
      <c r="Q201">
        <v>0.165985605273391</v>
      </c>
      <c r="R201" t="s">
        <v>780</v>
      </c>
      <c r="S201" t="s">
        <v>791</v>
      </c>
      <c r="T201">
        <v>51869.035109</v>
      </c>
      <c r="U201" s="2">
        <v>44530</v>
      </c>
      <c r="V201" t="s">
        <v>801</v>
      </c>
    </row>
    <row r="202" spans="1:22">
      <c r="A202" s="1" t="s">
        <v>222</v>
      </c>
      <c r="B202">
        <f>HYPERLINK("https://www.suredividend.com/sure-analysis-MSM/","MSC Industrial Direct Co., Inc.")</f>
        <v>0</v>
      </c>
      <c r="C202">
        <v>83.94</v>
      </c>
      <c r="D202">
        <v>86</v>
      </c>
      <c r="E202">
        <v>0.9760465116279069</v>
      </c>
      <c r="F202">
        <v>0.03573981415296641</v>
      </c>
      <c r="G202">
        <v>0.004860783132712765</v>
      </c>
      <c r="H202">
        <v>0.05</v>
      </c>
      <c r="I202">
        <v>0.0866322722827495</v>
      </c>
      <c r="J202" t="s">
        <v>777</v>
      </c>
      <c r="K202" t="s">
        <v>777</v>
      </c>
      <c r="L202">
        <v>5.55</v>
      </c>
      <c r="M202">
        <v>3</v>
      </c>
      <c r="N202">
        <v>0.5405405405405406</v>
      </c>
      <c r="O202">
        <v>16</v>
      </c>
      <c r="P202">
        <v>0.05006335758366887</v>
      </c>
      <c r="Q202">
        <v>0.041051469320528</v>
      </c>
      <c r="R202" t="s">
        <v>780</v>
      </c>
      <c r="S202" t="s">
        <v>786</v>
      </c>
      <c r="T202">
        <v>4013.217616</v>
      </c>
      <c r="U202" s="2">
        <v>44494</v>
      </c>
      <c r="V202" t="s">
        <v>802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115.71</v>
      </c>
      <c r="D203">
        <v>113</v>
      </c>
      <c r="E203">
        <v>1.023982300884956</v>
      </c>
      <c r="F203">
        <v>0.04338432287615591</v>
      </c>
      <c r="G203">
        <v>-0.004728633080277822</v>
      </c>
      <c r="H203">
        <v>0.05</v>
      </c>
      <c r="I203">
        <v>0.08529127350417154</v>
      </c>
      <c r="J203" t="s">
        <v>777</v>
      </c>
      <c r="K203" t="s">
        <v>776</v>
      </c>
      <c r="L203">
        <v>11.3</v>
      </c>
      <c r="M203">
        <v>5.02</v>
      </c>
      <c r="N203">
        <v>0.4442477876106194</v>
      </c>
      <c r="O203">
        <v>10</v>
      </c>
      <c r="P203">
        <v>0.06006650229087018</v>
      </c>
      <c r="Q203">
        <v>0.409179308611488</v>
      </c>
      <c r="R203" t="s">
        <v>780</v>
      </c>
      <c r="S203" t="s">
        <v>789</v>
      </c>
      <c r="T203">
        <v>52071.364307</v>
      </c>
      <c r="U203" s="2">
        <v>44548</v>
      </c>
      <c r="V203" t="s">
        <v>804</v>
      </c>
    </row>
    <row r="204" spans="1:22">
      <c r="A204" s="1" t="s">
        <v>224</v>
      </c>
      <c r="B204">
        <f>HYPERLINK("https://www.suredividend.com/sure-analysis-RBA/","Ritchie Bros Auctioneers Inc")</f>
        <v>0</v>
      </c>
      <c r="C204">
        <v>61.23</v>
      </c>
      <c r="D204">
        <v>53</v>
      </c>
      <c r="E204">
        <v>1.155283018867924</v>
      </c>
      <c r="F204">
        <v>0.01633186346562143</v>
      </c>
      <c r="G204">
        <v>-0.02845634002552577</v>
      </c>
      <c r="H204">
        <v>0.1</v>
      </c>
      <c r="I204">
        <v>0.0850056190338857</v>
      </c>
      <c r="J204" t="s">
        <v>777</v>
      </c>
      <c r="K204" t="s">
        <v>524</v>
      </c>
      <c r="L204">
        <v>1.6</v>
      </c>
      <c r="M204">
        <v>1</v>
      </c>
      <c r="N204">
        <v>0.625</v>
      </c>
      <c r="O204">
        <v>17</v>
      </c>
      <c r="P204">
        <v>0.09993032380125255</v>
      </c>
      <c r="Q204">
        <v>-0.09801245790504701</v>
      </c>
      <c r="R204" t="s">
        <v>780</v>
      </c>
      <c r="S204" t="s">
        <v>786</v>
      </c>
      <c r="T204">
        <v>6798.797821</v>
      </c>
      <c r="U204" s="2">
        <v>44515</v>
      </c>
      <c r="V204" t="s">
        <v>795</v>
      </c>
    </row>
    <row r="205" spans="1:22">
      <c r="A205" s="1" t="s">
        <v>225</v>
      </c>
      <c r="B205">
        <f>HYPERLINK("https://www.suredividend.com/sure-analysis-BR/","Broadridge Financial Solutions, Inc.")</f>
        <v>0</v>
      </c>
      <c r="C205">
        <v>182.87</v>
      </c>
      <c r="D205">
        <v>160</v>
      </c>
      <c r="E205">
        <v>1.1429375</v>
      </c>
      <c r="F205">
        <v>0.013999015694209</v>
      </c>
      <c r="G205">
        <v>-0.02636651072071139</v>
      </c>
      <c r="H205">
        <v>0.1</v>
      </c>
      <c r="I205">
        <v>0.08491486110857349</v>
      </c>
      <c r="J205" t="s">
        <v>777</v>
      </c>
      <c r="K205" t="s">
        <v>346</v>
      </c>
      <c r="L205">
        <v>6.39</v>
      </c>
      <c r="M205">
        <v>2.56</v>
      </c>
      <c r="N205">
        <v>0.4006259780907668</v>
      </c>
      <c r="O205">
        <v>13</v>
      </c>
      <c r="P205">
        <v>0.09984491222048941</v>
      </c>
      <c r="Q205">
        <v>0.228472726980133</v>
      </c>
      <c r="R205" t="s">
        <v>780</v>
      </c>
      <c r="S205" t="s">
        <v>787</v>
      </c>
      <c r="T205">
        <v>21358.267838</v>
      </c>
      <c r="U205" s="2">
        <v>44512</v>
      </c>
      <c r="V205" t="s">
        <v>802</v>
      </c>
    </row>
    <row r="206" spans="1:22">
      <c r="A206" s="1" t="s">
        <v>226</v>
      </c>
      <c r="B206">
        <f>HYPERLINK("https://www.suredividend.com/sure-analysis-IMO/","Imperial Oil Ltd.")</f>
        <v>0</v>
      </c>
      <c r="C206">
        <v>35.18</v>
      </c>
      <c r="D206">
        <v>39</v>
      </c>
      <c r="E206">
        <v>0.902051282051282</v>
      </c>
      <c r="F206">
        <v>0.02359295054007959</v>
      </c>
      <c r="G206">
        <v>0.02083077529287691</v>
      </c>
      <c r="H206">
        <v>0.04</v>
      </c>
      <c r="I206">
        <v>0.08354689108140412</v>
      </c>
      <c r="J206" t="s">
        <v>777</v>
      </c>
      <c r="K206" t="s">
        <v>777</v>
      </c>
      <c r="L206">
        <v>2.8</v>
      </c>
      <c r="M206">
        <v>0.83</v>
      </c>
      <c r="N206">
        <v>0.2964285714285714</v>
      </c>
      <c r="O206">
        <v>6</v>
      </c>
      <c r="P206">
        <v>0.06924192562875131</v>
      </c>
      <c r="Q206">
        <v>0.9079752286605901</v>
      </c>
      <c r="R206" t="s">
        <v>780</v>
      </c>
      <c r="S206" t="s">
        <v>793</v>
      </c>
      <c r="T206">
        <v>24272.906434</v>
      </c>
      <c r="U206" s="2">
        <v>44502</v>
      </c>
      <c r="V206" t="s">
        <v>803</v>
      </c>
    </row>
    <row r="207" spans="1:22">
      <c r="A207" s="1" t="s">
        <v>227</v>
      </c>
      <c r="B207">
        <f>HYPERLINK("https://www.suredividend.com/sure-analysis-ORI/","Old Republic International Corp.")</f>
        <v>0</v>
      </c>
      <c r="C207">
        <v>24.6</v>
      </c>
      <c r="D207">
        <v>35</v>
      </c>
      <c r="E207">
        <v>0.7028571428571428</v>
      </c>
      <c r="F207">
        <v>0.03577235772357723</v>
      </c>
      <c r="G207">
        <v>0.07306637789920822</v>
      </c>
      <c r="H207">
        <v>-0.02</v>
      </c>
      <c r="I207">
        <v>0.08349486773008663</v>
      </c>
      <c r="J207" t="s">
        <v>777</v>
      </c>
      <c r="K207" t="s">
        <v>777</v>
      </c>
      <c r="L207">
        <v>2.9</v>
      </c>
      <c r="M207">
        <v>0.88</v>
      </c>
      <c r="N207">
        <v>0.303448275862069</v>
      </c>
      <c r="O207">
        <v>40</v>
      </c>
      <c r="P207">
        <v>0.04941452284458392</v>
      </c>
      <c r="Q207">
        <v>0.482367220876922</v>
      </c>
      <c r="R207" t="s">
        <v>780</v>
      </c>
      <c r="S207" t="s">
        <v>789</v>
      </c>
      <c r="T207">
        <v>7573.905468</v>
      </c>
      <c r="U207" s="2">
        <v>44518</v>
      </c>
      <c r="V207" t="s">
        <v>800</v>
      </c>
    </row>
    <row r="208" spans="1:22">
      <c r="A208" s="1" t="s">
        <v>228</v>
      </c>
      <c r="B208">
        <f>HYPERLINK("https://www.suredividend.com/sure-analysis-CDUAF/","Canadian Utilities Ltd.")</f>
        <v>0</v>
      </c>
      <c r="C208">
        <v>28.79</v>
      </c>
      <c r="D208">
        <v>29</v>
      </c>
      <c r="E208">
        <v>0.9927586206896551</v>
      </c>
      <c r="F208">
        <v>0.04897533865925668</v>
      </c>
      <c r="G208">
        <v>0.001454601981142778</v>
      </c>
      <c r="H208">
        <v>0.04</v>
      </c>
      <c r="I208">
        <v>0.08300289737975275</v>
      </c>
      <c r="J208" t="s">
        <v>777</v>
      </c>
      <c r="K208" t="s">
        <v>776</v>
      </c>
      <c r="L208">
        <v>1.8</v>
      </c>
      <c r="M208">
        <v>1.41</v>
      </c>
      <c r="N208">
        <v>0.7833333333333332</v>
      </c>
      <c r="O208">
        <v>49</v>
      </c>
      <c r="P208">
        <v>0.02560510523091319</v>
      </c>
      <c r="Q208">
        <v>0.185022391773096</v>
      </c>
      <c r="R208" t="s">
        <v>780</v>
      </c>
      <c r="S208" t="s">
        <v>792</v>
      </c>
      <c r="T208">
        <v>5616.537135</v>
      </c>
      <c r="U208" s="2">
        <v>44502</v>
      </c>
      <c r="V208" t="s">
        <v>795</v>
      </c>
    </row>
    <row r="209" spans="1:22">
      <c r="A209" s="1" t="s">
        <v>229</v>
      </c>
      <c r="B209">
        <f>HYPERLINK("https://www.suredividend.com/sure-analysis-GILD/","Gilead Sciences, Inc.")</f>
        <v>0</v>
      </c>
      <c r="C209">
        <v>73.36</v>
      </c>
      <c r="D209">
        <v>80</v>
      </c>
      <c r="E209">
        <v>0.917</v>
      </c>
      <c r="F209">
        <v>0.03871319520174482</v>
      </c>
      <c r="G209">
        <v>0.0174805893483545</v>
      </c>
      <c r="H209">
        <v>0.03</v>
      </c>
      <c r="I209">
        <v>0.08282348433355025</v>
      </c>
      <c r="J209" t="s">
        <v>777</v>
      </c>
      <c r="K209" t="s">
        <v>776</v>
      </c>
      <c r="L209">
        <v>8</v>
      </c>
      <c r="M209">
        <v>2.84</v>
      </c>
      <c r="N209">
        <v>0.355</v>
      </c>
      <c r="O209">
        <v>6</v>
      </c>
      <c r="P209">
        <v>0.049731056540673</v>
      </c>
      <c r="Q209">
        <v>0.351148035477727</v>
      </c>
      <c r="R209" t="s">
        <v>780</v>
      </c>
      <c r="S209" t="s">
        <v>785</v>
      </c>
      <c r="T209">
        <v>92372.80256</v>
      </c>
      <c r="U209" s="2">
        <v>44509</v>
      </c>
      <c r="V209" t="s">
        <v>797</v>
      </c>
    </row>
    <row r="210" spans="1:22">
      <c r="A210" s="1" t="s">
        <v>230</v>
      </c>
      <c r="B210">
        <f>HYPERLINK("https://www.suredividend.com/sure-analysis-PB/","Prosperity Bancshares Inc.")</f>
        <v>0</v>
      </c>
      <c r="C210">
        <v>72.34999999999999</v>
      </c>
      <c r="D210">
        <v>82</v>
      </c>
      <c r="E210">
        <v>0.8823170731707316</v>
      </c>
      <c r="F210">
        <v>0.02874913614374568</v>
      </c>
      <c r="G210">
        <v>0.02535691202834167</v>
      </c>
      <c r="H210">
        <v>0.03</v>
      </c>
      <c r="I210">
        <v>0.08226164456086282</v>
      </c>
      <c r="J210" t="s">
        <v>777</v>
      </c>
      <c r="K210" t="s">
        <v>777</v>
      </c>
      <c r="L210">
        <v>5.75</v>
      </c>
      <c r="M210">
        <v>2.08</v>
      </c>
      <c r="N210">
        <v>0.3617391304347826</v>
      </c>
      <c r="O210">
        <v>18</v>
      </c>
      <c r="P210">
        <v>0.05820339229333826</v>
      </c>
      <c r="Q210">
        <v>0.08612682483796201</v>
      </c>
      <c r="R210" t="s">
        <v>780</v>
      </c>
      <c r="S210" t="s">
        <v>789</v>
      </c>
      <c r="T210">
        <v>6701.313878</v>
      </c>
      <c r="U210" s="2">
        <v>44498</v>
      </c>
      <c r="V210" t="s">
        <v>803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214.25</v>
      </c>
      <c r="D211">
        <v>231</v>
      </c>
      <c r="E211">
        <v>0.9274891774891775</v>
      </c>
      <c r="F211">
        <v>0.02651108518086348</v>
      </c>
      <c r="G211">
        <v>0.01516872540897696</v>
      </c>
      <c r="H211">
        <v>0.04</v>
      </c>
      <c r="I211">
        <v>0.0815345292182077</v>
      </c>
      <c r="J211" t="s">
        <v>777</v>
      </c>
      <c r="K211" t="s">
        <v>777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0.317909725699694</v>
      </c>
      <c r="R211" t="s">
        <v>780</v>
      </c>
      <c r="S211" t="s">
        <v>786</v>
      </c>
      <c r="T211">
        <v>11679.374271</v>
      </c>
      <c r="U211" s="2">
        <v>44498</v>
      </c>
      <c r="V211" t="s">
        <v>800</v>
      </c>
    </row>
    <row r="212" spans="1:22">
      <c r="A212" s="1" t="s">
        <v>232</v>
      </c>
      <c r="B212">
        <f>HYPERLINK("https://www.suredividend.com/sure-analysis-FTS/","Fortis Inc.")</f>
        <v>0</v>
      </c>
      <c r="C212">
        <v>47.96</v>
      </c>
      <c r="D212">
        <v>45</v>
      </c>
      <c r="E212">
        <v>1.065777777777778</v>
      </c>
      <c r="F212">
        <v>0.03523769808173478</v>
      </c>
      <c r="G212">
        <v>-0.0126601455605273</v>
      </c>
      <c r="H212">
        <v>0.06</v>
      </c>
      <c r="I212">
        <v>0.07952450386732557</v>
      </c>
      <c r="J212" t="s">
        <v>777</v>
      </c>
      <c r="K212" t="s">
        <v>776</v>
      </c>
      <c r="L212">
        <v>2.14</v>
      </c>
      <c r="M212">
        <v>1.69</v>
      </c>
      <c r="N212">
        <v>0.7897196261682242</v>
      </c>
      <c r="O212">
        <v>48</v>
      </c>
      <c r="P212">
        <v>0.05984986030460782</v>
      </c>
      <c r="Q212">
        <v>0.209373402893387</v>
      </c>
      <c r="R212" t="s">
        <v>780</v>
      </c>
      <c r="S212" t="s">
        <v>792</v>
      </c>
      <c r="T212">
        <v>22604.430377</v>
      </c>
      <c r="U212" s="2">
        <v>44505</v>
      </c>
      <c r="V212" t="s">
        <v>804</v>
      </c>
    </row>
    <row r="213" spans="1:22">
      <c r="A213" s="1" t="s">
        <v>233</v>
      </c>
      <c r="B213">
        <f>HYPERLINK("https://www.suredividend.com/sure-analysis-POR/","Portland General Electric Co")</f>
        <v>0</v>
      </c>
      <c r="C213">
        <v>52.72</v>
      </c>
      <c r="D213">
        <v>52</v>
      </c>
      <c r="E213">
        <v>1.013846153846154</v>
      </c>
      <c r="F213">
        <v>0.03262518968133536</v>
      </c>
      <c r="G213">
        <v>-0.002746455892799871</v>
      </c>
      <c r="H213">
        <v>0.05</v>
      </c>
      <c r="I213">
        <v>0.07769347355672118</v>
      </c>
      <c r="J213" t="s">
        <v>777</v>
      </c>
      <c r="K213" t="s">
        <v>777</v>
      </c>
      <c r="L213">
        <v>2.78</v>
      </c>
      <c r="M213">
        <v>1.72</v>
      </c>
      <c r="N213">
        <v>0.6187050359712231</v>
      </c>
      <c r="O213">
        <v>14</v>
      </c>
      <c r="P213">
        <v>0.05983895403096029</v>
      </c>
      <c r="Q213">
        <v>0.313916838254105</v>
      </c>
      <c r="R213" t="s">
        <v>780</v>
      </c>
      <c r="S213" t="s">
        <v>792</v>
      </c>
      <c r="T213">
        <v>4729.768528</v>
      </c>
      <c r="U213" s="2">
        <v>44498</v>
      </c>
      <c r="V213" t="s">
        <v>802</v>
      </c>
    </row>
    <row r="214" spans="1:22">
      <c r="A214" s="1" t="s">
        <v>234</v>
      </c>
      <c r="B214">
        <f>HYPERLINK("https://www.suredividend.com/sure-analysis-PBCT/","People`s United Financial Inc")</f>
        <v>0</v>
      </c>
      <c r="C214">
        <v>17.7</v>
      </c>
      <c r="D214">
        <v>18</v>
      </c>
      <c r="E214">
        <v>0.9833333333333333</v>
      </c>
      <c r="F214">
        <v>0.04124293785310734</v>
      </c>
      <c r="G214">
        <v>0.003367079583337151</v>
      </c>
      <c r="H214">
        <v>0.04</v>
      </c>
      <c r="I214">
        <v>0.07742402666819159</v>
      </c>
      <c r="J214" t="s">
        <v>777</v>
      </c>
      <c r="K214" t="s">
        <v>776</v>
      </c>
      <c r="L214">
        <v>1.33</v>
      </c>
      <c r="M214">
        <v>0.73</v>
      </c>
      <c r="N214">
        <v>0.5488721804511277</v>
      </c>
      <c r="O214">
        <v>29</v>
      </c>
      <c r="P214">
        <v>0.01333804570728625</v>
      </c>
      <c r="Q214">
        <v>0.4748702889524951</v>
      </c>
      <c r="R214" t="s">
        <v>780</v>
      </c>
      <c r="S214" t="s">
        <v>789</v>
      </c>
      <c r="T214">
        <v>7652.997761</v>
      </c>
      <c r="U214" s="2">
        <v>44495</v>
      </c>
      <c r="V214" t="s">
        <v>803</v>
      </c>
    </row>
    <row r="215" spans="1:22">
      <c r="A215" s="1" t="s">
        <v>235</v>
      </c>
      <c r="B215">
        <f>HYPERLINK("https://www.suredividend.com/sure-analysis-BAH/","Booz Allen Hamilton Holding Corp")</f>
        <v>0</v>
      </c>
      <c r="C215">
        <v>85</v>
      </c>
      <c r="D215">
        <v>76</v>
      </c>
      <c r="E215">
        <v>1.118421052631579</v>
      </c>
      <c r="F215">
        <v>0.01741176470588235</v>
      </c>
      <c r="G215">
        <v>-0.02213492955040208</v>
      </c>
      <c r="H215">
        <v>0.08</v>
      </c>
      <c r="I215">
        <v>0.07530892269633904</v>
      </c>
      <c r="J215" t="s">
        <v>777</v>
      </c>
      <c r="K215" t="s">
        <v>346</v>
      </c>
      <c r="L215">
        <v>4.2</v>
      </c>
      <c r="M215">
        <v>1.48</v>
      </c>
      <c r="N215">
        <v>0.3523809523809524</v>
      </c>
      <c r="O215">
        <v>10</v>
      </c>
      <c r="P215">
        <v>0.1201489042708301</v>
      </c>
      <c r="Q215">
        <v>-0.00639189714167</v>
      </c>
      <c r="R215" t="s">
        <v>780</v>
      </c>
      <c r="S215" t="s">
        <v>787</v>
      </c>
      <c r="T215">
        <v>11403.978192</v>
      </c>
      <c r="U215" s="2">
        <v>44508</v>
      </c>
      <c r="V215" t="s">
        <v>801</v>
      </c>
    </row>
    <row r="216" spans="1:22">
      <c r="A216" s="1" t="s">
        <v>236</v>
      </c>
      <c r="B216">
        <f>HYPERLINK("https://www.suredividend.com/sure-analysis-CHRW/","C.H. Robinson Worldwide, Inc.")</f>
        <v>0</v>
      </c>
      <c r="C216">
        <v>107.09</v>
      </c>
      <c r="D216">
        <v>100</v>
      </c>
      <c r="E216">
        <v>1.0709</v>
      </c>
      <c r="F216">
        <v>0.02054346811093473</v>
      </c>
      <c r="G216">
        <v>-0.01360646696805679</v>
      </c>
      <c r="H216">
        <v>0.07000000000000001</v>
      </c>
      <c r="I216">
        <v>0.07283241990800149</v>
      </c>
      <c r="J216" t="s">
        <v>777</v>
      </c>
      <c r="K216" t="s">
        <v>777</v>
      </c>
      <c r="L216">
        <v>5.55</v>
      </c>
      <c r="M216">
        <v>2.2</v>
      </c>
      <c r="N216">
        <v>0.3963963963963965</v>
      </c>
      <c r="O216">
        <v>22</v>
      </c>
      <c r="P216">
        <v>0.02753251148110025</v>
      </c>
      <c r="Q216">
        <v>0.177925789140098</v>
      </c>
      <c r="R216" t="s">
        <v>780</v>
      </c>
      <c r="S216" t="s">
        <v>786</v>
      </c>
      <c r="T216">
        <v>13963.253168</v>
      </c>
      <c r="U216" s="2">
        <v>44495</v>
      </c>
      <c r="V216" t="s">
        <v>798</v>
      </c>
    </row>
    <row r="217" spans="1:22">
      <c r="A217" s="1" t="s">
        <v>237</v>
      </c>
      <c r="B217">
        <f>HYPERLINK("https://www.suredividend.com/sure-analysis-CIO/","City Office REIT Inc")</f>
        <v>0</v>
      </c>
      <c r="C217">
        <v>19.65</v>
      </c>
      <c r="D217">
        <v>14.8</v>
      </c>
      <c r="E217">
        <v>1.327702702702703</v>
      </c>
      <c r="F217">
        <v>0.03053435114503817</v>
      </c>
      <c r="G217">
        <v>-0.05511309085201754</v>
      </c>
      <c r="H217">
        <v>0.1</v>
      </c>
      <c r="I217">
        <v>0.07243170149772649</v>
      </c>
      <c r="J217" t="s">
        <v>777</v>
      </c>
      <c r="K217" t="s">
        <v>777</v>
      </c>
      <c r="L217">
        <v>1.31</v>
      </c>
      <c r="M217">
        <v>0.6</v>
      </c>
      <c r="N217">
        <v>0.4580152671755725</v>
      </c>
      <c r="O217">
        <v>0</v>
      </c>
      <c r="P217">
        <v>0.1008397341583922</v>
      </c>
      <c r="Q217">
        <v>1.121208851677222</v>
      </c>
      <c r="R217" t="s">
        <v>782</v>
      </c>
      <c r="S217" t="s">
        <v>794</v>
      </c>
      <c r="T217">
        <v>856.279013</v>
      </c>
      <c r="U217" s="2">
        <v>44513</v>
      </c>
      <c r="V217" t="s">
        <v>795</v>
      </c>
    </row>
    <row r="218" spans="1:22">
      <c r="A218" s="1" t="s">
        <v>238</v>
      </c>
      <c r="B218">
        <f>HYPERLINK("https://www.suredividend.com/sure-analysis-XOM/","Exxon Mobil Corp.")</f>
        <v>0</v>
      </c>
      <c r="C218">
        <v>60.79</v>
      </c>
      <c r="D218">
        <v>65</v>
      </c>
      <c r="E218">
        <v>0.9352307692307692</v>
      </c>
      <c r="F218">
        <v>0.05790426056917256</v>
      </c>
      <c r="G218">
        <v>0.01348247340931086</v>
      </c>
      <c r="H218">
        <v>0.01</v>
      </c>
      <c r="I218">
        <v>0.0722340688903278</v>
      </c>
      <c r="J218" t="s">
        <v>777</v>
      </c>
      <c r="K218" t="s">
        <v>776</v>
      </c>
      <c r="L218">
        <v>5</v>
      </c>
      <c r="M218">
        <v>3.52</v>
      </c>
      <c r="N218">
        <v>0.704</v>
      </c>
      <c r="O218">
        <v>39</v>
      </c>
      <c r="P218">
        <v>0.004504686905032917</v>
      </c>
      <c r="Q218">
        <v>0.57281638301101</v>
      </c>
      <c r="R218" t="s">
        <v>780</v>
      </c>
      <c r="S218" t="s">
        <v>793</v>
      </c>
      <c r="T218">
        <v>258882.612205</v>
      </c>
      <c r="U218" s="2">
        <v>44501</v>
      </c>
      <c r="V218" t="s">
        <v>803</v>
      </c>
    </row>
    <row r="219" spans="1:22">
      <c r="A219" s="1" t="s">
        <v>239</v>
      </c>
      <c r="B219">
        <f>HYPERLINK("https://www.suredividend.com/sure-analysis-TXN/","Texas Instruments Inc.")</f>
        <v>0</v>
      </c>
      <c r="C219">
        <v>189.41</v>
      </c>
      <c r="D219">
        <v>162</v>
      </c>
      <c r="E219">
        <v>1.169197530864198</v>
      </c>
      <c r="F219">
        <v>0.02428594055224117</v>
      </c>
      <c r="G219">
        <v>-0.03077987769441981</v>
      </c>
      <c r="H219">
        <v>0.08</v>
      </c>
      <c r="I219">
        <v>0.07191631551607092</v>
      </c>
      <c r="J219" t="s">
        <v>777</v>
      </c>
      <c r="K219" t="s">
        <v>346</v>
      </c>
      <c r="L219">
        <v>8.1</v>
      </c>
      <c r="M219">
        <v>4.6</v>
      </c>
      <c r="N219">
        <v>0.5679012345679012</v>
      </c>
      <c r="O219">
        <v>18</v>
      </c>
      <c r="P219">
        <v>0.09007175117662958</v>
      </c>
      <c r="Q219">
        <v>0.211679777692544</v>
      </c>
      <c r="R219" t="s">
        <v>780</v>
      </c>
      <c r="S219" t="s">
        <v>787</v>
      </c>
      <c r="T219">
        <v>176218.005028</v>
      </c>
      <c r="U219" s="2">
        <v>44504</v>
      </c>
      <c r="V219" t="s">
        <v>797</v>
      </c>
    </row>
    <row r="220" spans="1:22">
      <c r="A220" s="1" t="s">
        <v>240</v>
      </c>
      <c r="B220">
        <f>HYPERLINK("https://www.suredividend.com/sure-analysis-EMN/","Eastman Chemical Co")</f>
        <v>0</v>
      </c>
      <c r="C220">
        <v>119.7</v>
      </c>
      <c r="D220">
        <v>120</v>
      </c>
      <c r="E220">
        <v>0.9975000000000001</v>
      </c>
      <c r="F220">
        <v>0.02305764411027569</v>
      </c>
      <c r="G220">
        <v>0.0005007513777557371</v>
      </c>
      <c r="H220">
        <v>0.05</v>
      </c>
      <c r="I220">
        <v>0.07161964063351545</v>
      </c>
      <c r="J220" t="s">
        <v>777</v>
      </c>
      <c r="K220" t="s">
        <v>777</v>
      </c>
      <c r="L220">
        <v>8.9</v>
      </c>
      <c r="M220">
        <v>2.76</v>
      </c>
      <c r="N220">
        <v>0.3101123595505618</v>
      </c>
      <c r="O220">
        <v>11</v>
      </c>
      <c r="P220">
        <v>0.04984870359842875</v>
      </c>
      <c r="Q220">
        <v>0.245621630131055</v>
      </c>
      <c r="R220" t="s">
        <v>780</v>
      </c>
      <c r="S220" t="s">
        <v>790</v>
      </c>
      <c r="T220">
        <v>16169.132355</v>
      </c>
      <c r="U220" s="2">
        <v>44502</v>
      </c>
      <c r="V220" t="s">
        <v>795</v>
      </c>
    </row>
    <row r="221" spans="1:22">
      <c r="A221" s="1" t="s">
        <v>241</v>
      </c>
      <c r="B221">
        <f>HYPERLINK("https://www.suredividend.com/sure-analysis-MDLZ/","Mondelez International Inc.")</f>
        <v>0</v>
      </c>
      <c r="C221">
        <v>65.75</v>
      </c>
      <c r="D221">
        <v>57</v>
      </c>
      <c r="E221">
        <v>1.153508771929824</v>
      </c>
      <c r="F221">
        <v>0.02129277566539924</v>
      </c>
      <c r="G221">
        <v>-0.02815765156515349</v>
      </c>
      <c r="H221">
        <v>0.08</v>
      </c>
      <c r="I221">
        <v>0.07095489186487658</v>
      </c>
      <c r="J221" t="s">
        <v>777</v>
      </c>
      <c r="K221" t="s">
        <v>346</v>
      </c>
      <c r="L221">
        <v>2.85</v>
      </c>
      <c r="M221">
        <v>1.4</v>
      </c>
      <c r="N221">
        <v>0.4912280701754386</v>
      </c>
      <c r="O221">
        <v>8</v>
      </c>
      <c r="P221">
        <v>0.08030860883184343</v>
      </c>
      <c r="Q221">
        <v>0.160328885143699</v>
      </c>
      <c r="R221" t="s">
        <v>780</v>
      </c>
      <c r="S221" t="s">
        <v>791</v>
      </c>
      <c r="T221">
        <v>92584.300401</v>
      </c>
      <c r="U221" s="2">
        <v>44514</v>
      </c>
      <c r="V221" t="s">
        <v>804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17.47</v>
      </c>
      <c r="D222">
        <v>18</v>
      </c>
      <c r="E222">
        <v>0.9705555555555555</v>
      </c>
      <c r="F222">
        <v>0.02518603319977104</v>
      </c>
      <c r="G222">
        <v>0.005995226614252003</v>
      </c>
      <c r="H222">
        <v>0.04</v>
      </c>
      <c r="I222">
        <v>0.0687786599503093</v>
      </c>
      <c r="J222" t="s">
        <v>777</v>
      </c>
      <c r="K222" t="s">
        <v>777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-0.04118616144975201</v>
      </c>
      <c r="R222" t="s">
        <v>780</v>
      </c>
      <c r="S222" t="s">
        <v>791</v>
      </c>
      <c r="T222">
        <v>62359.425989</v>
      </c>
      <c r="U222" s="2">
        <v>44497</v>
      </c>
      <c r="V222" t="s">
        <v>806</v>
      </c>
    </row>
    <row r="223" spans="1:22">
      <c r="A223" s="1" t="s">
        <v>243</v>
      </c>
      <c r="B223">
        <f>HYPERLINK("https://www.suredividend.com/sure-analysis-UHT/","Universal Health Realty Income Trust")</f>
        <v>0</v>
      </c>
      <c r="C223">
        <v>59.5</v>
      </c>
      <c r="D223">
        <v>60</v>
      </c>
      <c r="E223">
        <v>0.9916666666666667</v>
      </c>
      <c r="F223">
        <v>0.04705882352941176</v>
      </c>
      <c r="G223">
        <v>0.001675051267825856</v>
      </c>
      <c r="H223">
        <v>0.027</v>
      </c>
      <c r="I223">
        <v>0.06875289754940317</v>
      </c>
      <c r="J223" t="s">
        <v>777</v>
      </c>
      <c r="K223" t="s">
        <v>776</v>
      </c>
      <c r="L223">
        <v>3.5</v>
      </c>
      <c r="M223">
        <v>2.8</v>
      </c>
      <c r="N223">
        <v>0.7999999999999999</v>
      </c>
      <c r="O223">
        <v>37</v>
      </c>
      <c r="P223">
        <v>0.009805797673485328</v>
      </c>
      <c r="Q223">
        <v>-0.028828893399229</v>
      </c>
      <c r="R223" t="s">
        <v>782</v>
      </c>
      <c r="S223" t="s">
        <v>794</v>
      </c>
      <c r="T223">
        <v>821.826643</v>
      </c>
      <c r="U223" s="2">
        <v>44531</v>
      </c>
      <c r="V223" t="s">
        <v>805</v>
      </c>
    </row>
    <row r="224" spans="1:22">
      <c r="A224" s="1" t="s">
        <v>244</v>
      </c>
      <c r="B224">
        <f>HYPERLINK("https://www.suredividend.com/sure-analysis-HD/","Home Depot, Inc.")</f>
        <v>0</v>
      </c>
      <c r="C224">
        <v>409.94</v>
      </c>
      <c r="D224">
        <v>341</v>
      </c>
      <c r="E224">
        <v>1.20217008797654</v>
      </c>
      <c r="F224">
        <v>0.01609991706103332</v>
      </c>
      <c r="G224">
        <v>-0.03615584853726728</v>
      </c>
      <c r="H224">
        <v>0.09</v>
      </c>
      <c r="I224">
        <v>0.06728765582742291</v>
      </c>
      <c r="J224" t="s">
        <v>777</v>
      </c>
      <c r="K224" t="s">
        <v>346</v>
      </c>
      <c r="L224">
        <v>15.48</v>
      </c>
      <c r="M224">
        <v>6.6</v>
      </c>
      <c r="N224">
        <v>0.4263565891472868</v>
      </c>
      <c r="O224">
        <v>12</v>
      </c>
      <c r="P224">
        <v>0.08989440052011655</v>
      </c>
      <c r="Q224">
        <v>0.5756517243614301</v>
      </c>
      <c r="R224" t="s">
        <v>780</v>
      </c>
      <c r="S224" t="s">
        <v>788</v>
      </c>
      <c r="T224">
        <v>429015.223479</v>
      </c>
      <c r="U224" s="2">
        <v>44530</v>
      </c>
      <c r="V224" t="s">
        <v>802</v>
      </c>
    </row>
    <row r="225" spans="1:22">
      <c r="A225" s="1" t="s">
        <v>245</v>
      </c>
      <c r="B225">
        <f>HYPERLINK("https://www.suredividend.com/sure-analysis-FLO/","Flowers Foods, Inc.")</f>
        <v>0</v>
      </c>
      <c r="C225">
        <v>27.42</v>
      </c>
      <c r="D225">
        <v>25</v>
      </c>
      <c r="E225">
        <v>1.0968</v>
      </c>
      <c r="F225">
        <v>0.03063457330415754</v>
      </c>
      <c r="G225">
        <v>-0.01830967320155186</v>
      </c>
      <c r="H225">
        <v>0.05</v>
      </c>
      <c r="I225">
        <v>0.06062781145363005</v>
      </c>
      <c r="J225" t="s">
        <v>777</v>
      </c>
      <c r="K225" t="s">
        <v>777</v>
      </c>
      <c r="L225">
        <v>1.24</v>
      </c>
      <c r="M225">
        <v>0.84</v>
      </c>
      <c r="N225">
        <v>0.6774193548387096</v>
      </c>
      <c r="O225">
        <v>19</v>
      </c>
      <c r="P225">
        <v>0.05154749679728043</v>
      </c>
      <c r="Q225">
        <v>0.246134213741082</v>
      </c>
      <c r="R225" t="s">
        <v>780</v>
      </c>
      <c r="S225" t="s">
        <v>791</v>
      </c>
      <c r="T225">
        <v>5800.672791</v>
      </c>
      <c r="U225" s="2">
        <v>44513</v>
      </c>
      <c r="V225" t="s">
        <v>799</v>
      </c>
    </row>
    <row r="226" spans="1:22">
      <c r="A226" s="1" t="s">
        <v>246</v>
      </c>
      <c r="B226">
        <f>HYPERLINK("https://www.suredividend.com/sure-analysis-UNH/","Unitedhealth Group Inc")</f>
        <v>0</v>
      </c>
      <c r="C226">
        <v>504.43</v>
      </c>
      <c r="D226">
        <v>358</v>
      </c>
      <c r="E226">
        <v>1.409022346368715</v>
      </c>
      <c r="F226">
        <v>0.01149812659833872</v>
      </c>
      <c r="G226">
        <v>-0.06628051068882268</v>
      </c>
      <c r="H226">
        <v>0.12</v>
      </c>
      <c r="I226">
        <v>0.05987115154299927</v>
      </c>
      <c r="J226" t="s">
        <v>777</v>
      </c>
      <c r="K226" t="s">
        <v>524</v>
      </c>
      <c r="L226">
        <v>18.65</v>
      </c>
      <c r="M226">
        <v>5.8</v>
      </c>
      <c r="N226">
        <v>0.3109919571045577</v>
      </c>
      <c r="O226">
        <v>12</v>
      </c>
      <c r="P226">
        <v>0.1400529846685179</v>
      </c>
      <c r="Q226">
        <v>0.4759998937331451</v>
      </c>
      <c r="R226" t="s">
        <v>780</v>
      </c>
      <c r="S226" t="s">
        <v>785</v>
      </c>
      <c r="T226">
        <v>476181.154975</v>
      </c>
      <c r="U226" s="2">
        <v>44491</v>
      </c>
      <c r="V226" t="s">
        <v>800</v>
      </c>
    </row>
    <row r="227" spans="1:22">
      <c r="A227" s="1" t="s">
        <v>247</v>
      </c>
      <c r="B227">
        <f>HYPERLINK("https://www.suredividend.com/sure-analysis-EIX/","Edison International")</f>
        <v>0</v>
      </c>
      <c r="C227">
        <v>67.63</v>
      </c>
      <c r="D227">
        <v>56.6</v>
      </c>
      <c r="E227">
        <v>1.194876325088339</v>
      </c>
      <c r="F227">
        <v>0.04140174478781606</v>
      </c>
      <c r="G227">
        <v>-0.0349820118776053</v>
      </c>
      <c r="H227">
        <v>0.058</v>
      </c>
      <c r="I227">
        <v>0.05862680181339996</v>
      </c>
      <c r="J227" t="s">
        <v>777</v>
      </c>
      <c r="K227" t="s">
        <v>776</v>
      </c>
      <c r="L227">
        <v>4.49</v>
      </c>
      <c r="M227">
        <v>2.8</v>
      </c>
      <c r="N227">
        <v>0.6236080178173719</v>
      </c>
      <c r="O227">
        <v>18</v>
      </c>
      <c r="P227">
        <v>0.02056514630321193</v>
      </c>
      <c r="Q227">
        <v>0.151233067504579</v>
      </c>
      <c r="R227" t="s">
        <v>780</v>
      </c>
      <c r="S227" t="s">
        <v>792</v>
      </c>
      <c r="T227">
        <v>25986.996444</v>
      </c>
      <c r="U227" s="2">
        <v>44509</v>
      </c>
      <c r="V227" t="s">
        <v>805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54.22</v>
      </c>
      <c r="D228">
        <v>54</v>
      </c>
      <c r="E228">
        <v>1.004074074074074</v>
      </c>
      <c r="F228">
        <v>0.03098487642936186</v>
      </c>
      <c r="G228">
        <v>-0.0008128289766575758</v>
      </c>
      <c r="H228">
        <v>0.03</v>
      </c>
      <c r="I228">
        <v>0.05775865335255403</v>
      </c>
      <c r="J228" t="s">
        <v>777</v>
      </c>
      <c r="K228" t="s">
        <v>776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0.128069837042752</v>
      </c>
      <c r="R228" t="s">
        <v>780</v>
      </c>
      <c r="S228" t="s">
        <v>789</v>
      </c>
      <c r="T228">
        <v>4610.823975</v>
      </c>
      <c r="U228" s="2">
        <v>44512</v>
      </c>
      <c r="V228" t="s">
        <v>800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63.93</v>
      </c>
      <c r="D229">
        <v>62</v>
      </c>
      <c r="E229">
        <v>1.031129032258064</v>
      </c>
      <c r="F229">
        <v>0.03628969185046144</v>
      </c>
      <c r="G229">
        <v>-0.00611211451217486</v>
      </c>
      <c r="H229">
        <v>0.03</v>
      </c>
      <c r="I229">
        <v>0.05753619160642587</v>
      </c>
      <c r="J229" t="s">
        <v>777</v>
      </c>
      <c r="K229" t="s">
        <v>777</v>
      </c>
      <c r="L229">
        <v>4.15</v>
      </c>
      <c r="M229">
        <v>2.32</v>
      </c>
      <c r="N229">
        <v>0.5590361445783132</v>
      </c>
      <c r="O229">
        <v>17</v>
      </c>
      <c r="P229">
        <v>0.03003707999335203</v>
      </c>
      <c r="Q229">
        <v>0.064521073818346</v>
      </c>
      <c r="R229" t="s">
        <v>780</v>
      </c>
      <c r="S229" t="s">
        <v>791</v>
      </c>
      <c r="T229">
        <v>21794.335884</v>
      </c>
      <c r="U229" s="2">
        <v>44526</v>
      </c>
      <c r="V229" t="s">
        <v>800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133.91</v>
      </c>
      <c r="D230">
        <v>114</v>
      </c>
      <c r="E230">
        <v>1.174649122807017</v>
      </c>
      <c r="F230">
        <v>0.04898812635352102</v>
      </c>
      <c r="G230">
        <v>-0.03168119006493142</v>
      </c>
      <c r="H230">
        <v>0.04</v>
      </c>
      <c r="I230">
        <v>0.05576107873097036</v>
      </c>
      <c r="J230" t="s">
        <v>777</v>
      </c>
      <c r="K230" t="s">
        <v>776</v>
      </c>
      <c r="L230">
        <v>10.32</v>
      </c>
      <c r="M230">
        <v>6.56</v>
      </c>
      <c r="N230">
        <v>0.6356589147286821</v>
      </c>
      <c r="O230">
        <v>26</v>
      </c>
      <c r="P230">
        <v>0.03996760299438673</v>
      </c>
      <c r="Q230">
        <v>0.131334966776844</v>
      </c>
      <c r="R230" t="s">
        <v>780</v>
      </c>
      <c r="S230" t="s">
        <v>787</v>
      </c>
      <c r="T230">
        <v>119524.281735</v>
      </c>
      <c r="U230" s="2">
        <v>44494</v>
      </c>
      <c r="V230" t="s">
        <v>801</v>
      </c>
    </row>
    <row r="231" spans="1:22">
      <c r="A231" s="1" t="s">
        <v>251</v>
      </c>
      <c r="B231">
        <f>HYPERLINK("https://www.suredividend.com/sure-analysis-LNT/","Alliant Energy Corp.")</f>
        <v>0</v>
      </c>
      <c r="C231">
        <v>61.45</v>
      </c>
      <c r="D231">
        <v>53</v>
      </c>
      <c r="E231">
        <v>1.159433962264151</v>
      </c>
      <c r="F231">
        <v>0.02620016273393002</v>
      </c>
      <c r="G231">
        <v>-0.02915299210684785</v>
      </c>
      <c r="H231">
        <v>0.06</v>
      </c>
      <c r="I231">
        <v>0.05557966324908481</v>
      </c>
      <c r="J231" t="s">
        <v>777</v>
      </c>
      <c r="K231" t="s">
        <v>777</v>
      </c>
      <c r="L231">
        <v>2.63</v>
      </c>
      <c r="M231">
        <v>1.61</v>
      </c>
      <c r="N231">
        <v>0.6121673003802282</v>
      </c>
      <c r="O231">
        <v>18</v>
      </c>
      <c r="P231">
        <v>0.05955258842469102</v>
      </c>
      <c r="Q231">
        <v>0.246779001230253</v>
      </c>
      <c r="R231" t="s">
        <v>780</v>
      </c>
      <c r="S231" t="s">
        <v>792</v>
      </c>
      <c r="T231">
        <v>15293.25758</v>
      </c>
      <c r="U231" s="2">
        <v>44513</v>
      </c>
      <c r="V231" t="s">
        <v>798</v>
      </c>
    </row>
    <row r="232" spans="1:22">
      <c r="A232" s="1" t="s">
        <v>252</v>
      </c>
      <c r="B232">
        <f>HYPERLINK("https://www.suredividend.com/sure-analysis-EQIX/","Equinix Inc")</f>
        <v>0</v>
      </c>
      <c r="C232">
        <v>845.49</v>
      </c>
      <c r="D232">
        <v>638</v>
      </c>
      <c r="E232">
        <v>1.325219435736677</v>
      </c>
      <c r="F232">
        <v>0.01357792522679157</v>
      </c>
      <c r="G232">
        <v>-0.05475924006610777</v>
      </c>
      <c r="H232">
        <v>0.1</v>
      </c>
      <c r="I232">
        <v>0.05492027648839937</v>
      </c>
      <c r="J232" t="s">
        <v>777</v>
      </c>
      <c r="K232" t="s">
        <v>524</v>
      </c>
      <c r="L232">
        <v>27.14</v>
      </c>
      <c r="M232">
        <v>11.48</v>
      </c>
      <c r="N232">
        <v>0.4229918938835667</v>
      </c>
      <c r="O232">
        <v>5</v>
      </c>
      <c r="P232">
        <v>0.1000160063233719</v>
      </c>
      <c r="Q232">
        <v>0.206427997382538</v>
      </c>
      <c r="R232" t="s">
        <v>782</v>
      </c>
      <c r="S232" t="s">
        <v>794</v>
      </c>
      <c r="T232">
        <v>75814.69040000001</v>
      </c>
      <c r="U232" s="2">
        <v>44505</v>
      </c>
      <c r="V232" t="s">
        <v>802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49.55</v>
      </c>
      <c r="D233">
        <v>45</v>
      </c>
      <c r="E233">
        <v>1.101111111111111</v>
      </c>
      <c r="F233">
        <v>0.01574167507568113</v>
      </c>
      <c r="G233">
        <v>-0.01907958999465642</v>
      </c>
      <c r="H233">
        <v>0.06</v>
      </c>
      <c r="I233">
        <v>0.05415892698457325</v>
      </c>
      <c r="J233" t="s">
        <v>777</v>
      </c>
      <c r="K233" t="s">
        <v>524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0.06832855906244401</v>
      </c>
      <c r="R233" t="s">
        <v>780</v>
      </c>
      <c r="S233" t="s">
        <v>792</v>
      </c>
      <c r="T233">
        <v>648.547099</v>
      </c>
      <c r="U233" s="2">
        <v>44507</v>
      </c>
      <c r="V233" t="s">
        <v>795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32.49</v>
      </c>
      <c r="D234">
        <v>28.6</v>
      </c>
      <c r="E234">
        <v>1.136013986013986</v>
      </c>
      <c r="F234">
        <v>0.02000615574022776</v>
      </c>
      <c r="G234">
        <v>-0.025182618322663</v>
      </c>
      <c r="H234">
        <v>0.06</v>
      </c>
      <c r="I234">
        <v>0.05347760183415073</v>
      </c>
      <c r="J234" t="s">
        <v>777</v>
      </c>
      <c r="K234" t="s">
        <v>346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0.341829947279386</v>
      </c>
      <c r="R234" t="s">
        <v>780</v>
      </c>
      <c r="S234" t="s">
        <v>784</v>
      </c>
      <c r="T234">
        <v>63223.449836</v>
      </c>
      <c r="U234" s="2">
        <v>44411</v>
      </c>
      <c r="V234" t="s">
        <v>795</v>
      </c>
    </row>
    <row r="235" spans="1:22">
      <c r="A235" s="1" t="s">
        <v>255</v>
      </c>
      <c r="B235">
        <f>HYPERLINK("https://www.suredividend.com/sure-analysis-WEYS/","Weyco Group, Inc")</f>
        <v>0</v>
      </c>
      <c r="C235">
        <v>23.17</v>
      </c>
      <c r="D235">
        <v>23</v>
      </c>
      <c r="E235">
        <v>1.007391304347826</v>
      </c>
      <c r="F235">
        <v>0.04315925766076823</v>
      </c>
      <c r="G235">
        <v>-0.001471740429300761</v>
      </c>
      <c r="H235">
        <v>0.01</v>
      </c>
      <c r="I235">
        <v>0.05172918164458529</v>
      </c>
      <c r="J235" t="s">
        <v>777</v>
      </c>
      <c r="K235" t="s">
        <v>776</v>
      </c>
      <c r="L235">
        <v>1.5</v>
      </c>
      <c r="M235">
        <v>1</v>
      </c>
      <c r="N235">
        <v>0.6666666666666666</v>
      </c>
      <c r="O235">
        <v>39</v>
      </c>
      <c r="P235">
        <v>0.04057159395880827</v>
      </c>
      <c r="Q235">
        <v>0.466407491594749</v>
      </c>
      <c r="R235" t="s">
        <v>780</v>
      </c>
      <c r="S235" t="s">
        <v>788</v>
      </c>
      <c r="T235">
        <v>225.819009</v>
      </c>
      <c r="U235" s="2">
        <v>44509</v>
      </c>
      <c r="V235" t="s">
        <v>801</v>
      </c>
    </row>
    <row r="236" spans="1:22">
      <c r="A236" s="1" t="s">
        <v>256</v>
      </c>
      <c r="B236">
        <f>HYPERLINK("https://www.suredividend.com/sure-analysis-CVX/","Chevron Corp.")</f>
        <v>0</v>
      </c>
      <c r="C236">
        <v>117.43</v>
      </c>
      <c r="D236">
        <v>122</v>
      </c>
      <c r="E236">
        <v>0.9625409836065575</v>
      </c>
      <c r="F236">
        <v>0.04564421357404411</v>
      </c>
      <c r="G236">
        <v>0.007664953173321276</v>
      </c>
      <c r="H236">
        <v>0</v>
      </c>
      <c r="I236">
        <v>0.04949796969029441</v>
      </c>
      <c r="J236" t="s">
        <v>777</v>
      </c>
      <c r="K236" t="s">
        <v>776</v>
      </c>
      <c r="L236">
        <v>8.699999999999999</v>
      </c>
      <c r="M236">
        <v>5.36</v>
      </c>
      <c r="N236">
        <v>0.6160919540229886</v>
      </c>
      <c r="O236">
        <v>34</v>
      </c>
      <c r="P236">
        <v>0.008799010229586735</v>
      </c>
      <c r="Q236">
        <v>0.446660599563855</v>
      </c>
      <c r="R236" t="s">
        <v>780</v>
      </c>
      <c r="S236" t="s">
        <v>793</v>
      </c>
      <c r="T236">
        <v>227370.554146</v>
      </c>
      <c r="U236" s="2">
        <v>44501</v>
      </c>
      <c r="V236" t="s">
        <v>803</v>
      </c>
    </row>
    <row r="237" spans="1:22">
      <c r="A237" s="1" t="s">
        <v>257</v>
      </c>
      <c r="B237">
        <f>HYPERLINK("https://www.suredividend.com/sure-analysis-ICE/","Intercontinental Exchange Inc")</f>
        <v>0</v>
      </c>
      <c r="C237">
        <v>136.78</v>
      </c>
      <c r="D237">
        <v>107</v>
      </c>
      <c r="E237">
        <v>1.278317757009346</v>
      </c>
      <c r="F237">
        <v>0.00965053370375786</v>
      </c>
      <c r="G237">
        <v>-0.0479226450018172</v>
      </c>
      <c r="H237">
        <v>0.09</v>
      </c>
      <c r="I237">
        <v>0.04935523979268019</v>
      </c>
      <c r="J237" t="s">
        <v>777</v>
      </c>
      <c r="K237" t="s">
        <v>524</v>
      </c>
      <c r="L237">
        <v>5.1</v>
      </c>
      <c r="M237">
        <v>1.32</v>
      </c>
      <c r="N237">
        <v>0.2588235294117647</v>
      </c>
      <c r="O237">
        <v>9</v>
      </c>
      <c r="P237">
        <v>0.1203569122523565</v>
      </c>
      <c r="Q237">
        <v>0.229005753688405</v>
      </c>
      <c r="R237" t="s">
        <v>780</v>
      </c>
      <c r="S237" t="s">
        <v>789</v>
      </c>
      <c r="T237">
        <v>77321.61107299999</v>
      </c>
      <c r="U237" s="2">
        <v>44522</v>
      </c>
      <c r="V237" t="s">
        <v>801</v>
      </c>
    </row>
    <row r="238" spans="1:22">
      <c r="A238" s="1" t="s">
        <v>258</v>
      </c>
      <c r="B238">
        <f>HYPERLINK("https://www.suredividend.com/sure-analysis-DE/","Deere &amp; Co.")</f>
        <v>0</v>
      </c>
      <c r="C238">
        <v>342.03</v>
      </c>
      <c r="D238">
        <v>370</v>
      </c>
      <c r="E238">
        <v>0.9244054054054053</v>
      </c>
      <c r="F238">
        <v>0.01227962459433383</v>
      </c>
      <c r="G238">
        <v>0.0158451342561674</v>
      </c>
      <c r="H238">
        <v>0.02</v>
      </c>
      <c r="I238">
        <v>0.04895165879532226</v>
      </c>
      <c r="J238" t="s">
        <v>777</v>
      </c>
      <c r="K238" t="s">
        <v>346</v>
      </c>
      <c r="L238">
        <v>21.75</v>
      </c>
      <c r="M238">
        <v>4.2</v>
      </c>
      <c r="N238">
        <v>0.1931034482758621</v>
      </c>
      <c r="O238">
        <v>1</v>
      </c>
      <c r="P238">
        <v>0.06997394153840619</v>
      </c>
      <c r="Q238">
        <v>0.317125952002682</v>
      </c>
      <c r="R238" t="s">
        <v>780</v>
      </c>
      <c r="S238" t="s">
        <v>786</v>
      </c>
      <c r="T238">
        <v>106273.77146</v>
      </c>
      <c r="U238" s="2">
        <v>44525</v>
      </c>
      <c r="V238" t="s">
        <v>799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116.24</v>
      </c>
      <c r="D239">
        <v>92</v>
      </c>
      <c r="E239">
        <v>1.263478260869565</v>
      </c>
      <c r="F239">
        <v>0.01686166551961459</v>
      </c>
      <c r="G239">
        <v>-0.04569665697022929</v>
      </c>
      <c r="H239">
        <v>0.08</v>
      </c>
      <c r="I239">
        <v>0.04892476686714398</v>
      </c>
      <c r="J239" t="s">
        <v>777</v>
      </c>
      <c r="K239" t="s">
        <v>346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0.119982908664325</v>
      </c>
      <c r="R239" t="s">
        <v>780</v>
      </c>
      <c r="S239" t="s">
        <v>788</v>
      </c>
      <c r="T239">
        <v>136537.016</v>
      </c>
      <c r="U239" s="2">
        <v>44504</v>
      </c>
      <c r="V239" t="s">
        <v>799</v>
      </c>
    </row>
    <row r="240" spans="1:22">
      <c r="A240" s="1" t="s">
        <v>260</v>
      </c>
      <c r="B240">
        <f>HYPERLINK("https://www.suredividend.com/sure-analysis-NEP/","NextEra Energy Partners LP")</f>
        <v>0</v>
      </c>
      <c r="C240">
        <v>83.37</v>
      </c>
      <c r="D240">
        <v>72.8</v>
      </c>
      <c r="E240">
        <v>1.145192307692308</v>
      </c>
      <c r="F240">
        <v>0.03286553916276838</v>
      </c>
      <c r="G240">
        <v>-0.02675021698840341</v>
      </c>
      <c r="H240">
        <v>0.039</v>
      </c>
      <c r="I240">
        <v>0.0480855637226707</v>
      </c>
      <c r="J240" t="s">
        <v>777</v>
      </c>
      <c r="K240" t="s">
        <v>777</v>
      </c>
      <c r="L240">
        <v>6.62</v>
      </c>
      <c r="M240">
        <v>2.74</v>
      </c>
      <c r="N240">
        <v>0.4138972809667674</v>
      </c>
      <c r="O240">
        <v>7</v>
      </c>
      <c r="P240">
        <v>0.07860365022909654</v>
      </c>
      <c r="Q240">
        <v>0.268184030708753</v>
      </c>
      <c r="R240" t="s">
        <v>781</v>
      </c>
      <c r="S240" t="s">
        <v>792</v>
      </c>
      <c r="T240">
        <v>6308.075449</v>
      </c>
      <c r="U240" s="2">
        <v>44494</v>
      </c>
      <c r="V240" t="s">
        <v>805</v>
      </c>
    </row>
    <row r="241" spans="1:22">
      <c r="A241" s="1" t="s">
        <v>261</v>
      </c>
      <c r="B241">
        <f>HYPERLINK("https://www.suredividend.com/sure-analysis-DTE/","DTE Energy Co.")</f>
        <v>0</v>
      </c>
      <c r="C241">
        <v>119.32</v>
      </c>
      <c r="D241">
        <v>102</v>
      </c>
      <c r="E241">
        <v>1.169803921568627</v>
      </c>
      <c r="F241">
        <v>0.02966811934294335</v>
      </c>
      <c r="G241">
        <v>-0.03088038137089144</v>
      </c>
      <c r="H241">
        <v>0.05</v>
      </c>
      <c r="I241">
        <v>0.04783866733386466</v>
      </c>
      <c r="J241" t="s">
        <v>777</v>
      </c>
      <c r="K241" t="s">
        <v>777</v>
      </c>
      <c r="L241">
        <v>6</v>
      </c>
      <c r="M241">
        <v>3.54</v>
      </c>
      <c r="N241">
        <v>0.59</v>
      </c>
      <c r="O241">
        <v>12</v>
      </c>
      <c r="P241">
        <v>0.05009123759249423</v>
      </c>
      <c r="Q241">
        <v>0.214989415404657</v>
      </c>
      <c r="R241" t="s">
        <v>780</v>
      </c>
      <c r="S241" t="s">
        <v>792</v>
      </c>
      <c r="T241">
        <v>23127.162448</v>
      </c>
      <c r="U241" s="2">
        <v>44498</v>
      </c>
      <c r="V241" t="s">
        <v>803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213.9</v>
      </c>
      <c r="D242">
        <v>191</v>
      </c>
      <c r="E242">
        <v>1.119895287958115</v>
      </c>
      <c r="F242">
        <v>0.01907433380084151</v>
      </c>
      <c r="G242">
        <v>-0.02239251844113654</v>
      </c>
      <c r="H242">
        <v>0.05</v>
      </c>
      <c r="I242">
        <v>0.04641774804124488</v>
      </c>
      <c r="J242" t="s">
        <v>777</v>
      </c>
      <c r="K242" t="s">
        <v>346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0.296915745802096</v>
      </c>
      <c r="R242" t="s">
        <v>780</v>
      </c>
      <c r="S242" t="s">
        <v>786</v>
      </c>
      <c r="T242">
        <v>185500.24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57.64</v>
      </c>
      <c r="D243">
        <v>57</v>
      </c>
      <c r="E243">
        <v>1.011228070175439</v>
      </c>
      <c r="F243">
        <v>0.02914642609299098</v>
      </c>
      <c r="G243">
        <v>-0.002230609145022711</v>
      </c>
      <c r="H243">
        <v>0.02</v>
      </c>
      <c r="I243">
        <v>0.04501782189314407</v>
      </c>
      <c r="J243" t="s">
        <v>777</v>
      </c>
      <c r="K243" t="s">
        <v>777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0.08912630050216501</v>
      </c>
      <c r="R243" t="s">
        <v>780</v>
      </c>
      <c r="S243" t="s">
        <v>789</v>
      </c>
      <c r="T243">
        <v>1549.368448</v>
      </c>
      <c r="U243" s="2">
        <v>44490</v>
      </c>
      <c r="V243" t="s">
        <v>796</v>
      </c>
    </row>
    <row r="244" spans="1:22">
      <c r="A244" s="1" t="s">
        <v>264</v>
      </c>
      <c r="B244">
        <f>HYPERLINK("https://www.suredividend.com/sure-analysis-SIEGY/","Siemens AG")</f>
        <v>0</v>
      </c>
      <c r="C244">
        <v>86.14</v>
      </c>
      <c r="D244">
        <v>74</v>
      </c>
      <c r="E244">
        <v>1.164054054054054</v>
      </c>
      <c r="F244">
        <v>0.02449500812630601</v>
      </c>
      <c r="G244">
        <v>-0.02992487039629699</v>
      </c>
      <c r="H244">
        <v>0.05</v>
      </c>
      <c r="I244">
        <v>0.04440836471490606</v>
      </c>
      <c r="J244" t="s">
        <v>777</v>
      </c>
      <c r="K244" t="s">
        <v>346</v>
      </c>
      <c r="L244">
        <v>4.6</v>
      </c>
      <c r="M244">
        <v>2.11</v>
      </c>
      <c r="N244">
        <v>0.4586956521739131</v>
      </c>
      <c r="O244">
        <v>0</v>
      </c>
      <c r="P244">
        <v>0.0597253677135221</v>
      </c>
      <c r="Q244">
        <v>0.202828874024526</v>
      </c>
      <c r="R244" t="s">
        <v>780</v>
      </c>
      <c r="S244" t="s">
        <v>786</v>
      </c>
      <c r="T244">
        <v>146735.5</v>
      </c>
      <c r="U244" s="2">
        <v>44513</v>
      </c>
      <c r="V244" t="s">
        <v>797</v>
      </c>
    </row>
    <row r="245" spans="1:22">
      <c r="A245" s="1" t="s">
        <v>265</v>
      </c>
      <c r="B245">
        <f>HYPERLINK("https://www.suredividend.com/sure-analysis-UVV/","Universal Corp.")</f>
        <v>0</v>
      </c>
      <c r="C245">
        <v>54.61</v>
      </c>
      <c r="D245">
        <v>48</v>
      </c>
      <c r="E245">
        <v>1.137708333333333</v>
      </c>
      <c r="F245">
        <v>0.05713239333455411</v>
      </c>
      <c r="G245">
        <v>-0.02547314340071793</v>
      </c>
      <c r="H245">
        <v>0.015</v>
      </c>
      <c r="I245">
        <v>0.04417699146295528</v>
      </c>
      <c r="J245" t="s">
        <v>777</v>
      </c>
      <c r="K245" t="s">
        <v>776</v>
      </c>
      <c r="L245">
        <v>4.4</v>
      </c>
      <c r="M245">
        <v>3.12</v>
      </c>
      <c r="N245">
        <v>0.7090909090909091</v>
      </c>
      <c r="O245">
        <v>50</v>
      </c>
      <c r="P245">
        <v>0.01005227214699711</v>
      </c>
      <c r="Q245">
        <v>0.19069726795058</v>
      </c>
      <c r="R245" t="s">
        <v>780</v>
      </c>
      <c r="S245" t="s">
        <v>791</v>
      </c>
      <c r="T245">
        <v>1341.102428</v>
      </c>
      <c r="U245" s="2">
        <v>44533</v>
      </c>
      <c r="V245" t="s">
        <v>797</v>
      </c>
    </row>
    <row r="246" spans="1:22">
      <c r="A246" s="1" t="s">
        <v>266</v>
      </c>
      <c r="B246">
        <f>HYPERLINK("https://www.suredividend.com/sure-analysis-KMB/","Kimberly-Clark Corp.")</f>
        <v>0</v>
      </c>
      <c r="C246">
        <v>141.52</v>
      </c>
      <c r="D246">
        <v>112</v>
      </c>
      <c r="E246">
        <v>1.263571428571429</v>
      </c>
      <c r="F246">
        <v>0.03222159412097229</v>
      </c>
      <c r="G246">
        <v>-0.04571073023426908</v>
      </c>
      <c r="H246">
        <v>0.06</v>
      </c>
      <c r="I246">
        <v>0.04399884143688282</v>
      </c>
      <c r="J246" t="s">
        <v>777</v>
      </c>
      <c r="K246" t="s">
        <v>776</v>
      </c>
      <c r="L246">
        <v>6.2</v>
      </c>
      <c r="M246">
        <v>4.56</v>
      </c>
      <c r="N246">
        <v>0.7354838709677418</v>
      </c>
      <c r="O246">
        <v>49</v>
      </c>
      <c r="P246">
        <v>0.03932663634209943</v>
      </c>
      <c r="Q246">
        <v>0.08809589004114901</v>
      </c>
      <c r="R246" t="s">
        <v>780</v>
      </c>
      <c r="S246" t="s">
        <v>791</v>
      </c>
      <c r="T246">
        <v>47500.627973</v>
      </c>
      <c r="U246" s="2">
        <v>44499</v>
      </c>
      <c r="V246" t="s">
        <v>800</v>
      </c>
    </row>
    <row r="247" spans="1:22">
      <c r="A247" s="1" t="s">
        <v>267</v>
      </c>
      <c r="B247">
        <f>HYPERLINK("https://www.suredividend.com/sure-analysis-RTX/","Raytheon Technologies Corporation")</f>
        <v>0</v>
      </c>
      <c r="C247">
        <v>85.8</v>
      </c>
      <c r="D247">
        <v>66</v>
      </c>
      <c r="E247">
        <v>1.3</v>
      </c>
      <c r="F247">
        <v>0.02377622377622378</v>
      </c>
      <c r="G247">
        <v>-0.05111991994525078</v>
      </c>
      <c r="H247">
        <v>0.07000000000000001</v>
      </c>
      <c r="I247">
        <v>0.04144851268803174</v>
      </c>
      <c r="J247" t="s">
        <v>777</v>
      </c>
      <c r="K247" t="s">
        <v>777</v>
      </c>
      <c r="L247">
        <v>4.15</v>
      </c>
      <c r="M247">
        <v>2.04</v>
      </c>
      <c r="N247">
        <v>0.4915662650602409</v>
      </c>
      <c r="O247">
        <v>27</v>
      </c>
      <c r="P247">
        <v>0.06990981876632385</v>
      </c>
      <c r="Q247">
        <v>0.250693494908546</v>
      </c>
      <c r="R247" t="s">
        <v>780</v>
      </c>
      <c r="S247" t="s">
        <v>786</v>
      </c>
      <c r="T247">
        <v>128558.24026</v>
      </c>
      <c r="U247" s="2">
        <v>44497</v>
      </c>
      <c r="V247" t="s">
        <v>799</v>
      </c>
    </row>
    <row r="248" spans="1:22">
      <c r="A248" s="1" t="s">
        <v>268</v>
      </c>
      <c r="B248">
        <f>HYPERLINK("https://www.suredividend.com/sure-analysis-DPZ/","Dominos Pizza Inc")</f>
        <v>0</v>
      </c>
      <c r="C248">
        <v>557.41</v>
      </c>
      <c r="D248">
        <v>370</v>
      </c>
      <c r="E248">
        <v>1.506513513513513</v>
      </c>
      <c r="F248">
        <v>0.0067454835758239</v>
      </c>
      <c r="G248">
        <v>-0.07869083031998492</v>
      </c>
      <c r="H248">
        <v>0.12</v>
      </c>
      <c r="I248">
        <v>0.04088407923164494</v>
      </c>
      <c r="J248" t="s">
        <v>777</v>
      </c>
      <c r="K248" t="s">
        <v>524</v>
      </c>
      <c r="L248">
        <v>13.9</v>
      </c>
      <c r="M248">
        <v>3.76</v>
      </c>
      <c r="N248">
        <v>0.2705035971223022</v>
      </c>
      <c r="O248">
        <v>8</v>
      </c>
      <c r="P248">
        <v>0.1480866941841668</v>
      </c>
      <c r="Q248">
        <v>0.475400245602722</v>
      </c>
      <c r="R248" t="s">
        <v>780</v>
      </c>
      <c r="S248" t="s">
        <v>788</v>
      </c>
      <c r="T248">
        <v>20463.923385</v>
      </c>
      <c r="U248" s="2">
        <v>44486</v>
      </c>
      <c r="V248" t="s">
        <v>803</v>
      </c>
    </row>
    <row r="249" spans="1:22">
      <c r="A249" s="1" t="s">
        <v>269</v>
      </c>
      <c r="B249">
        <f>HYPERLINK("https://www.suredividend.com/sure-analysis-SJM/","J.M. Smucker Co.")</f>
        <v>0</v>
      </c>
      <c r="C249">
        <v>135.34</v>
      </c>
      <c r="D249">
        <v>112</v>
      </c>
      <c r="E249">
        <v>1.208392857142857</v>
      </c>
      <c r="F249">
        <v>0.02925964238214866</v>
      </c>
      <c r="G249">
        <v>-0.0371505867081906</v>
      </c>
      <c r="H249">
        <v>0.05</v>
      </c>
      <c r="I249">
        <v>0.04074947185910416</v>
      </c>
      <c r="J249" t="s">
        <v>777</v>
      </c>
      <c r="K249" t="s">
        <v>777</v>
      </c>
      <c r="L249">
        <v>7</v>
      </c>
      <c r="M249">
        <v>3.96</v>
      </c>
      <c r="N249">
        <v>0.5657142857142857</v>
      </c>
      <c r="O249">
        <v>24</v>
      </c>
      <c r="P249">
        <v>0.04008868188296377</v>
      </c>
      <c r="Q249">
        <v>0.206854504801065</v>
      </c>
      <c r="R249" t="s">
        <v>780</v>
      </c>
      <c r="S249" t="s">
        <v>791</v>
      </c>
      <c r="T249">
        <v>14639.870482</v>
      </c>
      <c r="U249" s="2">
        <v>44525</v>
      </c>
      <c r="V249" t="s">
        <v>799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138.12</v>
      </c>
      <c r="D250">
        <v>107</v>
      </c>
      <c r="E250">
        <v>1.290841121495327</v>
      </c>
      <c r="F250">
        <v>0.01332174920359108</v>
      </c>
      <c r="G250">
        <v>-0.04977721144374092</v>
      </c>
      <c r="H250">
        <v>0.08</v>
      </c>
      <c r="I250">
        <v>0.04040642525748628</v>
      </c>
      <c r="J250" t="s">
        <v>777</v>
      </c>
      <c r="K250" t="s">
        <v>524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0.4819720507788831</v>
      </c>
      <c r="R250" t="s">
        <v>780</v>
      </c>
      <c r="S250" t="s">
        <v>786</v>
      </c>
      <c r="T250">
        <v>44206.185371</v>
      </c>
      <c r="U250" s="2">
        <v>44502</v>
      </c>
      <c r="V250" t="s">
        <v>795</v>
      </c>
    </row>
    <row r="251" spans="1:22">
      <c r="A251" s="1" t="s">
        <v>271</v>
      </c>
      <c r="B251">
        <f>HYPERLINK("https://www.suredividend.com/sure-analysis-CONE/","CyrusOne Inc")</f>
        <v>0</v>
      </c>
      <c r="C251">
        <v>89.66</v>
      </c>
      <c r="D251">
        <v>73</v>
      </c>
      <c r="E251">
        <v>1.228219178082192</v>
      </c>
      <c r="F251">
        <v>0.02319875083649342</v>
      </c>
      <c r="G251">
        <v>-0.04027938173461021</v>
      </c>
      <c r="H251">
        <v>0.06</v>
      </c>
      <c r="I251">
        <v>0.04028314007971479</v>
      </c>
      <c r="J251" t="s">
        <v>777</v>
      </c>
      <c r="K251" t="s">
        <v>346</v>
      </c>
      <c r="L251">
        <v>4.06</v>
      </c>
      <c r="M251">
        <v>2.08</v>
      </c>
      <c r="N251">
        <v>0.5123152709359606</v>
      </c>
      <c r="O251">
        <v>8</v>
      </c>
      <c r="P251">
        <v>0.03496752704080697</v>
      </c>
      <c r="Q251">
        <v>0.264411969224557</v>
      </c>
      <c r="R251" t="s">
        <v>782</v>
      </c>
      <c r="S251" t="s">
        <v>794</v>
      </c>
      <c r="T251">
        <v>11446.217721</v>
      </c>
      <c r="U251" s="2">
        <v>44500</v>
      </c>
      <c r="V251" t="s">
        <v>795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63.62</v>
      </c>
      <c r="D252">
        <v>51</v>
      </c>
      <c r="E252">
        <v>1.247450980392157</v>
      </c>
      <c r="F252">
        <v>0.02326312480352091</v>
      </c>
      <c r="G252">
        <v>-0.04325698046368398</v>
      </c>
      <c r="H252">
        <v>0.06</v>
      </c>
      <c r="I252">
        <v>0.03916002021262011</v>
      </c>
      <c r="J252" t="s">
        <v>777</v>
      </c>
      <c r="K252" t="s">
        <v>777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0.474809941823866</v>
      </c>
      <c r="R252" t="s">
        <v>780</v>
      </c>
      <c r="S252" t="s">
        <v>787</v>
      </c>
      <c r="T252">
        <v>269758.115258</v>
      </c>
      <c r="U252" s="2">
        <v>44518</v>
      </c>
      <c r="V252" t="s">
        <v>796</v>
      </c>
    </row>
    <row r="253" spans="1:22">
      <c r="A253" s="1" t="s">
        <v>273</v>
      </c>
      <c r="B253">
        <f>HYPERLINK("https://www.suredividend.com/sure-analysis-ARTNA/","Artesian Resources Corp.")</f>
        <v>0</v>
      </c>
      <c r="C253">
        <v>46.11</v>
      </c>
      <c r="D253">
        <v>44.6</v>
      </c>
      <c r="E253">
        <v>1.033856502242152</v>
      </c>
      <c r="F253">
        <v>0.02320537844285405</v>
      </c>
      <c r="G253">
        <v>-0.006637074118348352</v>
      </c>
      <c r="H253">
        <v>0.023</v>
      </c>
      <c r="I253">
        <v>0.03906907179294539</v>
      </c>
      <c r="J253" t="s">
        <v>777</v>
      </c>
      <c r="K253" t="s">
        <v>777</v>
      </c>
      <c r="L253">
        <v>2.23</v>
      </c>
      <c r="M253">
        <v>1.07</v>
      </c>
      <c r="N253">
        <v>0.4798206278026906</v>
      </c>
      <c r="O253">
        <v>24</v>
      </c>
      <c r="P253">
        <v>0.03158554278749115</v>
      </c>
      <c r="Q253">
        <v>0.288554489789678</v>
      </c>
      <c r="R253" t="s">
        <v>780</v>
      </c>
      <c r="S253" t="s">
        <v>792</v>
      </c>
      <c r="T253">
        <v>395.211443</v>
      </c>
      <c r="U253" s="2">
        <v>44509</v>
      </c>
      <c r="V253" t="s">
        <v>805</v>
      </c>
    </row>
    <row r="254" spans="1:22">
      <c r="A254" s="1" t="s">
        <v>274</v>
      </c>
      <c r="B254">
        <f>HYPERLINK("https://www.suredividend.com/sure-analysis-SPTN/","SpartanNash Co")</f>
        <v>0</v>
      </c>
      <c r="C254">
        <v>25.87</v>
      </c>
      <c r="D254">
        <v>21</v>
      </c>
      <c r="E254">
        <v>1.231904761904762</v>
      </c>
      <c r="F254">
        <v>0.03092385001932741</v>
      </c>
      <c r="G254">
        <v>-0.04085432412151013</v>
      </c>
      <c r="H254">
        <v>0.05</v>
      </c>
      <c r="I254">
        <v>0.03883435481480624</v>
      </c>
      <c r="J254" t="s">
        <v>777</v>
      </c>
      <c r="K254" t="s">
        <v>777</v>
      </c>
      <c r="L254">
        <v>1.78</v>
      </c>
      <c r="M254">
        <v>0.8</v>
      </c>
      <c r="N254">
        <v>0.4494382022471911</v>
      </c>
      <c r="O254">
        <v>10</v>
      </c>
      <c r="P254">
        <v>0.03928904495613805</v>
      </c>
      <c r="Q254">
        <v>0.587656800009677</v>
      </c>
      <c r="R254" t="s">
        <v>780</v>
      </c>
      <c r="S254" t="s">
        <v>791</v>
      </c>
      <c r="T254">
        <v>943.539398</v>
      </c>
      <c r="U254" s="2">
        <v>44513</v>
      </c>
      <c r="V254" t="s">
        <v>802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153.18</v>
      </c>
      <c r="D255">
        <v>120</v>
      </c>
      <c r="E255">
        <v>1.2765</v>
      </c>
      <c r="F255">
        <v>0.03133568350959655</v>
      </c>
      <c r="G255">
        <v>-0.04765164455685578</v>
      </c>
      <c r="H255">
        <v>0.057</v>
      </c>
      <c r="I255">
        <v>0.0381407237365321</v>
      </c>
      <c r="J255" t="s">
        <v>777</v>
      </c>
      <c r="K255" t="s">
        <v>777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0.282170754192639</v>
      </c>
      <c r="R255" t="s">
        <v>780</v>
      </c>
      <c r="S255" t="s">
        <v>789</v>
      </c>
      <c r="T255">
        <v>19830.291775</v>
      </c>
      <c r="U255" s="2">
        <v>44490</v>
      </c>
      <c r="V255" t="s">
        <v>796</v>
      </c>
    </row>
    <row r="256" spans="1:22">
      <c r="A256" s="1" t="s">
        <v>276</v>
      </c>
      <c r="B256">
        <f>HYPERLINK("https://www.suredividend.com/sure-analysis-AAP/","Advance Auto Parts Inc")</f>
        <v>0</v>
      </c>
      <c r="C256">
        <v>237.52</v>
      </c>
      <c r="D256">
        <v>204</v>
      </c>
      <c r="E256">
        <v>1.164313725490196</v>
      </c>
      <c r="F256">
        <v>0.01684068710003368</v>
      </c>
      <c r="G256">
        <v>-0.02996814451935592</v>
      </c>
      <c r="H256">
        <v>0.05</v>
      </c>
      <c r="I256">
        <v>0.0368397510954801</v>
      </c>
      <c r="J256" t="s">
        <v>777</v>
      </c>
      <c r="K256" t="s">
        <v>346</v>
      </c>
      <c r="L256">
        <v>12</v>
      </c>
      <c r="M256">
        <v>4</v>
      </c>
      <c r="N256">
        <v>0.3333333333333333</v>
      </c>
      <c r="O256">
        <v>2</v>
      </c>
      <c r="P256">
        <v>0.06498652656427617</v>
      </c>
      <c r="Q256">
        <v>0.562316685604427</v>
      </c>
      <c r="R256" t="s">
        <v>780</v>
      </c>
      <c r="S256" t="s">
        <v>788</v>
      </c>
      <c r="T256">
        <v>15029.468312</v>
      </c>
      <c r="U256" s="2">
        <v>44517</v>
      </c>
      <c r="V256" t="s">
        <v>799</v>
      </c>
    </row>
    <row r="257" spans="1:22">
      <c r="A257" s="1" t="s">
        <v>277</v>
      </c>
      <c r="B257">
        <f>HYPERLINK("https://www.suredividend.com/sure-analysis-CVS/","CVS Health Corp")</f>
        <v>0</v>
      </c>
      <c r="C257">
        <v>103.68</v>
      </c>
      <c r="D257">
        <v>87</v>
      </c>
      <c r="E257">
        <v>1.191724137931035</v>
      </c>
      <c r="F257">
        <v>0.02121913580246914</v>
      </c>
      <c r="G257">
        <v>-0.03447204419575689</v>
      </c>
      <c r="H257">
        <v>0.05</v>
      </c>
      <c r="I257">
        <v>0.03487644648244426</v>
      </c>
      <c r="J257" t="s">
        <v>777</v>
      </c>
      <c r="K257" t="s">
        <v>346</v>
      </c>
      <c r="L257">
        <v>7.95</v>
      </c>
      <c r="M257">
        <v>2.2</v>
      </c>
      <c r="N257">
        <v>0.2767295597484277</v>
      </c>
      <c r="O257">
        <v>1</v>
      </c>
      <c r="P257">
        <v>0.02996744995959233</v>
      </c>
      <c r="Q257">
        <v>0.565968499418613</v>
      </c>
      <c r="R257" t="s">
        <v>780</v>
      </c>
      <c r="S257" t="s">
        <v>785</v>
      </c>
      <c r="T257">
        <v>136890.082731</v>
      </c>
      <c r="U257" s="2">
        <v>44503</v>
      </c>
      <c r="V257" t="s">
        <v>796</v>
      </c>
    </row>
    <row r="258" spans="1:22">
      <c r="A258" s="1" t="s">
        <v>278</v>
      </c>
      <c r="B258">
        <f>HYPERLINK("https://www.suredividend.com/sure-analysis-ETR/","Entergy Corp.")</f>
        <v>0</v>
      </c>
      <c r="C258">
        <v>111.64</v>
      </c>
      <c r="D258">
        <v>90</v>
      </c>
      <c r="E258">
        <v>1.240444444444444</v>
      </c>
      <c r="F258">
        <v>0.03618774632748119</v>
      </c>
      <c r="G258">
        <v>-0.04217859924659684</v>
      </c>
      <c r="H258">
        <v>0.04</v>
      </c>
      <c r="I258">
        <v>0.03291422436894464</v>
      </c>
      <c r="J258" t="s">
        <v>777</v>
      </c>
      <c r="K258" t="s">
        <v>777</v>
      </c>
      <c r="L258">
        <v>6</v>
      </c>
      <c r="M258">
        <v>4.04</v>
      </c>
      <c r="N258">
        <v>0.6733333333333333</v>
      </c>
      <c r="O258">
        <v>28</v>
      </c>
      <c r="P258">
        <v>0.02496011802205444</v>
      </c>
      <c r="Q258">
        <v>0.207013101280084</v>
      </c>
      <c r="R258" t="s">
        <v>780</v>
      </c>
      <c r="S258" t="s">
        <v>792</v>
      </c>
      <c r="T258">
        <v>22608.386212</v>
      </c>
      <c r="U258" s="2">
        <v>44510</v>
      </c>
      <c r="V258" t="s">
        <v>797</v>
      </c>
    </row>
    <row r="259" spans="1:22">
      <c r="A259" s="1" t="s">
        <v>279</v>
      </c>
      <c r="B259">
        <f>HYPERLINK("https://www.suredividend.com/sure-analysis-SBSI/","Southside Bancshares Inc")</f>
        <v>0</v>
      </c>
      <c r="C259">
        <v>41.71</v>
      </c>
      <c r="D259">
        <v>36</v>
      </c>
      <c r="E259">
        <v>1.158611111111111</v>
      </c>
      <c r="F259">
        <v>0.03164708702948933</v>
      </c>
      <c r="G259">
        <v>-0.02901513122730703</v>
      </c>
      <c r="H259">
        <v>0.03</v>
      </c>
      <c r="I259">
        <v>0.03253577888055403</v>
      </c>
      <c r="J259" t="s">
        <v>777</v>
      </c>
      <c r="K259" t="s">
        <v>776</v>
      </c>
      <c r="L259">
        <v>3.01</v>
      </c>
      <c r="M259">
        <v>1.32</v>
      </c>
      <c r="N259">
        <v>0.4385382059800665</v>
      </c>
      <c r="O259">
        <v>27</v>
      </c>
      <c r="P259">
        <v>0.02996744995959233</v>
      </c>
      <c r="Q259">
        <v>0.4084223048926791</v>
      </c>
      <c r="R259" t="s">
        <v>780</v>
      </c>
      <c r="S259" t="s">
        <v>789</v>
      </c>
      <c r="T259">
        <v>1352.689549</v>
      </c>
      <c r="U259" s="2">
        <v>44495</v>
      </c>
      <c r="V259" t="s">
        <v>796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70.68000000000001</v>
      </c>
      <c r="D260">
        <v>72</v>
      </c>
      <c r="E260">
        <v>0.9816666666666668</v>
      </c>
      <c r="F260">
        <v>0.02207130730050934</v>
      </c>
      <c r="G260">
        <v>0.003707550336851551</v>
      </c>
      <c r="H260">
        <v>0.005</v>
      </c>
      <c r="I260">
        <v>0.03111528971081046</v>
      </c>
      <c r="J260" t="s">
        <v>777</v>
      </c>
      <c r="K260" t="s">
        <v>346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0.7162591302694781</v>
      </c>
      <c r="R260" t="s">
        <v>780</v>
      </c>
      <c r="S260" t="s">
        <v>792</v>
      </c>
      <c r="T260">
        <v>2925.245673</v>
      </c>
      <c r="U260" s="2">
        <v>44506</v>
      </c>
      <c r="V260" t="s">
        <v>805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476.86</v>
      </c>
      <c r="D261">
        <v>400</v>
      </c>
      <c r="E261">
        <v>1.19215</v>
      </c>
      <c r="F261">
        <v>0.01090466803674034</v>
      </c>
      <c r="G261">
        <v>-0.03454103559763488</v>
      </c>
      <c r="H261">
        <v>0.055</v>
      </c>
      <c r="I261">
        <v>0.03005660087445161</v>
      </c>
      <c r="J261" t="s">
        <v>777</v>
      </c>
      <c r="K261" t="s">
        <v>524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0.259323595209896</v>
      </c>
      <c r="R261" t="s">
        <v>780</v>
      </c>
      <c r="S261" t="s">
        <v>791</v>
      </c>
      <c r="T261">
        <v>266835.068899</v>
      </c>
      <c r="U261" s="2">
        <v>44505</v>
      </c>
      <c r="V261" t="s">
        <v>795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39.12</v>
      </c>
      <c r="D262">
        <v>31</v>
      </c>
      <c r="E262">
        <v>1.261935483870968</v>
      </c>
      <c r="F262">
        <v>0.0245398773006135</v>
      </c>
      <c r="G262">
        <v>-0.04546343461903823</v>
      </c>
      <c r="H262">
        <v>0.05</v>
      </c>
      <c r="I262">
        <v>0.0290771046606626</v>
      </c>
      <c r="J262" t="s">
        <v>777</v>
      </c>
      <c r="K262" t="s">
        <v>777</v>
      </c>
      <c r="L262">
        <v>2.05</v>
      </c>
      <c r="M262">
        <v>0.96</v>
      </c>
      <c r="N262">
        <v>0.4682926829268293</v>
      </c>
      <c r="O262">
        <v>19</v>
      </c>
      <c r="P262">
        <v>0.05081623913789235</v>
      </c>
      <c r="Q262">
        <v>-0.096873527823419</v>
      </c>
      <c r="R262" t="s">
        <v>780</v>
      </c>
      <c r="S262" t="s">
        <v>785</v>
      </c>
      <c r="T262">
        <v>5257.313523</v>
      </c>
      <c r="U262" s="2">
        <v>44510</v>
      </c>
      <c r="V262" t="s">
        <v>796</v>
      </c>
    </row>
    <row r="263" spans="1:22">
      <c r="A263" s="1" t="s">
        <v>283</v>
      </c>
      <c r="B263">
        <f>HYPERLINK("https://www.suredividend.com/sure-analysis-AMX/","America Movil S.A.B.DE C.V.")</f>
        <v>0</v>
      </c>
      <c r="C263">
        <v>21.14</v>
      </c>
      <c r="D263">
        <v>18</v>
      </c>
      <c r="E263">
        <v>1.174444444444444</v>
      </c>
      <c r="F263">
        <v>0.01892147587511826</v>
      </c>
      <c r="G263">
        <v>-0.03164744132617892</v>
      </c>
      <c r="H263">
        <v>0.04</v>
      </c>
      <c r="I263">
        <v>0.02732811194143236</v>
      </c>
      <c r="J263" t="s">
        <v>777</v>
      </c>
      <c r="K263" t="s">
        <v>346</v>
      </c>
      <c r="L263">
        <v>1.35</v>
      </c>
      <c r="M263">
        <v>0.4</v>
      </c>
      <c r="N263">
        <v>0.2962962962962963</v>
      </c>
      <c r="O263">
        <v>0</v>
      </c>
      <c r="P263">
        <v>0.04563955259127317</v>
      </c>
      <c r="Q263">
        <v>0.472029342591555</v>
      </c>
      <c r="R263" t="s">
        <v>780</v>
      </c>
      <c r="S263" t="s">
        <v>784</v>
      </c>
      <c r="T263">
        <v>46496.692644</v>
      </c>
      <c r="U263" s="2">
        <v>44494</v>
      </c>
      <c r="V263" t="s">
        <v>803</v>
      </c>
    </row>
    <row r="264" spans="1:22">
      <c r="A264" s="1" t="s">
        <v>284</v>
      </c>
      <c r="B264">
        <f>HYPERLINK("https://www.suredividend.com/sure-analysis-HON/","Honeywell International Inc")</f>
        <v>0</v>
      </c>
      <c r="C264">
        <v>207.11</v>
      </c>
      <c r="D264">
        <v>137</v>
      </c>
      <c r="E264">
        <v>1.511751824817518</v>
      </c>
      <c r="F264">
        <v>0.01892714016706098</v>
      </c>
      <c r="G264">
        <v>-0.07933019548513287</v>
      </c>
      <c r="H264">
        <v>0.09</v>
      </c>
      <c r="I264">
        <v>0.02677261771401795</v>
      </c>
      <c r="J264" t="s">
        <v>777</v>
      </c>
      <c r="K264" t="s">
        <v>346</v>
      </c>
      <c r="L264">
        <v>8.050000000000001</v>
      </c>
      <c r="M264">
        <v>3.92</v>
      </c>
      <c r="N264">
        <v>0.4869565217391304</v>
      </c>
      <c r="O264">
        <v>12</v>
      </c>
      <c r="P264">
        <v>0.08994918009420316</v>
      </c>
      <c r="Q264">
        <v>0.009306650636816001</v>
      </c>
      <c r="R264" t="s">
        <v>780</v>
      </c>
      <c r="S264" t="s">
        <v>786</v>
      </c>
      <c r="T264">
        <v>142868.420002</v>
      </c>
      <c r="U264" s="2">
        <v>44491</v>
      </c>
      <c r="V264" t="s">
        <v>796</v>
      </c>
    </row>
    <row r="265" spans="1:22">
      <c r="A265" s="1" t="s">
        <v>285</v>
      </c>
      <c r="B265">
        <f>HYPERLINK("https://www.suredividend.com/sure-analysis-CTSH/","Cognizant Technology Solutions Corp.")</f>
        <v>0</v>
      </c>
      <c r="C265">
        <v>88.94</v>
      </c>
      <c r="D265">
        <v>65</v>
      </c>
      <c r="E265">
        <v>1.368307692307692</v>
      </c>
      <c r="F265">
        <v>0.010793793568698</v>
      </c>
      <c r="G265">
        <v>-0.06078883578447603</v>
      </c>
      <c r="H265">
        <v>0.08</v>
      </c>
      <c r="I265">
        <v>0.0266717107794523</v>
      </c>
      <c r="J265" t="s">
        <v>777</v>
      </c>
      <c r="K265" t="s">
        <v>524</v>
      </c>
      <c r="L265">
        <v>4.05</v>
      </c>
      <c r="M265">
        <v>0.96</v>
      </c>
      <c r="N265">
        <v>0.237037037037037</v>
      </c>
      <c r="O265">
        <v>2</v>
      </c>
      <c r="P265">
        <v>0.07214502590085092</v>
      </c>
      <c r="Q265">
        <v>0.127085529676102</v>
      </c>
      <c r="R265" t="s">
        <v>780</v>
      </c>
      <c r="S265" t="s">
        <v>787</v>
      </c>
      <c r="T265">
        <v>47057.302849</v>
      </c>
      <c r="U265" s="2">
        <v>44504</v>
      </c>
      <c r="V265" t="s">
        <v>803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172.32</v>
      </c>
      <c r="D266">
        <v>127</v>
      </c>
      <c r="E266">
        <v>1.356850393700787</v>
      </c>
      <c r="F266">
        <v>0.02692664809656453</v>
      </c>
      <c r="G266">
        <v>-0.05920801892366223</v>
      </c>
      <c r="H266">
        <v>0.06</v>
      </c>
      <c r="I266">
        <v>0.02619680246722078</v>
      </c>
      <c r="J266" t="s">
        <v>777</v>
      </c>
      <c r="K266" t="s">
        <v>777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-0.129435179291753</v>
      </c>
      <c r="R266" t="s">
        <v>780</v>
      </c>
      <c r="S266" t="s">
        <v>791</v>
      </c>
      <c r="T266">
        <v>21056.220837</v>
      </c>
      <c r="U266" s="2">
        <v>44519</v>
      </c>
      <c r="V266" t="s">
        <v>800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66.31999999999999</v>
      </c>
      <c r="D267">
        <v>54</v>
      </c>
      <c r="E267">
        <v>1.228148148148148</v>
      </c>
      <c r="F267">
        <v>0.0307599517490953</v>
      </c>
      <c r="G267">
        <v>-0.04026828090522672</v>
      </c>
      <c r="H267">
        <v>0.03</v>
      </c>
      <c r="I267">
        <v>0.02239531714689513</v>
      </c>
      <c r="J267" t="s">
        <v>777</v>
      </c>
      <c r="K267" t="s">
        <v>777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0.185463915858477</v>
      </c>
      <c r="R267" t="s">
        <v>780</v>
      </c>
      <c r="S267" t="s">
        <v>792</v>
      </c>
      <c r="T267">
        <v>33352.91944</v>
      </c>
      <c r="U267" s="2">
        <v>44513</v>
      </c>
      <c r="V267" t="s">
        <v>798</v>
      </c>
    </row>
    <row r="268" spans="1:22">
      <c r="A268" s="1" t="s">
        <v>288</v>
      </c>
      <c r="B268">
        <f>HYPERLINK("https://www.suredividend.com/sure-analysis-INGR/","Ingredion Inc")</f>
        <v>0</v>
      </c>
      <c r="C268">
        <v>95.84</v>
      </c>
      <c r="D268">
        <v>79</v>
      </c>
      <c r="E268">
        <v>1.213164556962025</v>
      </c>
      <c r="F268">
        <v>0.02712854757929883</v>
      </c>
      <c r="G268">
        <v>-0.03790920991322566</v>
      </c>
      <c r="H268">
        <v>0.03</v>
      </c>
      <c r="I268">
        <v>0.02164729353622685</v>
      </c>
      <c r="J268" t="s">
        <v>777</v>
      </c>
      <c r="K268" t="s">
        <v>777</v>
      </c>
      <c r="L268">
        <v>5.3</v>
      </c>
      <c r="M268">
        <v>2.6</v>
      </c>
      <c r="N268">
        <v>0.4905660377358491</v>
      </c>
      <c r="O268">
        <v>11</v>
      </c>
      <c r="P268">
        <v>0.05010553388446692</v>
      </c>
      <c r="Q268">
        <v>0.262111167771545</v>
      </c>
      <c r="R268" t="s">
        <v>780</v>
      </c>
      <c r="S268" t="s">
        <v>791</v>
      </c>
      <c r="T268">
        <v>6455.316123</v>
      </c>
      <c r="U268" s="2">
        <v>44509</v>
      </c>
      <c r="V268" t="s">
        <v>806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85.18000000000001</v>
      </c>
      <c r="D269">
        <v>65</v>
      </c>
      <c r="E269">
        <v>1.310461538461539</v>
      </c>
      <c r="F269">
        <v>0.03639351960554121</v>
      </c>
      <c r="G269">
        <v>-0.05263978089570487</v>
      </c>
      <c r="H269">
        <v>0.035</v>
      </c>
      <c r="I269">
        <v>0.02076724146673281</v>
      </c>
      <c r="J269" t="s">
        <v>777</v>
      </c>
      <c r="K269" t="s">
        <v>776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0.238953513765341</v>
      </c>
      <c r="R269" t="s">
        <v>780</v>
      </c>
      <c r="S269" t="s">
        <v>792</v>
      </c>
      <c r="T269">
        <v>30072.791861</v>
      </c>
      <c r="U269" s="2">
        <v>44507</v>
      </c>
      <c r="V269" t="s">
        <v>796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294.73</v>
      </c>
      <c r="D270">
        <v>216</v>
      </c>
      <c r="E270">
        <v>1.364490740740741</v>
      </c>
      <c r="F270">
        <v>0.01479320055644149</v>
      </c>
      <c r="G270">
        <v>-0.0602639631957369</v>
      </c>
      <c r="H270">
        <v>0.065</v>
      </c>
      <c r="I270">
        <v>0.01884876613588449</v>
      </c>
      <c r="J270" t="s">
        <v>777</v>
      </c>
      <c r="K270" t="s">
        <v>524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0.283780909494205</v>
      </c>
      <c r="R270" t="s">
        <v>780</v>
      </c>
      <c r="S270" t="s">
        <v>786</v>
      </c>
      <c r="T270">
        <v>75116.061384</v>
      </c>
      <c r="U270" s="2">
        <v>44503</v>
      </c>
      <c r="V270" t="s">
        <v>797</v>
      </c>
    </row>
    <row r="271" spans="1:22">
      <c r="A271" s="1" t="s">
        <v>291</v>
      </c>
      <c r="B271">
        <f>HYPERLINK("https://www.suredividend.com/sure-analysis-XEL/","Xcel Energy, Inc.")</f>
        <v>0</v>
      </c>
      <c r="C271">
        <v>68.23</v>
      </c>
      <c r="D271">
        <v>53</v>
      </c>
      <c r="E271">
        <v>1.287358490566038</v>
      </c>
      <c r="F271">
        <v>0.02682104646050125</v>
      </c>
      <c r="G271">
        <v>-0.04926364818570927</v>
      </c>
      <c r="H271">
        <v>0.04</v>
      </c>
      <c r="I271">
        <v>0.01855949434196535</v>
      </c>
      <c r="J271" t="s">
        <v>777</v>
      </c>
      <c r="K271" t="s">
        <v>777</v>
      </c>
      <c r="L271">
        <v>2.96</v>
      </c>
      <c r="M271">
        <v>1.83</v>
      </c>
      <c r="N271">
        <v>0.6182432432432433</v>
      </c>
      <c r="O271">
        <v>18</v>
      </c>
      <c r="P271">
        <v>0.04032911905890546</v>
      </c>
      <c r="Q271">
        <v>0.060731398960495</v>
      </c>
      <c r="R271" t="s">
        <v>780</v>
      </c>
      <c r="S271" t="s">
        <v>792</v>
      </c>
      <c r="T271">
        <v>36608.391737</v>
      </c>
      <c r="U271" s="2">
        <v>44502</v>
      </c>
      <c r="V271" t="s">
        <v>799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168.76</v>
      </c>
      <c r="D272">
        <v>136</v>
      </c>
      <c r="E272">
        <v>1.240882352941176</v>
      </c>
      <c r="F272">
        <v>0.01137710357904717</v>
      </c>
      <c r="G272">
        <v>-0.04224621199801104</v>
      </c>
      <c r="H272">
        <v>0.05</v>
      </c>
      <c r="I272">
        <v>0.01822893188739316</v>
      </c>
      <c r="J272" t="s">
        <v>777</v>
      </c>
      <c r="K272" t="s">
        <v>524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0.416274183876276</v>
      </c>
      <c r="R272" t="s">
        <v>780</v>
      </c>
      <c r="S272" t="s">
        <v>789</v>
      </c>
      <c r="T272">
        <v>35197.87718</v>
      </c>
      <c r="U272" s="2">
        <v>44518</v>
      </c>
      <c r="V272" t="s">
        <v>800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172.67</v>
      </c>
      <c r="D273">
        <v>124</v>
      </c>
      <c r="E273">
        <v>1.3925</v>
      </c>
      <c r="F273">
        <v>0.02490299415069207</v>
      </c>
      <c r="G273">
        <v>-0.06407519153118313</v>
      </c>
      <c r="H273">
        <v>0.055</v>
      </c>
      <c r="I273">
        <v>0.01648771000527782</v>
      </c>
      <c r="J273" t="s">
        <v>777</v>
      </c>
      <c r="K273" t="s">
        <v>777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0.207590007239815</v>
      </c>
      <c r="R273" t="s">
        <v>780</v>
      </c>
      <c r="S273" t="s">
        <v>791</v>
      </c>
      <c r="T273">
        <v>239157.479551</v>
      </c>
      <c r="U273" s="2">
        <v>44474</v>
      </c>
      <c r="V273" t="s">
        <v>796</v>
      </c>
    </row>
    <row r="274" spans="1:22">
      <c r="A274" s="1" t="s">
        <v>294</v>
      </c>
      <c r="B274">
        <f>HYPERLINK("https://www.suredividend.com/sure-analysis-MGRC/","McGrath Rentcorp")</f>
        <v>0</v>
      </c>
      <c r="C274">
        <v>79.28</v>
      </c>
      <c r="D274">
        <v>65</v>
      </c>
      <c r="E274">
        <v>1.219692307692308</v>
      </c>
      <c r="F274">
        <v>0.02194752774974773</v>
      </c>
      <c r="G274">
        <v>-0.03894123691030771</v>
      </c>
      <c r="H274">
        <v>0.03</v>
      </c>
      <c r="I274">
        <v>0.0137348213451518</v>
      </c>
      <c r="J274" t="s">
        <v>777</v>
      </c>
      <c r="K274" t="s">
        <v>777</v>
      </c>
      <c r="L274">
        <v>3.69</v>
      </c>
      <c r="M274">
        <v>1.74</v>
      </c>
      <c r="N274">
        <v>0.4715447154471545</v>
      </c>
      <c r="O274">
        <v>30</v>
      </c>
      <c r="P274">
        <v>0.0302922291651091</v>
      </c>
      <c r="Q274">
        <v>0.258469555477862</v>
      </c>
      <c r="R274" t="s">
        <v>780</v>
      </c>
      <c r="S274" t="s">
        <v>786</v>
      </c>
      <c r="T274">
        <v>1928.814484</v>
      </c>
      <c r="U274" s="2">
        <v>44498</v>
      </c>
      <c r="V274" t="s">
        <v>796</v>
      </c>
    </row>
    <row r="275" spans="1:22">
      <c r="A275" s="1" t="s">
        <v>295</v>
      </c>
      <c r="B275">
        <f>HYPERLINK("https://www.suredividend.com/sure-analysis-RHHBY/","Roche Holding AG")</f>
        <v>0</v>
      </c>
      <c r="C275">
        <v>51.66</v>
      </c>
      <c r="D275">
        <v>42</v>
      </c>
      <c r="E275">
        <v>1.23</v>
      </c>
      <c r="F275">
        <v>0.02264808362369338</v>
      </c>
      <c r="G275">
        <v>-0.04055744387400284</v>
      </c>
      <c r="H275">
        <v>0.03</v>
      </c>
      <c r="I275">
        <v>0.01275701579619026</v>
      </c>
      <c r="J275" t="s">
        <v>777</v>
      </c>
      <c r="K275" t="s">
        <v>777</v>
      </c>
      <c r="L275">
        <v>2.3</v>
      </c>
      <c r="M275">
        <v>1.17</v>
      </c>
      <c r="N275">
        <v>0.5086956521739131</v>
      </c>
      <c r="O275">
        <v>34</v>
      </c>
      <c r="P275">
        <v>0.0275046295579735</v>
      </c>
      <c r="Q275">
        <v>0.245072085626678</v>
      </c>
      <c r="R275" t="s">
        <v>780</v>
      </c>
      <c r="S275" t="s">
        <v>785</v>
      </c>
      <c r="T275">
        <v>293952.23368</v>
      </c>
      <c r="U275" s="2">
        <v>44490</v>
      </c>
      <c r="V275" t="s">
        <v>806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14.4</v>
      </c>
      <c r="D276">
        <v>11</v>
      </c>
      <c r="E276">
        <v>1.309090909090909</v>
      </c>
      <c r="F276">
        <v>0.01597222222222222</v>
      </c>
      <c r="G276">
        <v>-0.05244148507599145</v>
      </c>
      <c r="H276">
        <v>0.05</v>
      </c>
      <c r="I276">
        <v>0.01266359087704783</v>
      </c>
      <c r="J276" t="s">
        <v>777</v>
      </c>
      <c r="K276" t="s">
        <v>524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0.21727012483315</v>
      </c>
      <c r="R276" t="s">
        <v>780</v>
      </c>
      <c r="S276" t="s">
        <v>786</v>
      </c>
      <c r="T276">
        <v>2290.986037</v>
      </c>
      <c r="U276" s="2">
        <v>44511</v>
      </c>
      <c r="V276" t="s">
        <v>795</v>
      </c>
    </row>
    <row r="277" spans="1:22">
      <c r="A277" s="1" t="s">
        <v>297</v>
      </c>
      <c r="B277">
        <f>HYPERLINK("https://www.suredividend.com/sure-analysis-SBAC/","SBA Communications Corp")</f>
        <v>0</v>
      </c>
      <c r="C277">
        <v>388.56</v>
      </c>
      <c r="D277">
        <v>244</v>
      </c>
      <c r="E277">
        <v>1.592459016393443</v>
      </c>
      <c r="F277">
        <v>0.00597076384599547</v>
      </c>
      <c r="G277">
        <v>-0.08885741080727971</v>
      </c>
      <c r="H277">
        <v>0.1</v>
      </c>
      <c r="I277">
        <v>0.01260532455338415</v>
      </c>
      <c r="J277" t="s">
        <v>777</v>
      </c>
      <c r="K277" t="s">
        <v>524</v>
      </c>
      <c r="L277">
        <v>10.6</v>
      </c>
      <c r="M277">
        <v>2.32</v>
      </c>
      <c r="N277">
        <v>0.2188679245283019</v>
      </c>
      <c r="O277">
        <v>2</v>
      </c>
      <c r="P277">
        <v>0.1998793126786198</v>
      </c>
      <c r="Q277">
        <v>0.40552923040748</v>
      </c>
      <c r="R277" t="s">
        <v>780</v>
      </c>
      <c r="S277" t="s">
        <v>787</v>
      </c>
      <c r="T277">
        <v>42172.601347</v>
      </c>
      <c r="U277" s="2">
        <v>44502</v>
      </c>
      <c r="V277" t="s">
        <v>795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53.55</v>
      </c>
      <c r="D278">
        <v>40</v>
      </c>
      <c r="E278">
        <v>1.33875</v>
      </c>
      <c r="F278">
        <v>0.01120448179271709</v>
      </c>
      <c r="G278">
        <v>-0.0566776956244246</v>
      </c>
      <c r="H278">
        <v>0.06</v>
      </c>
      <c r="I278">
        <v>0.01254374156584004</v>
      </c>
      <c r="J278" t="s">
        <v>777</v>
      </c>
      <c r="K278" t="s">
        <v>524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0.4568028409552981</v>
      </c>
      <c r="R278" t="s">
        <v>780</v>
      </c>
      <c r="S278" t="s">
        <v>786</v>
      </c>
      <c r="T278">
        <v>46570.274246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HYPERLINK("https://www.suredividend.com/sure-analysis-RMD/","Resmed Inc.")</f>
        <v>0</v>
      </c>
      <c r="C279">
        <v>261.99</v>
      </c>
      <c r="D279">
        <v>151</v>
      </c>
      <c r="E279">
        <v>1.735033112582782</v>
      </c>
      <c r="F279">
        <v>0.006412458490782091</v>
      </c>
      <c r="G279">
        <v>-0.1043497602655773</v>
      </c>
      <c r="H279">
        <v>0.12</v>
      </c>
      <c r="I279">
        <v>0.01150179146081043</v>
      </c>
      <c r="J279" t="s">
        <v>777</v>
      </c>
      <c r="K279" t="s">
        <v>524</v>
      </c>
      <c r="L279">
        <v>6.3</v>
      </c>
      <c r="M279">
        <v>1.68</v>
      </c>
      <c r="N279">
        <v>0.2666666666666667</v>
      </c>
      <c r="O279">
        <v>1</v>
      </c>
      <c r="P279">
        <v>0.1003529239440031</v>
      </c>
      <c r="Q279">
        <v>0.244709828302406</v>
      </c>
      <c r="R279" t="s">
        <v>780</v>
      </c>
      <c r="S279" t="s">
        <v>785</v>
      </c>
      <c r="T279">
        <v>38049.769608</v>
      </c>
      <c r="U279" s="2">
        <v>44508</v>
      </c>
      <c r="V279" t="s">
        <v>797</v>
      </c>
    </row>
    <row r="280" spans="1:22">
      <c r="A280" s="1" t="s">
        <v>300</v>
      </c>
      <c r="B280">
        <f>HYPERLINK("https://www.suredividend.com/sure-analysis-UNP/","Union Pacific Corp.")</f>
        <v>0</v>
      </c>
      <c r="C280">
        <v>249.54</v>
      </c>
      <c r="D280">
        <v>169</v>
      </c>
      <c r="E280">
        <v>1.476568047337278</v>
      </c>
      <c r="F280">
        <v>0.01891480323795784</v>
      </c>
      <c r="G280">
        <v>-0.07498386799091028</v>
      </c>
      <c r="H280">
        <v>0.07000000000000001</v>
      </c>
      <c r="I280">
        <v>0.01041487538789121</v>
      </c>
      <c r="J280" t="s">
        <v>777</v>
      </c>
      <c r="K280" t="s">
        <v>346</v>
      </c>
      <c r="L280">
        <v>9.93</v>
      </c>
      <c r="M280">
        <v>4.72</v>
      </c>
      <c r="N280">
        <v>0.4753272910372608</v>
      </c>
      <c r="O280">
        <v>15</v>
      </c>
      <c r="P280">
        <v>0.02955636723032895</v>
      </c>
      <c r="Q280">
        <v>0.251569260346149</v>
      </c>
      <c r="R280" t="s">
        <v>780</v>
      </c>
      <c r="S280" t="s">
        <v>786</v>
      </c>
      <c r="T280">
        <v>161381.086971</v>
      </c>
      <c r="U280" s="2">
        <v>44490</v>
      </c>
      <c r="V280" t="s">
        <v>796</v>
      </c>
    </row>
    <row r="281" spans="1:22">
      <c r="A281" s="1" t="s">
        <v>301</v>
      </c>
      <c r="B281">
        <f>HYPERLINK("https://www.suredividend.com/sure-analysis-HSY/","Hershey Company")</f>
        <v>0</v>
      </c>
      <c r="C281">
        <v>191.27</v>
      </c>
      <c r="D281">
        <v>141</v>
      </c>
      <c r="E281">
        <v>1.356524822695035</v>
      </c>
      <c r="F281">
        <v>0.01882156114393266</v>
      </c>
      <c r="G281">
        <v>-0.05916286454301911</v>
      </c>
      <c r="H281">
        <v>0.05</v>
      </c>
      <c r="I281">
        <v>0.009801867612298398</v>
      </c>
      <c r="J281" t="s">
        <v>777</v>
      </c>
      <c r="K281" t="s">
        <v>346</v>
      </c>
      <c r="L281">
        <v>7.05</v>
      </c>
      <c r="M281">
        <v>3.6</v>
      </c>
      <c r="N281">
        <v>0.5106382978723405</v>
      </c>
      <c r="O281">
        <v>12</v>
      </c>
      <c r="P281">
        <v>0.04978904632428516</v>
      </c>
      <c r="Q281">
        <v>0.292326349120797</v>
      </c>
      <c r="R281" t="s">
        <v>780</v>
      </c>
      <c r="S281" t="s">
        <v>791</v>
      </c>
      <c r="T281">
        <v>39925.79844</v>
      </c>
      <c r="U281" s="2">
        <v>44500</v>
      </c>
      <c r="V281" t="s">
        <v>799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148.56</v>
      </c>
      <c r="D282">
        <v>113</v>
      </c>
      <c r="E282">
        <v>1.314690265486726</v>
      </c>
      <c r="F282">
        <v>0.02127086698976844</v>
      </c>
      <c r="G282">
        <v>-0.05325000706861449</v>
      </c>
      <c r="H282">
        <v>0.04</v>
      </c>
      <c r="I282">
        <v>0.008872911192623123</v>
      </c>
      <c r="J282" t="s">
        <v>777</v>
      </c>
      <c r="K282" t="s">
        <v>346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0.3645497324753491</v>
      </c>
      <c r="R282" t="s">
        <v>780</v>
      </c>
      <c r="S282" t="s">
        <v>790</v>
      </c>
      <c r="T282">
        <v>37924.956636</v>
      </c>
      <c r="U282" s="2">
        <v>44516</v>
      </c>
      <c r="V282" t="s">
        <v>801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92.77</v>
      </c>
      <c r="D283">
        <v>61</v>
      </c>
      <c r="E283">
        <v>1.520819672131148</v>
      </c>
      <c r="F283">
        <v>0.01660019402824189</v>
      </c>
      <c r="G283">
        <v>-0.08043071725844664</v>
      </c>
      <c r="H283">
        <v>0.07000000000000001</v>
      </c>
      <c r="I283">
        <v>0.00563633469218372</v>
      </c>
      <c r="J283" t="s">
        <v>777</v>
      </c>
      <c r="K283" t="s">
        <v>346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0.238645636127141</v>
      </c>
      <c r="R283" t="s">
        <v>780</v>
      </c>
      <c r="S283" t="s">
        <v>792</v>
      </c>
      <c r="T283">
        <v>180214.844884</v>
      </c>
      <c r="U283" s="2">
        <v>44498</v>
      </c>
      <c r="V283" t="s">
        <v>804</v>
      </c>
    </row>
    <row r="284" spans="1:22">
      <c r="A284" s="1" t="s">
        <v>304</v>
      </c>
      <c r="B284">
        <f>HYPERLINK("https://www.suredividend.com/sure-analysis-CNI/","Canadian National Railway Co.")</f>
        <v>0</v>
      </c>
      <c r="C284">
        <v>121.74</v>
      </c>
      <c r="D284">
        <v>79</v>
      </c>
      <c r="E284">
        <v>1.541012658227848</v>
      </c>
      <c r="F284">
        <v>0.01634631181205849</v>
      </c>
      <c r="G284">
        <v>-0.08285340344376202</v>
      </c>
      <c r="H284">
        <v>0.07000000000000001</v>
      </c>
      <c r="I284">
        <v>0.002132612653944932</v>
      </c>
      <c r="J284" t="s">
        <v>777</v>
      </c>
      <c r="K284" t="s">
        <v>346</v>
      </c>
      <c r="L284">
        <v>4.4</v>
      </c>
      <c r="M284">
        <v>1.99</v>
      </c>
      <c r="N284">
        <v>0.4522727272727272</v>
      </c>
      <c r="O284">
        <v>26</v>
      </c>
      <c r="P284">
        <v>0.06991733814489587</v>
      </c>
      <c r="Q284">
        <v>0.122879192513157</v>
      </c>
      <c r="R284" t="s">
        <v>780</v>
      </c>
      <c r="S284" t="s">
        <v>786</v>
      </c>
      <c r="T284">
        <v>86057.329971</v>
      </c>
      <c r="U284" s="2">
        <v>44490</v>
      </c>
      <c r="V284" t="s">
        <v>796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4.2</v>
      </c>
      <c r="D285">
        <v>3.26</v>
      </c>
      <c r="E285">
        <v>1.288343558282209</v>
      </c>
      <c r="F285">
        <v>0.02619047619047619</v>
      </c>
      <c r="G285">
        <v>-0.04940907930826643</v>
      </c>
      <c r="H285">
        <v>0.02</v>
      </c>
      <c r="I285">
        <v>0.00172794130416376</v>
      </c>
      <c r="J285" t="s">
        <v>777</v>
      </c>
      <c r="K285" t="s">
        <v>346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-0.254205302219238</v>
      </c>
      <c r="R285" t="s">
        <v>780</v>
      </c>
      <c r="S285" t="s">
        <v>790</v>
      </c>
      <c r="T285">
        <v>3958.576573</v>
      </c>
      <c r="U285" s="2">
        <v>44528</v>
      </c>
      <c r="V285" t="s">
        <v>798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302.39</v>
      </c>
      <c r="D286">
        <v>200</v>
      </c>
      <c r="E286">
        <v>1.51195</v>
      </c>
      <c r="F286">
        <v>0.01984192598961606</v>
      </c>
      <c r="G286">
        <v>-0.07935433166333306</v>
      </c>
      <c r="H286">
        <v>0.06</v>
      </c>
      <c r="I286">
        <v>0.001442809256172906</v>
      </c>
      <c r="J286" t="s">
        <v>777</v>
      </c>
      <c r="K286" t="s">
        <v>777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0.160893180721874</v>
      </c>
      <c r="R286" t="s">
        <v>780</v>
      </c>
      <c r="S286" t="s">
        <v>790</v>
      </c>
      <c r="T286">
        <v>67702.401101</v>
      </c>
      <c r="U286" s="2">
        <v>44506</v>
      </c>
      <c r="V286" t="s">
        <v>797</v>
      </c>
    </row>
    <row r="287" spans="1:22">
      <c r="A287" s="1" t="s">
        <v>307</v>
      </c>
      <c r="B287">
        <f>HYPERLINK("https://www.suredividend.com/sure-analysis-AWK/","American Water Works Co. Inc.")</f>
        <v>0</v>
      </c>
      <c r="C287">
        <v>188.03</v>
      </c>
      <c r="D287">
        <v>136</v>
      </c>
      <c r="E287">
        <v>1.382573529411765</v>
      </c>
      <c r="F287">
        <v>0.01281710365367229</v>
      </c>
      <c r="G287">
        <v>-0.06273510173063301</v>
      </c>
      <c r="H287">
        <v>0.05</v>
      </c>
      <c r="I287">
        <v>0.001347935251584831</v>
      </c>
      <c r="J287" t="s">
        <v>777</v>
      </c>
      <c r="K287" t="s">
        <v>524</v>
      </c>
      <c r="L287">
        <v>4.25</v>
      </c>
      <c r="M287">
        <v>2.41</v>
      </c>
      <c r="N287">
        <v>0.5670588235294118</v>
      </c>
      <c r="O287">
        <v>13</v>
      </c>
      <c r="P287">
        <v>0.0901126350638779</v>
      </c>
      <c r="Q287">
        <v>0.261100836920326</v>
      </c>
      <c r="R287" t="s">
        <v>780</v>
      </c>
      <c r="S287" t="s">
        <v>792</v>
      </c>
      <c r="T287">
        <v>34018.358598</v>
      </c>
      <c r="U287" s="2">
        <v>44504</v>
      </c>
      <c r="V287" t="s">
        <v>795</v>
      </c>
    </row>
    <row r="288" spans="1:22">
      <c r="A288" s="1" t="s">
        <v>308</v>
      </c>
      <c r="B288">
        <f>HYPERLINK("https://www.suredividend.com/sure-analysis-ERIE/","Erie Indemnity Co.")</f>
        <v>0</v>
      </c>
      <c r="C288">
        <v>192.87</v>
      </c>
      <c r="D288">
        <v>128</v>
      </c>
      <c r="E288">
        <v>1.506796875</v>
      </c>
      <c r="F288">
        <v>0.02302068750972158</v>
      </c>
      <c r="G288">
        <v>-0.07872548438386817</v>
      </c>
      <c r="H288">
        <v>0.055</v>
      </c>
      <c r="I288">
        <v>-0.0009530339826763212</v>
      </c>
      <c r="J288" t="s">
        <v>777</v>
      </c>
      <c r="K288" t="s">
        <v>346</v>
      </c>
      <c r="L288">
        <v>5.8</v>
      </c>
      <c r="M288">
        <v>4.44</v>
      </c>
      <c r="N288">
        <v>0.7655172413793104</v>
      </c>
      <c r="O288">
        <v>32</v>
      </c>
      <c r="P288">
        <v>0.03526180275714519</v>
      </c>
      <c r="Q288">
        <v>-0.183510596833232</v>
      </c>
      <c r="R288" t="s">
        <v>780</v>
      </c>
      <c r="S288" t="s">
        <v>789</v>
      </c>
      <c r="T288">
        <v>8950.055705999999</v>
      </c>
      <c r="U288" s="2">
        <v>44504</v>
      </c>
      <c r="V288" t="s">
        <v>797</v>
      </c>
    </row>
    <row r="289" spans="1:22">
      <c r="A289" s="1" t="s">
        <v>309</v>
      </c>
      <c r="B289">
        <f>HYPERLINK("https://www.suredividend.com/sure-analysis-NVO/","Novo Nordisk")</f>
        <v>0</v>
      </c>
      <c r="C289">
        <v>111.45</v>
      </c>
      <c r="D289">
        <v>75</v>
      </c>
      <c r="E289">
        <v>1.486</v>
      </c>
      <c r="F289">
        <v>0.01417676087931808</v>
      </c>
      <c r="G289">
        <v>-0.07616111484467625</v>
      </c>
      <c r="H289">
        <v>0.06</v>
      </c>
      <c r="I289">
        <v>-0.002434378463705644</v>
      </c>
      <c r="J289" t="s">
        <v>777</v>
      </c>
      <c r="K289" t="s">
        <v>524</v>
      </c>
      <c r="L289">
        <v>3.4</v>
      </c>
      <c r="M289">
        <v>1.58</v>
      </c>
      <c r="N289">
        <v>0.4647058823529412</v>
      </c>
      <c r="O289">
        <v>0</v>
      </c>
      <c r="P289">
        <v>0.0703829372933884</v>
      </c>
      <c r="Q289">
        <v>0.606142527088122</v>
      </c>
      <c r="R289" t="s">
        <v>780</v>
      </c>
      <c r="S289" t="s">
        <v>785</v>
      </c>
      <c r="T289">
        <v>197038.21424</v>
      </c>
      <c r="U289" s="2">
        <v>44516</v>
      </c>
      <c r="V289" t="s">
        <v>801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346.84</v>
      </c>
      <c r="D290">
        <v>216</v>
      </c>
      <c r="E290">
        <v>1.605740740740741</v>
      </c>
      <c r="F290">
        <v>0.01291661861377004</v>
      </c>
      <c r="G290">
        <v>-0.09036970764997632</v>
      </c>
      <c r="H290">
        <v>0.065</v>
      </c>
      <c r="I290">
        <v>-0.01383870531073605</v>
      </c>
      <c r="J290" t="s">
        <v>777</v>
      </c>
      <c r="K290" t="s">
        <v>524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0.436819223230155</v>
      </c>
      <c r="R290" t="s">
        <v>780</v>
      </c>
      <c r="S290" t="s">
        <v>786</v>
      </c>
      <c r="T290">
        <v>40485.332106</v>
      </c>
      <c r="U290" s="2">
        <v>44503</v>
      </c>
      <c r="V290" t="s">
        <v>797</v>
      </c>
    </row>
    <row r="291" spans="1:22">
      <c r="A291" s="1" t="s">
        <v>311</v>
      </c>
      <c r="B291">
        <f>HYPERLINK("https://www.suredividend.com/sure-analysis-CFR/","Cullen Frost Bankers Inc.")</f>
        <v>0</v>
      </c>
      <c r="C291">
        <v>126.41</v>
      </c>
      <c r="D291">
        <v>86</v>
      </c>
      <c r="E291">
        <v>1.469883720930232</v>
      </c>
      <c r="F291">
        <v>0.02373229965983704</v>
      </c>
      <c r="G291">
        <v>-0.07414408819970908</v>
      </c>
      <c r="H291">
        <v>0.03</v>
      </c>
      <c r="I291">
        <v>-0.01603216538580454</v>
      </c>
      <c r="J291" t="s">
        <v>777</v>
      </c>
      <c r="K291" t="s">
        <v>777</v>
      </c>
      <c r="L291">
        <v>6.6</v>
      </c>
      <c r="M291">
        <v>3</v>
      </c>
      <c r="N291">
        <v>0.4545454545454546</v>
      </c>
      <c r="O291">
        <v>28</v>
      </c>
      <c r="P291">
        <v>0.04000235313991807</v>
      </c>
      <c r="Q291">
        <v>0.510098465657647</v>
      </c>
      <c r="R291" t="s">
        <v>780</v>
      </c>
      <c r="S291" t="s">
        <v>789</v>
      </c>
      <c r="T291">
        <v>8135.769372</v>
      </c>
      <c r="U291" s="2">
        <v>44504</v>
      </c>
      <c r="V291" t="s">
        <v>799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106.4</v>
      </c>
      <c r="D292">
        <v>97</v>
      </c>
      <c r="E292">
        <v>1.096907216494845</v>
      </c>
      <c r="F292">
        <v>0.01390977443609022</v>
      </c>
      <c r="G292">
        <v>-0.01832886489063767</v>
      </c>
      <c r="H292">
        <v>-0.015</v>
      </c>
      <c r="I292">
        <v>-0.01622161159260727</v>
      </c>
      <c r="J292" t="s">
        <v>777</v>
      </c>
      <c r="K292" t="s">
        <v>524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0.5929235120149521</v>
      </c>
      <c r="R292" t="s">
        <v>780</v>
      </c>
      <c r="S292" t="s">
        <v>789</v>
      </c>
      <c r="T292">
        <v>5180.677923</v>
      </c>
      <c r="U292" s="2">
        <v>44512</v>
      </c>
      <c r="V292" t="s">
        <v>800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86.36</v>
      </c>
      <c r="D293">
        <v>52</v>
      </c>
      <c r="E293">
        <v>1.660769230769231</v>
      </c>
      <c r="F293">
        <v>0.0111162575266327</v>
      </c>
      <c r="G293">
        <v>-0.09647922690768318</v>
      </c>
      <c r="H293">
        <v>0.07000000000000001</v>
      </c>
      <c r="I293">
        <v>-0.01803188620400142</v>
      </c>
      <c r="J293" t="s">
        <v>777</v>
      </c>
      <c r="K293" t="s">
        <v>524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0.337128177643069</v>
      </c>
      <c r="R293" t="s">
        <v>780</v>
      </c>
      <c r="S293" t="s">
        <v>786</v>
      </c>
      <c r="T293">
        <v>36878.441541</v>
      </c>
      <c r="U293" s="2">
        <v>44495</v>
      </c>
      <c r="V293" t="s">
        <v>799</v>
      </c>
    </row>
    <row r="294" spans="1:22">
      <c r="A294" s="1" t="s">
        <v>314</v>
      </c>
      <c r="B294">
        <f>HYPERLINK("https://www.suredividend.com/sure-analysis-WTRG/","Essential Utilities Inc")</f>
        <v>0</v>
      </c>
      <c r="C294">
        <v>53.48</v>
      </c>
      <c r="D294">
        <v>30</v>
      </c>
      <c r="E294">
        <v>1.782666666666667</v>
      </c>
      <c r="F294">
        <v>0.0200074794315632</v>
      </c>
      <c r="G294">
        <v>-0.109188179464686</v>
      </c>
      <c r="H294">
        <v>0.07000000000000001</v>
      </c>
      <c r="I294">
        <v>-0.01950113426805455</v>
      </c>
      <c r="J294" t="s">
        <v>777</v>
      </c>
      <c r="K294" t="s">
        <v>346</v>
      </c>
      <c r="L294">
        <v>1.68</v>
      </c>
      <c r="M294">
        <v>1.07</v>
      </c>
      <c r="N294">
        <v>0.636904761904762</v>
      </c>
      <c r="O294">
        <v>30</v>
      </c>
      <c r="P294">
        <v>0.05971834352437777</v>
      </c>
      <c r="Q294">
        <v>0.18507943756387</v>
      </c>
      <c r="R294" t="s">
        <v>780</v>
      </c>
      <c r="S294" t="s">
        <v>792</v>
      </c>
      <c r="T294">
        <v>13511.634472</v>
      </c>
      <c r="U294" s="2">
        <v>44502</v>
      </c>
      <c r="V294" t="s">
        <v>803</v>
      </c>
    </row>
    <row r="295" spans="1:22">
      <c r="A295" s="1" t="s">
        <v>315</v>
      </c>
      <c r="B295">
        <f>HYPERLINK("https://www.suredividend.com/sure-analysis-ESS/","Essex Property Trust, Inc.")</f>
        <v>0</v>
      </c>
      <c r="C295">
        <v>352.69</v>
      </c>
      <c r="D295">
        <v>224</v>
      </c>
      <c r="E295">
        <v>1.574508928571429</v>
      </c>
      <c r="F295">
        <v>0.02370353568289433</v>
      </c>
      <c r="G295">
        <v>-0.08678933570590819</v>
      </c>
      <c r="H295">
        <v>0.038</v>
      </c>
      <c r="I295">
        <v>-0.02320735159501897</v>
      </c>
      <c r="J295" t="s">
        <v>777</v>
      </c>
      <c r="K295" t="s">
        <v>346</v>
      </c>
      <c r="L295">
        <v>12.44</v>
      </c>
      <c r="M295">
        <v>8.359999999999999</v>
      </c>
      <c r="N295">
        <v>0.6720257234726688</v>
      </c>
      <c r="O295">
        <v>27</v>
      </c>
      <c r="P295">
        <v>0.01486259611873031</v>
      </c>
      <c r="Q295">
        <v>0.5449975435148791</v>
      </c>
      <c r="R295" t="s">
        <v>782</v>
      </c>
      <c r="S295" t="s">
        <v>794</v>
      </c>
      <c r="T295">
        <v>22924.584957</v>
      </c>
      <c r="U295" s="2">
        <v>44503</v>
      </c>
      <c r="V295" t="s">
        <v>805</v>
      </c>
    </row>
    <row r="296" spans="1:22">
      <c r="A296" s="1" t="s">
        <v>316</v>
      </c>
      <c r="B296">
        <f>HYPERLINK("https://www.suredividend.com/sure-analysis-FRT/","Federal Realty Investment Trust")</f>
        <v>0</v>
      </c>
      <c r="C296">
        <v>137.12</v>
      </c>
      <c r="D296">
        <v>78.2</v>
      </c>
      <c r="E296">
        <v>1.753452685421995</v>
      </c>
      <c r="F296">
        <v>0.03121353558926488</v>
      </c>
      <c r="G296">
        <v>-0.1062394326716419</v>
      </c>
      <c r="H296">
        <v>0.05</v>
      </c>
      <c r="I296">
        <v>-0.02331920202558324</v>
      </c>
      <c r="J296" t="s">
        <v>777</v>
      </c>
      <c r="K296" t="s">
        <v>777</v>
      </c>
      <c r="L296">
        <v>5.21</v>
      </c>
      <c r="M296">
        <v>4.28</v>
      </c>
      <c r="N296">
        <v>0.8214971209213052</v>
      </c>
      <c r="O296">
        <v>54</v>
      </c>
      <c r="P296">
        <v>0.0100752948556313</v>
      </c>
      <c r="Q296">
        <v>0.655391797152137</v>
      </c>
      <c r="R296" t="s">
        <v>782</v>
      </c>
      <c r="S296" t="s">
        <v>794</v>
      </c>
      <c r="T296">
        <v>10581.704461</v>
      </c>
      <c r="U296" s="2">
        <v>44509</v>
      </c>
      <c r="V296" t="s">
        <v>805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200.82</v>
      </c>
      <c r="D297">
        <v>121</v>
      </c>
      <c r="E297">
        <v>1.659669421487603</v>
      </c>
      <c r="F297">
        <v>0.01175181754805298</v>
      </c>
      <c r="G297">
        <v>-0.09635951183347424</v>
      </c>
      <c r="H297">
        <v>0.06</v>
      </c>
      <c r="I297">
        <v>-0.02600451747079024</v>
      </c>
      <c r="J297" t="s">
        <v>777</v>
      </c>
      <c r="K297" t="s">
        <v>524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0.4358572211543431</v>
      </c>
      <c r="R297" t="s">
        <v>780</v>
      </c>
      <c r="S297" t="s">
        <v>786</v>
      </c>
      <c r="T297">
        <v>48104.261447</v>
      </c>
      <c r="U297" s="2">
        <v>44511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165.73</v>
      </c>
      <c r="D298">
        <v>98</v>
      </c>
      <c r="E298">
        <v>1.691122448979592</v>
      </c>
      <c r="F298">
        <v>0.01568816750135763</v>
      </c>
      <c r="G298">
        <v>-0.0997461464174535</v>
      </c>
      <c r="H298">
        <v>0.05</v>
      </c>
      <c r="I298">
        <v>-0.03445612557731992</v>
      </c>
      <c r="J298" t="s">
        <v>777</v>
      </c>
      <c r="K298" t="s">
        <v>524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0.44736407147915</v>
      </c>
      <c r="R298" t="s">
        <v>780</v>
      </c>
      <c r="S298" t="s">
        <v>786</v>
      </c>
      <c r="T298">
        <v>69599.47547799999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74.48</v>
      </c>
      <c r="D299">
        <v>55</v>
      </c>
      <c r="E299">
        <v>1.354181818181818</v>
      </c>
      <c r="F299">
        <v>0.02309344790547798</v>
      </c>
      <c r="G299">
        <v>-0.05883752246617335</v>
      </c>
      <c r="H299">
        <v>-0.02</v>
      </c>
      <c r="I299">
        <v>-0.04687999355936512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0.229968659452427</v>
      </c>
      <c r="R299" t="s">
        <v>780</v>
      </c>
      <c r="S299" t="s">
        <v>789</v>
      </c>
      <c r="T299">
        <v>4038.357324</v>
      </c>
      <c r="U299" s="2">
        <v>44501</v>
      </c>
      <c r="V299" t="s">
        <v>800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119.1</v>
      </c>
      <c r="D300">
        <v>54</v>
      </c>
      <c r="E300">
        <v>2.205555555555555</v>
      </c>
      <c r="F300">
        <v>0.009403862300587743</v>
      </c>
      <c r="G300">
        <v>-0.1463174588346419</v>
      </c>
      <c r="H300">
        <v>0.09</v>
      </c>
      <c r="I300">
        <v>-0.05346180664128086</v>
      </c>
      <c r="J300" t="s">
        <v>777</v>
      </c>
      <c r="K300" t="s">
        <v>524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0.210923471178682</v>
      </c>
      <c r="R300" t="s">
        <v>780</v>
      </c>
      <c r="S300" t="s">
        <v>786</v>
      </c>
      <c r="T300">
        <v>21523.624466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245.16</v>
      </c>
      <c r="D301">
        <v>92</v>
      </c>
      <c r="E301">
        <v>2.664782608695652</v>
      </c>
      <c r="F301">
        <v>0.005302659487681514</v>
      </c>
      <c r="G301">
        <v>-0.1780079013447476</v>
      </c>
      <c r="H301">
        <v>0.12</v>
      </c>
      <c r="I301">
        <v>-0.06990500900079055</v>
      </c>
      <c r="J301" t="s">
        <v>777</v>
      </c>
      <c r="K301" t="s">
        <v>524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0.5203951316336101</v>
      </c>
      <c r="R301" t="s">
        <v>780</v>
      </c>
      <c r="S301" t="s">
        <v>785</v>
      </c>
      <c r="T301">
        <v>116876.271809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277.25</v>
      </c>
      <c r="D302">
        <v>140</v>
      </c>
      <c r="E302">
        <v>1.980357142857143</v>
      </c>
      <c r="F302">
        <v>0.01413886384129847</v>
      </c>
      <c r="G302">
        <v>-0.1277292766717102</v>
      </c>
      <c r="H302">
        <v>0.04</v>
      </c>
      <c r="I302">
        <v>-0.07105906333088374</v>
      </c>
      <c r="J302" t="s">
        <v>777</v>
      </c>
      <c r="K302" t="s">
        <v>524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0.69672076200691</v>
      </c>
      <c r="R302" t="s">
        <v>780</v>
      </c>
      <c r="S302" t="s">
        <v>785</v>
      </c>
      <c r="T302">
        <v>266334.454059</v>
      </c>
      <c r="U302" s="2">
        <v>44496</v>
      </c>
      <c r="V302" t="s">
        <v>796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4.27</v>
      </c>
      <c r="D303">
        <v>12</v>
      </c>
      <c r="E303">
        <v>0.3558333333333333</v>
      </c>
      <c r="F303">
        <v>0.009367681498829042</v>
      </c>
      <c r="G303">
        <v>0.2295626837644569</v>
      </c>
      <c r="H303">
        <v>0</v>
      </c>
      <c r="I303">
        <v>0.276639087669432</v>
      </c>
      <c r="J303" t="s">
        <v>346</v>
      </c>
      <c r="K303" t="s">
        <v>524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-0.678747567983349</v>
      </c>
      <c r="R303" t="s">
        <v>781</v>
      </c>
      <c r="S303" t="s">
        <v>793</v>
      </c>
      <c r="T303">
        <v>142.118039</v>
      </c>
      <c r="U303" s="2">
        <v>44527</v>
      </c>
      <c r="V303" t="s">
        <v>795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87.68000000000001</v>
      </c>
      <c r="D304">
        <v>130</v>
      </c>
      <c r="E304">
        <v>0.6744615384615386</v>
      </c>
      <c r="F304">
        <v>0.02007299270072993</v>
      </c>
      <c r="G304">
        <v>0.08195341552194413</v>
      </c>
      <c r="H304">
        <v>0.09</v>
      </c>
      <c r="I304">
        <v>0.1924822301338696</v>
      </c>
      <c r="J304" t="s">
        <v>346</v>
      </c>
      <c r="K304" t="s">
        <v>524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-0.033716923131439</v>
      </c>
      <c r="R304" t="s">
        <v>780</v>
      </c>
      <c r="S304" t="s">
        <v>788</v>
      </c>
      <c r="T304">
        <v>1833.625881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HYPERLINK("https://www.suredividend.com/sure-analysis-VTRS/","Viatris Inc")</f>
        <v>0</v>
      </c>
      <c r="C305">
        <v>13.55</v>
      </c>
      <c r="D305">
        <v>26.6</v>
      </c>
      <c r="E305">
        <v>0.5093984962406015</v>
      </c>
      <c r="F305">
        <v>0.01623616236162361</v>
      </c>
      <c r="G305">
        <v>0.1444279826370716</v>
      </c>
      <c r="H305">
        <v>0.02</v>
      </c>
      <c r="I305">
        <v>0.1763901903140035</v>
      </c>
      <c r="J305" t="s">
        <v>346</v>
      </c>
      <c r="K305" t="s">
        <v>524</v>
      </c>
      <c r="L305">
        <v>3.8</v>
      </c>
      <c r="M305">
        <v>0.22</v>
      </c>
      <c r="N305">
        <v>0.05789473684210526</v>
      </c>
      <c r="O305">
        <v>0</v>
      </c>
      <c r="P305">
        <v>0.01755457717558762</v>
      </c>
      <c r="Q305">
        <v>-0.218250056209896</v>
      </c>
      <c r="R305" t="s">
        <v>780</v>
      </c>
      <c r="S305" t="s">
        <v>785</v>
      </c>
      <c r="T305">
        <v>16399.374721</v>
      </c>
      <c r="U305" s="2">
        <v>44515</v>
      </c>
      <c r="V305" t="s">
        <v>806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5.56</v>
      </c>
      <c r="D306">
        <v>9.17</v>
      </c>
      <c r="E306">
        <v>0.6063249727371866</v>
      </c>
      <c r="F306">
        <v>0.03237410071942445</v>
      </c>
      <c r="G306">
        <v>0.1052458905521507</v>
      </c>
      <c r="H306">
        <v>0.04</v>
      </c>
      <c r="I306">
        <v>0.1696828542715469</v>
      </c>
      <c r="J306" t="s">
        <v>346</v>
      </c>
      <c r="K306" t="s">
        <v>777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-0.021145422097236</v>
      </c>
      <c r="R306" t="s">
        <v>780</v>
      </c>
      <c r="S306" t="s">
        <v>787</v>
      </c>
      <c r="T306">
        <v>1822.606911</v>
      </c>
      <c r="U306" s="2">
        <v>44384</v>
      </c>
      <c r="V306" t="s">
        <v>796</v>
      </c>
    </row>
    <row r="307" spans="1:22">
      <c r="A307" s="1" t="s">
        <v>327</v>
      </c>
      <c r="B307">
        <f>HYPERLINK("https://www.suredividend.com/sure-analysis-MMP/","Magellan Midstream Partners L.P.")</f>
        <v>0</v>
      </c>
      <c r="C307">
        <v>45.13</v>
      </c>
      <c r="D307">
        <v>60</v>
      </c>
      <c r="E307">
        <v>0.7521666666666668</v>
      </c>
      <c r="F307">
        <v>0.09195656990915134</v>
      </c>
      <c r="G307">
        <v>0.05861290360269478</v>
      </c>
      <c r="H307">
        <v>0.03</v>
      </c>
      <c r="I307">
        <v>0.1518164988197124</v>
      </c>
      <c r="J307" t="s">
        <v>346</v>
      </c>
      <c r="K307" t="s">
        <v>776</v>
      </c>
      <c r="L307">
        <v>5</v>
      </c>
      <c r="M307">
        <v>4.15</v>
      </c>
      <c r="N307">
        <v>0.8300000000000001</v>
      </c>
      <c r="O307">
        <v>21</v>
      </c>
      <c r="P307">
        <v>0.01857417298664354</v>
      </c>
      <c r="Q307">
        <v>0.154586604317957</v>
      </c>
      <c r="R307" t="s">
        <v>781</v>
      </c>
      <c r="S307" t="s">
        <v>793</v>
      </c>
      <c r="T307">
        <v>9549.539948</v>
      </c>
      <c r="U307" s="2">
        <v>44504</v>
      </c>
      <c r="V307" t="s">
        <v>803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59.72</v>
      </c>
      <c r="D308">
        <v>81</v>
      </c>
      <c r="E308">
        <v>0.7372839506172839</v>
      </c>
      <c r="F308">
        <v>0.04353650368385801</v>
      </c>
      <c r="G308">
        <v>0.06285261149292865</v>
      </c>
      <c r="H308">
        <v>0.05</v>
      </c>
      <c r="I308">
        <v>0.1485956603518912</v>
      </c>
      <c r="J308" t="s">
        <v>346</v>
      </c>
      <c r="K308" t="s">
        <v>777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0.310918183983199</v>
      </c>
      <c r="R308" t="s">
        <v>780</v>
      </c>
      <c r="S308" t="s">
        <v>786</v>
      </c>
      <c r="T308">
        <v>4043.012024</v>
      </c>
      <c r="U308" s="2">
        <v>44497</v>
      </c>
      <c r="V308" t="s">
        <v>795</v>
      </c>
    </row>
    <row r="309" spans="1:22">
      <c r="A309" s="1" t="s">
        <v>329</v>
      </c>
      <c r="B309">
        <f>HYPERLINK("https://www.suredividend.com/sure-analysis-T/","AT&amp;T, Inc.")</f>
        <v>0</v>
      </c>
      <c r="C309">
        <v>24.78</v>
      </c>
      <c r="D309">
        <v>32.5</v>
      </c>
      <c r="E309">
        <v>0.7624615384615385</v>
      </c>
      <c r="F309">
        <v>0.08393866020984665</v>
      </c>
      <c r="G309">
        <v>0.05573862730585022</v>
      </c>
      <c r="H309">
        <v>0.03</v>
      </c>
      <c r="I309">
        <v>0.1445383211238447</v>
      </c>
      <c r="J309" t="s">
        <v>346</v>
      </c>
      <c r="K309" t="s">
        <v>776</v>
      </c>
      <c r="L309">
        <v>3.25</v>
      </c>
      <c r="M309">
        <v>2.08</v>
      </c>
      <c r="N309">
        <v>0.64</v>
      </c>
      <c r="O309">
        <v>0</v>
      </c>
      <c r="P309">
        <v>0.01853111887485781</v>
      </c>
      <c r="Q309">
        <v>-0.089003338595719</v>
      </c>
      <c r="R309" t="s">
        <v>780</v>
      </c>
      <c r="S309" t="s">
        <v>784</v>
      </c>
      <c r="T309">
        <v>175929.6</v>
      </c>
      <c r="U309" s="2">
        <v>44490</v>
      </c>
      <c r="V309" t="s">
        <v>799</v>
      </c>
    </row>
    <row r="310" spans="1:22">
      <c r="A310" s="1" t="s">
        <v>330</v>
      </c>
      <c r="B310">
        <f>HYPERLINK("https://www.suredividend.com/sure-analysis-MDC/","M.D.C. Holdings, Inc.")</f>
        <v>0</v>
      </c>
      <c r="C310">
        <v>55.4</v>
      </c>
      <c r="D310">
        <v>65</v>
      </c>
      <c r="E310">
        <v>0.8523076923076923</v>
      </c>
      <c r="F310">
        <v>0.03610108303249097</v>
      </c>
      <c r="G310">
        <v>0.03247779051900124</v>
      </c>
      <c r="H310">
        <v>0.08</v>
      </c>
      <c r="I310">
        <v>0.1432176424079736</v>
      </c>
      <c r="J310" t="s">
        <v>346</v>
      </c>
      <c r="K310" t="s">
        <v>777</v>
      </c>
      <c r="L310">
        <v>8.09</v>
      </c>
      <c r="M310">
        <v>2</v>
      </c>
      <c r="N310">
        <v>0.2472187886279357</v>
      </c>
      <c r="O310">
        <v>6</v>
      </c>
      <c r="P310">
        <v>0.08009875865888949</v>
      </c>
      <c r="Q310">
        <v>0.247809719757175</v>
      </c>
      <c r="R310" t="s">
        <v>780</v>
      </c>
      <c r="S310" t="s">
        <v>789</v>
      </c>
      <c r="T310">
        <v>3900.795424</v>
      </c>
      <c r="U310" s="2">
        <v>44502</v>
      </c>
      <c r="V310" t="s">
        <v>795</v>
      </c>
    </row>
    <row r="311" spans="1:22">
      <c r="A311" s="1" t="s">
        <v>331</v>
      </c>
      <c r="B311">
        <f>HYPERLINK("https://www.suredividend.com/sure-analysis-DKS/","Dicks Sporting Goods, Inc.")</f>
        <v>0</v>
      </c>
      <c r="C311">
        <v>111.85</v>
      </c>
      <c r="D311">
        <v>162</v>
      </c>
      <c r="E311">
        <v>0.6904320987654321</v>
      </c>
      <c r="F311">
        <v>0.0156459544032186</v>
      </c>
      <c r="G311">
        <v>0.0769010619386683</v>
      </c>
      <c r="H311">
        <v>0.05</v>
      </c>
      <c r="I311">
        <v>0.1429583531348693</v>
      </c>
      <c r="J311" t="s">
        <v>346</v>
      </c>
      <c r="K311" t="s">
        <v>524</v>
      </c>
      <c r="L311">
        <v>14.7</v>
      </c>
      <c r="M311">
        <v>1.75</v>
      </c>
      <c r="N311">
        <v>0.1190476190476191</v>
      </c>
      <c r="O311">
        <v>7</v>
      </c>
      <c r="P311">
        <v>0.08979006975364512</v>
      </c>
      <c r="Q311">
        <v>1.024933682199668</v>
      </c>
      <c r="R311" t="s">
        <v>780</v>
      </c>
      <c r="S311" t="s">
        <v>788</v>
      </c>
      <c r="T311">
        <v>7035.258402</v>
      </c>
      <c r="U311" s="2">
        <v>44532</v>
      </c>
      <c r="V311" t="s">
        <v>802</v>
      </c>
    </row>
    <row r="312" spans="1:22">
      <c r="A312" s="1" t="s">
        <v>332</v>
      </c>
      <c r="B312">
        <f>HYPERLINK("https://www.suredividend.com/sure-analysis-FL/","Foot Locker Inc")</f>
        <v>0</v>
      </c>
      <c r="C312">
        <v>43.96</v>
      </c>
      <c r="D312">
        <v>84</v>
      </c>
      <c r="E312">
        <v>0.5233333333333333</v>
      </c>
      <c r="F312">
        <v>0.0272975432211101</v>
      </c>
      <c r="G312">
        <v>0.1382674593281599</v>
      </c>
      <c r="H312">
        <v>-0.02</v>
      </c>
      <c r="I312">
        <v>0.1415673048528587</v>
      </c>
      <c r="J312" t="s">
        <v>346</v>
      </c>
      <c r="K312" t="s">
        <v>346</v>
      </c>
      <c r="L312">
        <v>7.6</v>
      </c>
      <c r="M312">
        <v>1.2</v>
      </c>
      <c r="N312">
        <v>0.1578947368421053</v>
      </c>
      <c r="O312">
        <v>1</v>
      </c>
      <c r="P312">
        <v>0.1496540121887568</v>
      </c>
      <c r="Q312">
        <v>0.09913097830470201</v>
      </c>
      <c r="R312" t="s">
        <v>780</v>
      </c>
      <c r="S312" t="s">
        <v>788</v>
      </c>
      <c r="T312">
        <v>4377.068628</v>
      </c>
      <c r="U312" s="2">
        <v>44535</v>
      </c>
      <c r="V312" t="s">
        <v>800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92.18000000000001</v>
      </c>
      <c r="D313">
        <v>190</v>
      </c>
      <c r="E313">
        <v>0.4851578947368421</v>
      </c>
      <c r="F313">
        <v>0.04903449772184855</v>
      </c>
      <c r="G313">
        <v>0.1556421655667211</v>
      </c>
      <c r="H313">
        <v>-0.05</v>
      </c>
      <c r="I313">
        <v>0.135527326947342</v>
      </c>
      <c r="J313" t="s">
        <v>346</v>
      </c>
      <c r="K313" t="s">
        <v>777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0.06792815944592601</v>
      </c>
      <c r="R313" t="s">
        <v>780</v>
      </c>
      <c r="S313" t="s">
        <v>790</v>
      </c>
      <c r="T313">
        <v>30839.08809</v>
      </c>
      <c r="U313" s="2">
        <v>44502</v>
      </c>
      <c r="V313" t="s">
        <v>795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47.59</v>
      </c>
      <c r="D314">
        <v>68</v>
      </c>
      <c r="E314">
        <v>0.6998529411764707</v>
      </c>
      <c r="F314">
        <v>0.02101281781886951</v>
      </c>
      <c r="G314">
        <v>0.07398605304272676</v>
      </c>
      <c r="H314">
        <v>0.04</v>
      </c>
      <c r="I314">
        <v>0.1345135195240135</v>
      </c>
      <c r="J314" t="s">
        <v>346</v>
      </c>
      <c r="K314" t="s">
        <v>524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0.4055442050247841</v>
      </c>
      <c r="R314" t="s">
        <v>780</v>
      </c>
      <c r="S314" t="s">
        <v>789</v>
      </c>
      <c r="T314">
        <v>16611.9898</v>
      </c>
      <c r="U314" s="2">
        <v>44498</v>
      </c>
      <c r="V314" t="s">
        <v>797</v>
      </c>
    </row>
    <row r="315" spans="1:22">
      <c r="A315" s="1" t="s">
        <v>335</v>
      </c>
      <c r="B315">
        <f>HYPERLINK("https://www.suredividend.com/sure-analysis-TFC/","Truist Financial Corporation")</f>
        <v>0</v>
      </c>
      <c r="C315">
        <v>58.5</v>
      </c>
      <c r="D315">
        <v>70</v>
      </c>
      <c r="E315">
        <v>0.8357142857142857</v>
      </c>
      <c r="F315">
        <v>0.03282051282051282</v>
      </c>
      <c r="G315">
        <v>0.03654565330440174</v>
      </c>
      <c r="H315">
        <v>0.06</v>
      </c>
      <c r="I315">
        <v>0.1237063195448884</v>
      </c>
      <c r="J315" t="s">
        <v>346</v>
      </c>
      <c r="K315" t="s">
        <v>346</v>
      </c>
      <c r="L315">
        <v>5.38</v>
      </c>
      <c r="M315">
        <v>1.92</v>
      </c>
      <c r="N315">
        <v>0.3568773234200743</v>
      </c>
      <c r="O315">
        <v>10</v>
      </c>
      <c r="P315">
        <v>0.04996052445273014</v>
      </c>
      <c r="Q315">
        <v>0.298552107772313</v>
      </c>
      <c r="R315" t="s">
        <v>780</v>
      </c>
      <c r="S315" t="s">
        <v>789</v>
      </c>
      <c r="T315">
        <v>78464.92389799999</v>
      </c>
      <c r="U315" s="2">
        <v>44493</v>
      </c>
      <c r="V315" t="s">
        <v>802</v>
      </c>
    </row>
    <row r="316" spans="1:22">
      <c r="A316" s="1" t="s">
        <v>336</v>
      </c>
      <c r="B316">
        <f>HYPERLINK("https://www.suredividend.com/sure-analysis-TYCB/","Calvin b. Taylor Bankshares, Inc.")</f>
        <v>0</v>
      </c>
      <c r="C316">
        <v>36.71</v>
      </c>
      <c r="D316">
        <v>43</v>
      </c>
      <c r="E316">
        <v>0.8537209302325581</v>
      </c>
      <c r="F316">
        <v>0.03159901934077908</v>
      </c>
      <c r="G316">
        <v>0.03213573403351799</v>
      </c>
      <c r="H316">
        <v>0.06</v>
      </c>
      <c r="I316">
        <v>0.1199803139022255</v>
      </c>
      <c r="J316" t="s">
        <v>346</v>
      </c>
      <c r="K316" t="s">
        <v>777</v>
      </c>
      <c r="L316">
        <v>3.45</v>
      </c>
      <c r="M316">
        <v>1.16</v>
      </c>
      <c r="N316">
        <v>0.336231884057971</v>
      </c>
      <c r="O316">
        <v>30</v>
      </c>
      <c r="P316">
        <v>0.07039956279333892</v>
      </c>
      <c r="Q316">
        <v>0.053134926508259</v>
      </c>
      <c r="R316" t="s">
        <v>780</v>
      </c>
      <c r="S316" t="s">
        <v>789</v>
      </c>
      <c r="T316">
        <v>102.14812</v>
      </c>
      <c r="U316" s="2">
        <v>44529</v>
      </c>
      <c r="V316" t="s">
        <v>797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8.949999999999999</v>
      </c>
      <c r="D317">
        <v>14</v>
      </c>
      <c r="E317">
        <v>0.6392857142857142</v>
      </c>
      <c r="F317">
        <v>0.00446927374301676</v>
      </c>
      <c r="G317">
        <v>0.09360629154055977</v>
      </c>
      <c r="H317">
        <v>0.02</v>
      </c>
      <c r="I317">
        <v>0.118350229851506</v>
      </c>
      <c r="J317" t="s">
        <v>346</v>
      </c>
      <c r="K317" t="s">
        <v>778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-0.231800683420563</v>
      </c>
      <c r="R317" t="s">
        <v>782</v>
      </c>
      <c r="S317" t="s">
        <v>794</v>
      </c>
      <c r="T317">
        <v>1466.019917</v>
      </c>
      <c r="U317" s="2">
        <v>44512</v>
      </c>
      <c r="V317" t="s">
        <v>797</v>
      </c>
    </row>
    <row r="318" spans="1:22">
      <c r="A318" s="1" t="s">
        <v>338</v>
      </c>
      <c r="B318">
        <f>HYPERLINK("https://www.suredividend.com/sure-analysis-DDAIF/","Daimler AG")</f>
        <v>0</v>
      </c>
      <c r="C318">
        <v>76.65000000000001</v>
      </c>
      <c r="D318">
        <v>113</v>
      </c>
      <c r="E318">
        <v>0.6783185840707965</v>
      </c>
      <c r="F318">
        <v>0.02074363992172211</v>
      </c>
      <c r="G318">
        <v>0.08072016967263695</v>
      </c>
      <c r="H318">
        <v>0.02</v>
      </c>
      <c r="I318">
        <v>0.1170782822987277</v>
      </c>
      <c r="J318" t="s">
        <v>346</v>
      </c>
      <c r="K318" t="s">
        <v>524</v>
      </c>
      <c r="L318">
        <v>14.1</v>
      </c>
      <c r="M318">
        <v>1.59</v>
      </c>
      <c r="N318">
        <v>0.1127659574468085</v>
      </c>
      <c r="O318">
        <v>1</v>
      </c>
      <c r="P318">
        <v>0.02512087219852699</v>
      </c>
      <c r="Q318">
        <v>0.094384875846501</v>
      </c>
      <c r="R318" t="s">
        <v>780</v>
      </c>
      <c r="S318" t="s">
        <v>788</v>
      </c>
      <c r="T318">
        <v>82987.290764</v>
      </c>
      <c r="U318" s="2">
        <v>44498</v>
      </c>
      <c r="V318" t="s">
        <v>797</v>
      </c>
    </row>
    <row r="319" spans="1:22">
      <c r="A319" s="1" t="s">
        <v>339</v>
      </c>
      <c r="B319">
        <f>HYPERLINK("https://www.suredividend.com/sure-analysis-BTI/","British American Tobacco Plc")</f>
        <v>0</v>
      </c>
      <c r="C319">
        <v>37.25</v>
      </c>
      <c r="D319">
        <v>42</v>
      </c>
      <c r="E319">
        <v>0.8869047619047619</v>
      </c>
      <c r="F319">
        <v>0.07785234899328859</v>
      </c>
      <c r="G319">
        <v>0.02429393844736194</v>
      </c>
      <c r="H319">
        <v>0.03</v>
      </c>
      <c r="I319">
        <v>0.1154022772229844</v>
      </c>
      <c r="J319" t="s">
        <v>346</v>
      </c>
      <c r="K319" t="s">
        <v>776</v>
      </c>
      <c r="L319">
        <v>4.4</v>
      </c>
      <c r="M319">
        <v>2.9</v>
      </c>
      <c r="N319">
        <v>0.6590909090909091</v>
      </c>
      <c r="O319">
        <v>2</v>
      </c>
      <c r="P319">
        <v>0.02493227484012395</v>
      </c>
      <c r="Q319">
        <v>0.067173891280408</v>
      </c>
      <c r="R319" t="s">
        <v>780</v>
      </c>
      <c r="S319" t="s">
        <v>791</v>
      </c>
      <c r="T319">
        <v>85612.55706200001</v>
      </c>
      <c r="U319" s="2">
        <v>44462</v>
      </c>
      <c r="V319" t="s">
        <v>797</v>
      </c>
    </row>
    <row r="320" spans="1:22">
      <c r="A320" s="1" t="s">
        <v>340</v>
      </c>
      <c r="B320">
        <f>HYPERLINK("https://www.suredividend.com/sure-analysis-MCHP/","Microchip Technology, Inc.")</f>
        <v>0</v>
      </c>
      <c r="C320">
        <v>87.08</v>
      </c>
      <c r="D320">
        <v>81</v>
      </c>
      <c r="E320">
        <v>1.075061728395062</v>
      </c>
      <c r="F320">
        <v>0.01067983463481856</v>
      </c>
      <c r="G320">
        <v>-0.0143713483254948</v>
      </c>
      <c r="H320">
        <v>0.12</v>
      </c>
      <c r="I320">
        <v>0.1139576507375746</v>
      </c>
      <c r="J320" t="s">
        <v>346</v>
      </c>
      <c r="K320" t="s">
        <v>524</v>
      </c>
      <c r="L320">
        <v>4.5</v>
      </c>
      <c r="M320">
        <v>0.93</v>
      </c>
      <c r="N320">
        <v>0.2066666666666667</v>
      </c>
      <c r="O320">
        <v>19</v>
      </c>
      <c r="P320">
        <v>0.1201396745310872</v>
      </c>
      <c r="Q320">
        <v>1.640722308178038</v>
      </c>
      <c r="R320" t="s">
        <v>780</v>
      </c>
      <c r="S320" t="s">
        <v>787</v>
      </c>
      <c r="T320">
        <v>48961.791627</v>
      </c>
      <c r="U320" s="2">
        <v>44513</v>
      </c>
      <c r="V320" t="s">
        <v>795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42.92</v>
      </c>
      <c r="D321">
        <v>135</v>
      </c>
      <c r="E321">
        <v>0.3179259259259259</v>
      </c>
      <c r="F321">
        <v>0.048928238583411</v>
      </c>
      <c r="G321">
        <v>0.2575776519453081</v>
      </c>
      <c r="H321">
        <v>-0.15</v>
      </c>
      <c r="I321">
        <v>0.1138819720440498</v>
      </c>
      <c r="J321" t="s">
        <v>346</v>
      </c>
      <c r="K321" t="s">
        <v>777</v>
      </c>
      <c r="L321">
        <v>18</v>
      </c>
      <c r="M321">
        <v>2.1</v>
      </c>
      <c r="N321">
        <v>0.1166666666666667</v>
      </c>
      <c r="O321">
        <v>1</v>
      </c>
      <c r="P321">
        <v>0.08992507843838271</v>
      </c>
      <c r="Q321">
        <v>0.582267954361493</v>
      </c>
      <c r="R321" t="s">
        <v>780</v>
      </c>
      <c r="S321" t="s">
        <v>790</v>
      </c>
      <c r="T321">
        <v>8582.306667000001</v>
      </c>
      <c r="U321" s="2">
        <v>44513</v>
      </c>
      <c r="V321" t="s">
        <v>802</v>
      </c>
    </row>
    <row r="322" spans="1:22">
      <c r="A322" s="1" t="s">
        <v>342</v>
      </c>
      <c r="B322">
        <f>HYPERLINK("https://www.suredividend.com/sure-analysis-DHI/","D.R. Horton Inc.")</f>
        <v>0</v>
      </c>
      <c r="C322">
        <v>107.51</v>
      </c>
      <c r="D322">
        <v>127</v>
      </c>
      <c r="E322">
        <v>0.8465354330708662</v>
      </c>
      <c r="F322">
        <v>0.008371314296344527</v>
      </c>
      <c r="G322">
        <v>0.03388199414911486</v>
      </c>
      <c r="H322">
        <v>0.07000000000000001</v>
      </c>
      <c r="I322">
        <v>0.1136630146913911</v>
      </c>
      <c r="J322" t="s">
        <v>346</v>
      </c>
      <c r="K322" t="s">
        <v>524</v>
      </c>
      <c r="L322">
        <v>13.35</v>
      </c>
      <c r="M322">
        <v>0.9</v>
      </c>
      <c r="N322">
        <v>0.06741573033707865</v>
      </c>
      <c r="O322">
        <v>7</v>
      </c>
      <c r="P322">
        <v>0.100082101138866</v>
      </c>
      <c r="Q322">
        <v>0.557971014492753</v>
      </c>
      <c r="R322" t="s">
        <v>780</v>
      </c>
      <c r="S322" t="s">
        <v>788</v>
      </c>
      <c r="T322">
        <v>38595.815637</v>
      </c>
      <c r="U322" s="2">
        <v>44513</v>
      </c>
      <c r="V322" t="s">
        <v>802</v>
      </c>
    </row>
    <row r="323" spans="1:22">
      <c r="A323" s="1" t="s">
        <v>343</v>
      </c>
      <c r="B323">
        <f>HYPERLINK("https://www.suredividend.com/sure-analysis-GWLIF/","Great-West Lifeco, Inc.")</f>
        <v>0</v>
      </c>
      <c r="C323">
        <v>29.78</v>
      </c>
      <c r="D323">
        <v>34</v>
      </c>
      <c r="E323">
        <v>0.8758823529411766</v>
      </c>
      <c r="F323">
        <v>0.05271994627266622</v>
      </c>
      <c r="G323">
        <v>0.02685907294586554</v>
      </c>
      <c r="H323">
        <v>0.045</v>
      </c>
      <c r="I323">
        <v>0.1134049058904376</v>
      </c>
      <c r="J323" t="s">
        <v>346</v>
      </c>
      <c r="K323" t="s">
        <v>776</v>
      </c>
      <c r="L323">
        <v>2.8</v>
      </c>
      <c r="M323">
        <v>1.57</v>
      </c>
      <c r="N323">
        <v>0.5607142857142857</v>
      </c>
      <c r="O323">
        <v>6</v>
      </c>
      <c r="P323">
        <v>0.02999317534988744</v>
      </c>
      <c r="Q323">
        <v>0.271726585244009</v>
      </c>
      <c r="R323" t="s">
        <v>780</v>
      </c>
      <c r="S323" t="s">
        <v>789</v>
      </c>
      <c r="T323">
        <v>27477.221637</v>
      </c>
      <c r="U323" s="2">
        <v>44514</v>
      </c>
      <c r="V323" t="s">
        <v>802</v>
      </c>
    </row>
    <row r="324" spans="1:22">
      <c r="A324" s="1" t="s">
        <v>344</v>
      </c>
      <c r="B324">
        <f>HYPERLINK("https://www.suredividend.com/sure-analysis-THO/","Thor Industries, Inc.")</f>
        <v>0</v>
      </c>
      <c r="C324">
        <v>104.28</v>
      </c>
      <c r="D324">
        <v>152</v>
      </c>
      <c r="E324">
        <v>0.6860526315789474</v>
      </c>
      <c r="F324">
        <v>0.01649405446873801</v>
      </c>
      <c r="G324">
        <v>0.07827245997695953</v>
      </c>
      <c r="H324">
        <v>0.02</v>
      </c>
      <c r="I324">
        <v>0.1120650038331739</v>
      </c>
      <c r="J324" t="s">
        <v>346</v>
      </c>
      <c r="K324" t="s">
        <v>524</v>
      </c>
      <c r="L324">
        <v>14.5</v>
      </c>
      <c r="M324">
        <v>1.72</v>
      </c>
      <c r="N324">
        <v>0.1186206896551724</v>
      </c>
      <c r="O324">
        <v>11</v>
      </c>
      <c r="P324">
        <v>0.03471404488278096</v>
      </c>
      <c r="Q324">
        <v>0.08807004371369101</v>
      </c>
      <c r="R324" t="s">
        <v>780</v>
      </c>
      <c r="S324" t="s">
        <v>788</v>
      </c>
      <c r="T324">
        <v>5706.463127</v>
      </c>
      <c r="U324" s="2">
        <v>44547</v>
      </c>
      <c r="V324" t="s">
        <v>802</v>
      </c>
    </row>
    <row r="325" spans="1:22">
      <c r="A325" s="1" t="s">
        <v>345</v>
      </c>
      <c r="B325">
        <f>HYPERLINK("https://www.suredividend.com/sure-analysis-FNF/","Fidelity National Financial Inc")</f>
        <v>0</v>
      </c>
      <c r="C325">
        <v>52.01</v>
      </c>
      <c r="D325">
        <v>75</v>
      </c>
      <c r="E325">
        <v>0.6934666666666667</v>
      </c>
      <c r="F325">
        <v>0.03383964622188041</v>
      </c>
      <c r="G325">
        <v>0.07595691718842068</v>
      </c>
      <c r="H325">
        <v>0.01</v>
      </c>
      <c r="I325">
        <v>0.1113112429240353</v>
      </c>
      <c r="J325" t="s">
        <v>346</v>
      </c>
      <c r="K325" t="s">
        <v>777</v>
      </c>
      <c r="L325">
        <v>7.5</v>
      </c>
      <c r="M325">
        <v>1.76</v>
      </c>
      <c r="N325">
        <v>0.2346666666666667</v>
      </c>
      <c r="O325">
        <v>11</v>
      </c>
      <c r="P325">
        <v>0.01966570441215199</v>
      </c>
      <c r="Q325">
        <v>0.3827391074806391</v>
      </c>
      <c r="R325" t="s">
        <v>780</v>
      </c>
      <c r="S325" t="s">
        <v>789</v>
      </c>
      <c r="T325">
        <v>14829.794132</v>
      </c>
      <c r="U325" s="2">
        <v>44511</v>
      </c>
      <c r="V325" t="s">
        <v>799</v>
      </c>
    </row>
    <row r="326" spans="1:22">
      <c r="A326" s="1" t="s">
        <v>346</v>
      </c>
      <c r="B326">
        <f>HYPERLINK("https://www.suredividend.com/sure-analysis-C/","Citigroup Inc")</f>
        <v>0</v>
      </c>
      <c r="C326">
        <v>60.43</v>
      </c>
      <c r="D326">
        <v>105</v>
      </c>
      <c r="E326">
        <v>0.5755238095238095</v>
      </c>
      <c r="F326">
        <v>0.03375806718517293</v>
      </c>
      <c r="G326">
        <v>0.1168306933589323</v>
      </c>
      <c r="H326">
        <v>-0.03</v>
      </c>
      <c r="I326">
        <v>0.1111502855469502</v>
      </c>
      <c r="J326" t="s">
        <v>346</v>
      </c>
      <c r="K326" t="s">
        <v>777</v>
      </c>
      <c r="L326">
        <v>10.5</v>
      </c>
      <c r="M326">
        <v>2.04</v>
      </c>
      <c r="N326">
        <v>0.1942857142857143</v>
      </c>
      <c r="O326">
        <v>6</v>
      </c>
      <c r="P326">
        <v>0.06000153927394081</v>
      </c>
      <c r="Q326">
        <v>0.024277092839704</v>
      </c>
      <c r="R326" t="s">
        <v>780</v>
      </c>
      <c r="S326" t="s">
        <v>789</v>
      </c>
      <c r="T326">
        <v>122701.574979</v>
      </c>
      <c r="U326" s="2">
        <v>44485</v>
      </c>
      <c r="V326" t="s">
        <v>800</v>
      </c>
    </row>
    <row r="327" spans="1:22">
      <c r="A327" s="1" t="s">
        <v>347</v>
      </c>
      <c r="B327">
        <f>HYPERLINK("https://www.suredividend.com/sure-analysis-SYF/","Synchrony Financial")</f>
        <v>0</v>
      </c>
      <c r="C327">
        <v>46.26</v>
      </c>
      <c r="D327">
        <v>63</v>
      </c>
      <c r="E327">
        <v>0.7342857142857142</v>
      </c>
      <c r="F327">
        <v>0.01902291396454821</v>
      </c>
      <c r="G327">
        <v>0.06371916553863022</v>
      </c>
      <c r="H327">
        <v>0.03</v>
      </c>
      <c r="I327">
        <v>0.1109902499241215</v>
      </c>
      <c r="J327" t="s">
        <v>346</v>
      </c>
      <c r="K327" t="s">
        <v>524</v>
      </c>
      <c r="L327">
        <v>7</v>
      </c>
      <c r="M327">
        <v>0.88</v>
      </c>
      <c r="N327">
        <v>0.1257142857142857</v>
      </c>
      <c r="O327">
        <v>4</v>
      </c>
      <c r="P327">
        <v>0.06042477819475911</v>
      </c>
      <c r="Q327">
        <v>0.392314448307806</v>
      </c>
      <c r="R327" t="s">
        <v>780</v>
      </c>
      <c r="S327" t="s">
        <v>789</v>
      </c>
      <c r="T327">
        <v>25332.627303</v>
      </c>
      <c r="U327" s="2">
        <v>44500</v>
      </c>
      <c r="V327" t="s">
        <v>797</v>
      </c>
    </row>
    <row r="328" spans="1:22">
      <c r="A328" s="1" t="s">
        <v>348</v>
      </c>
      <c r="B328">
        <f>HYPERLINK("https://www.suredividend.com/sure-analysis-SNY/","Sanofi")</f>
        <v>0</v>
      </c>
      <c r="C328">
        <v>50.42</v>
      </c>
      <c r="D328">
        <v>61</v>
      </c>
      <c r="E328">
        <v>0.8265573770491803</v>
      </c>
      <c r="F328">
        <v>0.03827846092820309</v>
      </c>
      <c r="G328">
        <v>0.03883219049684139</v>
      </c>
      <c r="H328">
        <v>0.04</v>
      </c>
      <c r="I328">
        <v>0.1103450603988583</v>
      </c>
      <c r="J328" t="s">
        <v>346</v>
      </c>
      <c r="K328" t="s">
        <v>777</v>
      </c>
      <c r="L328">
        <v>3.79</v>
      </c>
      <c r="M328">
        <v>1.93</v>
      </c>
      <c r="N328">
        <v>0.5092348284960422</v>
      </c>
      <c r="O328">
        <v>27</v>
      </c>
      <c r="P328">
        <v>0.04016469901021225</v>
      </c>
      <c r="Q328">
        <v>0.08550969281881901</v>
      </c>
      <c r="R328" t="s">
        <v>780</v>
      </c>
      <c r="S328" t="s">
        <v>785</v>
      </c>
      <c r="T328">
        <v>127556.197194</v>
      </c>
      <c r="U328" s="2">
        <v>44501</v>
      </c>
      <c r="V328" t="s">
        <v>796</v>
      </c>
    </row>
    <row r="329" spans="1:22">
      <c r="A329" s="1" t="s">
        <v>349</v>
      </c>
      <c r="B329">
        <f>HYPERLINK("https://www.suredividend.com/sure-analysis-GLOP/","Gaslog Partners LP")</f>
        <v>0</v>
      </c>
      <c r="C329">
        <v>4.13</v>
      </c>
      <c r="D329">
        <v>5.25</v>
      </c>
      <c r="E329">
        <v>0.7866666666666666</v>
      </c>
      <c r="F329">
        <v>0.009685230024213076</v>
      </c>
      <c r="G329">
        <v>0.04916030418033301</v>
      </c>
      <c r="H329">
        <v>0.05</v>
      </c>
      <c r="I329">
        <v>0.1099347096565482</v>
      </c>
      <c r="J329" t="s">
        <v>346</v>
      </c>
      <c r="K329" t="s">
        <v>524</v>
      </c>
      <c r="L329">
        <v>1.25</v>
      </c>
      <c r="M329">
        <v>0.04</v>
      </c>
      <c r="N329">
        <v>0.032</v>
      </c>
      <c r="O329">
        <v>0</v>
      </c>
      <c r="P329">
        <v>0.08447177119769855</v>
      </c>
      <c r="Q329">
        <v>0.505052676843689</v>
      </c>
      <c r="R329" t="s">
        <v>780</v>
      </c>
      <c r="S329" t="s">
        <v>793</v>
      </c>
      <c r="T329">
        <v>199.574861</v>
      </c>
      <c r="U329" s="2">
        <v>44498</v>
      </c>
      <c r="V329" t="s">
        <v>795</v>
      </c>
    </row>
    <row r="330" spans="1:22">
      <c r="A330" s="1" t="s">
        <v>350</v>
      </c>
      <c r="B330">
        <f>HYPERLINK("https://www.suredividend.com/sure-analysis-LNC/","Lincoln National Corp.")</f>
        <v>0</v>
      </c>
      <c r="C330">
        <v>68.54000000000001</v>
      </c>
      <c r="D330">
        <v>76</v>
      </c>
      <c r="E330">
        <v>0.901842105263158</v>
      </c>
      <c r="F330">
        <v>0.02626203676685147</v>
      </c>
      <c r="G330">
        <v>0.02087812599720307</v>
      </c>
      <c r="H330">
        <v>0.06</v>
      </c>
      <c r="I330">
        <v>0.1047110203266128</v>
      </c>
      <c r="J330" t="s">
        <v>346</v>
      </c>
      <c r="K330" t="s">
        <v>346</v>
      </c>
      <c r="L330">
        <v>8.960000000000001</v>
      </c>
      <c r="M330">
        <v>1.8</v>
      </c>
      <c r="N330">
        <v>0.2008928571428571</v>
      </c>
      <c r="O330">
        <v>11</v>
      </c>
      <c r="P330">
        <v>0.06961037572506878</v>
      </c>
      <c r="Q330">
        <v>0.439610192707843</v>
      </c>
      <c r="R330" t="s">
        <v>780</v>
      </c>
      <c r="S330" t="s">
        <v>789</v>
      </c>
      <c r="T330">
        <v>12439.986013</v>
      </c>
      <c r="U330" s="2">
        <v>44505</v>
      </c>
      <c r="V330" t="s">
        <v>802</v>
      </c>
    </row>
    <row r="331" spans="1:22">
      <c r="A331" s="1" t="s">
        <v>351</v>
      </c>
      <c r="B331">
        <f>HYPERLINK("https://www.suredividend.com/sure-analysis-DFS/","Discover Financial Services")</f>
        <v>0</v>
      </c>
      <c r="C331">
        <v>115.83</v>
      </c>
      <c r="D331">
        <v>154</v>
      </c>
      <c r="E331">
        <v>0.7521428571428571</v>
      </c>
      <c r="F331">
        <v>0.0172666839333506</v>
      </c>
      <c r="G331">
        <v>0.05861960572045022</v>
      </c>
      <c r="H331">
        <v>0.03</v>
      </c>
      <c r="I331">
        <v>0.1046117054964195</v>
      </c>
      <c r="J331" t="s">
        <v>346</v>
      </c>
      <c r="K331" t="s">
        <v>524</v>
      </c>
      <c r="L331">
        <v>17.1</v>
      </c>
      <c r="M331">
        <v>2</v>
      </c>
      <c r="N331">
        <v>0.1169590643274854</v>
      </c>
      <c r="O331">
        <v>10</v>
      </c>
      <c r="P331">
        <v>0.0602809527753625</v>
      </c>
      <c r="Q331">
        <v>0.33722206179613</v>
      </c>
      <c r="R331" t="s">
        <v>780</v>
      </c>
      <c r="S331" t="s">
        <v>789</v>
      </c>
      <c r="T331">
        <v>33929.380041</v>
      </c>
      <c r="U331" s="2">
        <v>44499</v>
      </c>
      <c r="V331" t="s">
        <v>797</v>
      </c>
    </row>
    <row r="332" spans="1:22">
      <c r="A332" s="1" t="s">
        <v>352</v>
      </c>
      <c r="B332">
        <f>HYPERLINK("https://www.suredividend.com/sure-analysis-ALL/","Allstate Corp (The)")</f>
        <v>0</v>
      </c>
      <c r="C332">
        <v>117.68</v>
      </c>
      <c r="D332">
        <v>143</v>
      </c>
      <c r="E332">
        <v>0.822937062937063</v>
      </c>
      <c r="F332">
        <v>0.02753229095853161</v>
      </c>
      <c r="G332">
        <v>0.0397446049097685</v>
      </c>
      <c r="H332">
        <v>0.04</v>
      </c>
      <c r="I332">
        <v>0.1037680435691686</v>
      </c>
      <c r="J332" t="s">
        <v>346</v>
      </c>
      <c r="K332" t="s">
        <v>346</v>
      </c>
      <c r="L332">
        <v>14.25</v>
      </c>
      <c r="M332">
        <v>3.24</v>
      </c>
      <c r="N332">
        <v>0.2273684210526316</v>
      </c>
      <c r="O332">
        <v>9</v>
      </c>
      <c r="P332">
        <v>0.05024607263868264</v>
      </c>
      <c r="Q332">
        <v>0.126135802716665</v>
      </c>
      <c r="R332" t="s">
        <v>780</v>
      </c>
      <c r="S332" t="s">
        <v>789</v>
      </c>
      <c r="T332">
        <v>33813.439036</v>
      </c>
      <c r="U332" s="2">
        <v>44505</v>
      </c>
      <c r="V332" t="s">
        <v>802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26.68</v>
      </c>
      <c r="D333">
        <v>34.8</v>
      </c>
      <c r="E333">
        <v>0.7666666666666667</v>
      </c>
      <c r="F333">
        <v>0.02698650674662668</v>
      </c>
      <c r="G333">
        <v>0.05457794330579446</v>
      </c>
      <c r="H333">
        <v>0.02</v>
      </c>
      <c r="I333">
        <v>0.1037369102477632</v>
      </c>
      <c r="J333" t="s">
        <v>346</v>
      </c>
      <c r="K333" t="s">
        <v>524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0.6582432581989891</v>
      </c>
      <c r="R333" t="s">
        <v>780</v>
      </c>
      <c r="S333" t="s">
        <v>793</v>
      </c>
      <c r="T333">
        <v>87859.83745799999</v>
      </c>
      <c r="U333" s="2">
        <v>44502</v>
      </c>
      <c r="V333" t="s">
        <v>795</v>
      </c>
    </row>
    <row r="334" spans="1:22">
      <c r="A334" s="1" t="s">
        <v>354</v>
      </c>
      <c r="B334">
        <f>HYPERLINK("https://www.suredividend.com/sure-analysis-PNW/","Pinnacle West Capital Corp.")</f>
        <v>0</v>
      </c>
      <c r="C334">
        <v>70.5</v>
      </c>
      <c r="D334">
        <v>88</v>
      </c>
      <c r="E334">
        <v>0.8011363636363636</v>
      </c>
      <c r="F334">
        <v>0.04851063829787234</v>
      </c>
      <c r="G334">
        <v>0.04534274881008948</v>
      </c>
      <c r="H334">
        <v>0.02</v>
      </c>
      <c r="I334">
        <v>0.103434717725414</v>
      </c>
      <c r="J334" t="s">
        <v>346</v>
      </c>
      <c r="K334" t="s">
        <v>776</v>
      </c>
      <c r="L334">
        <v>5.06</v>
      </c>
      <c r="M334">
        <v>3.42</v>
      </c>
      <c r="N334">
        <v>0.6758893280632411</v>
      </c>
      <c r="O334">
        <v>10</v>
      </c>
      <c r="P334">
        <v>0.02021836907521135</v>
      </c>
      <c r="Q334">
        <v>-0.07699746098342601</v>
      </c>
      <c r="R334" t="s">
        <v>780</v>
      </c>
      <c r="S334" t="s">
        <v>792</v>
      </c>
      <c r="T334">
        <v>7880.329034</v>
      </c>
      <c r="U334" s="2">
        <v>44513</v>
      </c>
      <c r="V334" t="s">
        <v>798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158.99</v>
      </c>
      <c r="D335">
        <v>174</v>
      </c>
      <c r="E335">
        <v>0.9137356321839081</v>
      </c>
      <c r="F335">
        <v>0.01660481791307629</v>
      </c>
      <c r="G335">
        <v>0.01820655307960051</v>
      </c>
      <c r="H335">
        <v>0.07000000000000001</v>
      </c>
      <c r="I335">
        <v>0.1032081305514931</v>
      </c>
      <c r="J335" t="s">
        <v>346</v>
      </c>
      <c r="K335" t="s">
        <v>524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-0.183765555361797</v>
      </c>
      <c r="R335" t="s">
        <v>780</v>
      </c>
      <c r="S335" t="s">
        <v>790</v>
      </c>
      <c r="T335">
        <v>8700.167681999999</v>
      </c>
      <c r="U335" s="2">
        <v>44503</v>
      </c>
      <c r="V335" t="s">
        <v>795</v>
      </c>
    </row>
    <row r="336" spans="1:22">
      <c r="A336" s="1" t="s">
        <v>356</v>
      </c>
      <c r="B336">
        <f>HYPERLINK("https://www.suredividend.com/sure-analysis-MPLX/","MPLX LP")</f>
        <v>0</v>
      </c>
      <c r="C336">
        <v>29.14</v>
      </c>
      <c r="D336">
        <v>29</v>
      </c>
      <c r="E336">
        <v>1.004827586206896</v>
      </c>
      <c r="F336">
        <v>0.09677419354838709</v>
      </c>
      <c r="G336">
        <v>-0.0009627304335226849</v>
      </c>
      <c r="H336">
        <v>0.02</v>
      </c>
      <c r="I336">
        <v>0.1002189694271884</v>
      </c>
      <c r="J336" t="s">
        <v>346</v>
      </c>
      <c r="K336" t="s">
        <v>776</v>
      </c>
      <c r="L336">
        <v>4.1</v>
      </c>
      <c r="M336">
        <v>2.82</v>
      </c>
      <c r="N336">
        <v>0.6878048780487805</v>
      </c>
      <c r="O336">
        <v>9</v>
      </c>
      <c r="P336">
        <v>0.01977005769334617</v>
      </c>
      <c r="Q336">
        <v>0.496869108710504</v>
      </c>
      <c r="R336" t="s">
        <v>781</v>
      </c>
      <c r="S336" t="s">
        <v>793</v>
      </c>
      <c r="T336">
        <v>29718.826411</v>
      </c>
      <c r="U336" s="2">
        <v>44509</v>
      </c>
      <c r="V336" t="s">
        <v>799</v>
      </c>
    </row>
    <row r="337" spans="1:22">
      <c r="A337" s="1" t="s">
        <v>357</v>
      </c>
      <c r="B337">
        <f>HYPERLINK("https://www.suredividend.com/sure-analysis-AEG/","Aegon N. V.")</f>
        <v>0</v>
      </c>
      <c r="C337">
        <v>4.93</v>
      </c>
      <c r="D337">
        <v>5.6</v>
      </c>
      <c r="E337">
        <v>0.8803571428571428</v>
      </c>
      <c r="F337">
        <v>0.03448275862068966</v>
      </c>
      <c r="G337">
        <v>0.0258130543772126</v>
      </c>
      <c r="H337">
        <v>0.04</v>
      </c>
      <c r="I337">
        <v>0.09864260995749596</v>
      </c>
      <c r="J337" t="s">
        <v>346</v>
      </c>
      <c r="K337" t="s">
        <v>346</v>
      </c>
      <c r="L337">
        <v>0.7</v>
      </c>
      <c r="M337">
        <v>0.17</v>
      </c>
      <c r="N337">
        <v>0.2428571428571429</v>
      </c>
      <c r="O337">
        <v>0</v>
      </c>
      <c r="P337">
        <v>0.0801851873035635</v>
      </c>
      <c r="Q337">
        <v>0.324996674205135</v>
      </c>
      <c r="R337" t="s">
        <v>780</v>
      </c>
      <c r="S337" t="s">
        <v>789</v>
      </c>
      <c r="T337">
        <v>10483.591647</v>
      </c>
      <c r="U337" s="2">
        <v>44517</v>
      </c>
      <c r="V337" t="s">
        <v>803</v>
      </c>
    </row>
    <row r="338" spans="1:22">
      <c r="A338" s="1" t="s">
        <v>358</v>
      </c>
      <c r="B338">
        <f>HYPERLINK("https://www.suredividend.com/sure-analysis-BASFY/","Basf SE")</f>
        <v>0</v>
      </c>
      <c r="C338">
        <v>17.47</v>
      </c>
      <c r="D338">
        <v>19.6</v>
      </c>
      <c r="E338">
        <v>0.8913265306122448</v>
      </c>
      <c r="F338">
        <v>0.05380652547223812</v>
      </c>
      <c r="G338">
        <v>0.02327563480847128</v>
      </c>
      <c r="H338">
        <v>0.03</v>
      </c>
      <c r="I338">
        <v>0.09717367702221691</v>
      </c>
      <c r="J338" t="s">
        <v>346</v>
      </c>
      <c r="K338" t="s">
        <v>776</v>
      </c>
      <c r="L338">
        <v>1.51</v>
      </c>
      <c r="M338">
        <v>0.9399999999999999</v>
      </c>
      <c r="N338">
        <v>0.6225165562913907</v>
      </c>
      <c r="O338">
        <v>0</v>
      </c>
      <c r="P338">
        <v>0.02431988176177757</v>
      </c>
      <c r="Q338">
        <v>-0.07745923546316201</v>
      </c>
      <c r="R338" t="s">
        <v>780</v>
      </c>
      <c r="S338" t="s">
        <v>790</v>
      </c>
      <c r="T338">
        <v>64041.845418</v>
      </c>
      <c r="U338" s="2">
        <v>44497</v>
      </c>
      <c r="V338" t="s">
        <v>806</v>
      </c>
    </row>
    <row r="339" spans="1:22">
      <c r="A339" s="1" t="s">
        <v>359</v>
      </c>
      <c r="B339">
        <f>HYPERLINK("https://www.suredividend.com/sure-analysis-RLJ/","RLJ Lodging Trust")</f>
        <v>0</v>
      </c>
      <c r="C339">
        <v>13.94</v>
      </c>
      <c r="D339">
        <v>18.7</v>
      </c>
      <c r="E339">
        <v>0.7454545454545455</v>
      </c>
      <c r="F339">
        <v>0.002869440459110474</v>
      </c>
      <c r="G339">
        <v>0.06051243834129849</v>
      </c>
      <c r="H339">
        <v>0.01</v>
      </c>
      <c r="I339">
        <v>0.09687966857235319</v>
      </c>
      <c r="J339" t="s">
        <v>346</v>
      </c>
      <c r="K339" t="s">
        <v>778</v>
      </c>
      <c r="L339">
        <v>0.2</v>
      </c>
      <c r="M339">
        <v>0.04</v>
      </c>
      <c r="N339">
        <v>0.2</v>
      </c>
      <c r="O339">
        <v>0</v>
      </c>
      <c r="P339">
        <v>1</v>
      </c>
      <c r="Q339">
        <v>-0.027369215397192</v>
      </c>
      <c r="R339" t="s">
        <v>782</v>
      </c>
      <c r="S339" t="s">
        <v>794</v>
      </c>
      <c r="T339">
        <v>2318.790565</v>
      </c>
      <c r="U339" s="2">
        <v>44526</v>
      </c>
      <c r="V339" t="s">
        <v>803</v>
      </c>
    </row>
    <row r="340" spans="1:22">
      <c r="A340" s="1" t="s">
        <v>360</v>
      </c>
      <c r="B340">
        <f>HYPERLINK("https://www.suredividend.com/sure-analysis-IVZ/","Invesco Ltd")</f>
        <v>0</v>
      </c>
      <c r="C340">
        <v>23.21</v>
      </c>
      <c r="D340">
        <v>30</v>
      </c>
      <c r="E340">
        <v>0.7736666666666667</v>
      </c>
      <c r="F340">
        <v>0.02929771650150797</v>
      </c>
      <c r="G340">
        <v>0.05266267191985174</v>
      </c>
      <c r="H340">
        <v>0.02</v>
      </c>
      <c r="I340">
        <v>0.09649357384786561</v>
      </c>
      <c r="J340" t="s">
        <v>346</v>
      </c>
      <c r="K340" t="s">
        <v>346</v>
      </c>
      <c r="L340">
        <v>3</v>
      </c>
      <c r="M340">
        <v>0.68</v>
      </c>
      <c r="N340">
        <v>0.2266666666666667</v>
      </c>
      <c r="O340">
        <v>1</v>
      </c>
      <c r="P340">
        <v>0.02517111829582741</v>
      </c>
      <c r="Q340">
        <v>0.409615071295385</v>
      </c>
      <c r="R340" t="s">
        <v>780</v>
      </c>
      <c r="S340" t="s">
        <v>789</v>
      </c>
      <c r="T340">
        <v>10773.784237</v>
      </c>
      <c r="U340" s="2">
        <v>44505</v>
      </c>
      <c r="V340" t="s">
        <v>797</v>
      </c>
    </row>
    <row r="341" spans="1:22">
      <c r="A341" s="1" t="s">
        <v>361</v>
      </c>
      <c r="B341">
        <f>HYPERLINK("https://www.suredividend.com/sure-analysis-M/","Macy`s Inc")</f>
        <v>0</v>
      </c>
      <c r="C341">
        <v>26.84</v>
      </c>
      <c r="D341">
        <v>37</v>
      </c>
      <c r="E341">
        <v>0.7254054054054054</v>
      </c>
      <c r="F341">
        <v>0.02235469448584203</v>
      </c>
      <c r="G341">
        <v>0.06631088491649462</v>
      </c>
      <c r="H341">
        <v>0.01</v>
      </c>
      <c r="I341">
        <v>0.09310056842746839</v>
      </c>
      <c r="J341" t="s">
        <v>346</v>
      </c>
      <c r="K341" t="s">
        <v>524</v>
      </c>
      <c r="L341">
        <v>4.65</v>
      </c>
      <c r="M341">
        <v>0.6</v>
      </c>
      <c r="N341">
        <v>0.1290322580645161</v>
      </c>
      <c r="O341">
        <v>0</v>
      </c>
      <c r="P341">
        <v>0</v>
      </c>
      <c r="Q341">
        <v>1.375125446766554</v>
      </c>
      <c r="R341" t="s">
        <v>780</v>
      </c>
      <c r="S341" t="s">
        <v>788</v>
      </c>
      <c r="T341">
        <v>8074.288844</v>
      </c>
      <c r="U341" s="2">
        <v>44519</v>
      </c>
      <c r="V341" t="s">
        <v>797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53.58</v>
      </c>
      <c r="D342">
        <v>54</v>
      </c>
      <c r="E342">
        <v>0.9922222222222222</v>
      </c>
      <c r="F342">
        <v>0.03788727136991415</v>
      </c>
      <c r="G342">
        <v>0.001562856478802388</v>
      </c>
      <c r="H342">
        <v>0.06</v>
      </c>
      <c r="I342">
        <v>0.09278856726763407</v>
      </c>
      <c r="J342" t="s">
        <v>346</v>
      </c>
      <c r="K342" t="s">
        <v>777</v>
      </c>
      <c r="L342">
        <v>2.98</v>
      </c>
      <c r="M342">
        <v>2.03</v>
      </c>
      <c r="N342">
        <v>0.6812080536912751</v>
      </c>
      <c r="O342">
        <v>6</v>
      </c>
      <c r="P342">
        <v>0.03405357579605606</v>
      </c>
      <c r="Q342">
        <v>-0.07546623261973001</v>
      </c>
      <c r="R342" t="s">
        <v>780</v>
      </c>
      <c r="S342" t="s">
        <v>791</v>
      </c>
      <c r="T342">
        <v>137756.569686</v>
      </c>
      <c r="U342" s="2">
        <v>44516</v>
      </c>
      <c r="V342" t="s">
        <v>803</v>
      </c>
    </row>
    <row r="343" spans="1:22">
      <c r="A343" s="1" t="s">
        <v>363</v>
      </c>
      <c r="B343">
        <f>HYPERLINK("https://www.suredividend.com/sure-analysis-NHI/","National Health Investors, Inc.")</f>
        <v>0</v>
      </c>
      <c r="C343">
        <v>57.28</v>
      </c>
      <c r="D343">
        <v>61</v>
      </c>
      <c r="E343">
        <v>0.939016393442623</v>
      </c>
      <c r="F343">
        <v>0.06284916201117319</v>
      </c>
      <c r="G343">
        <v>0.01266398593771134</v>
      </c>
      <c r="H343">
        <v>0.03</v>
      </c>
      <c r="I343">
        <v>0.09275597486257614</v>
      </c>
      <c r="J343" t="s">
        <v>346</v>
      </c>
      <c r="K343" t="s">
        <v>777</v>
      </c>
      <c r="L343">
        <v>4.78</v>
      </c>
      <c r="M343">
        <v>3.6</v>
      </c>
      <c r="N343">
        <v>0.7531380753138075</v>
      </c>
      <c r="O343">
        <v>0</v>
      </c>
      <c r="P343">
        <v>0.009805797673485328</v>
      </c>
      <c r="Q343">
        <v>-0.13011895306832</v>
      </c>
      <c r="R343" t="s">
        <v>782</v>
      </c>
      <c r="S343" t="s">
        <v>794</v>
      </c>
      <c r="T343">
        <v>2646.496574</v>
      </c>
      <c r="U343" s="2">
        <v>44513</v>
      </c>
      <c r="V343" t="s">
        <v>802</v>
      </c>
    </row>
    <row r="344" spans="1:22">
      <c r="A344" s="1" t="s">
        <v>364</v>
      </c>
      <c r="B344">
        <f>HYPERLINK("https://www.suredividend.com/sure-analysis-SJI/","South Jersey Industries Inc.")</f>
        <v>0</v>
      </c>
      <c r="C344">
        <v>26.12</v>
      </c>
      <c r="D344">
        <v>29</v>
      </c>
      <c r="E344">
        <v>0.9006896551724138</v>
      </c>
      <c r="F344">
        <v>0.04594180704441041</v>
      </c>
      <c r="G344">
        <v>0.02113923911123572</v>
      </c>
      <c r="H344">
        <v>0.03</v>
      </c>
      <c r="I344">
        <v>0.09009633896713942</v>
      </c>
      <c r="J344" t="s">
        <v>346</v>
      </c>
      <c r="K344" t="s">
        <v>776</v>
      </c>
      <c r="L344">
        <v>1.6</v>
      </c>
      <c r="M344">
        <v>1.2</v>
      </c>
      <c r="N344">
        <v>0.7499999999999999</v>
      </c>
      <c r="O344">
        <v>23</v>
      </c>
      <c r="P344">
        <v>0.03131030647754507</v>
      </c>
      <c r="Q344">
        <v>0.260228096904677</v>
      </c>
      <c r="R344" t="s">
        <v>780</v>
      </c>
      <c r="S344" t="s">
        <v>792</v>
      </c>
      <c r="T344">
        <v>2911.255393</v>
      </c>
      <c r="U344" s="2">
        <v>44517</v>
      </c>
      <c r="V344" t="s">
        <v>801</v>
      </c>
    </row>
    <row r="345" spans="1:22">
      <c r="A345" s="1" t="s">
        <v>365</v>
      </c>
      <c r="B345">
        <f>HYPERLINK("https://www.suredividend.com/sure-analysis-STN/","Stantec Inc")</f>
        <v>0</v>
      </c>
      <c r="C345">
        <v>55.74</v>
      </c>
      <c r="D345">
        <v>49</v>
      </c>
      <c r="E345">
        <v>1.137551020408163</v>
      </c>
      <c r="F345">
        <v>0.00950843200574094</v>
      </c>
      <c r="G345">
        <v>-0.02544619125736591</v>
      </c>
      <c r="H345">
        <v>0.11</v>
      </c>
      <c r="I345">
        <v>0.08993372368724128</v>
      </c>
      <c r="J345" t="s">
        <v>346</v>
      </c>
      <c r="K345" t="s">
        <v>778</v>
      </c>
      <c r="L345">
        <v>1.95</v>
      </c>
      <c r="M345">
        <v>0.53</v>
      </c>
      <c r="N345">
        <v>0.2717948717948718</v>
      </c>
      <c r="O345">
        <v>3</v>
      </c>
      <c r="P345">
        <v>0.06022122873100355</v>
      </c>
      <c r="Q345">
        <v>0.730292773682765</v>
      </c>
      <c r="R345" t="s">
        <v>780</v>
      </c>
      <c r="S345" t="s">
        <v>786</v>
      </c>
      <c r="T345">
        <v>6238.428704</v>
      </c>
      <c r="U345" s="2">
        <v>44511</v>
      </c>
      <c r="V345" t="s">
        <v>795</v>
      </c>
    </row>
    <row r="346" spans="1:22">
      <c r="A346" s="1" t="s">
        <v>366</v>
      </c>
      <c r="B346">
        <f>HYPERLINK("https://www.suredividend.com/sure-analysis-ROST/","Ross Stores, Inc.")</f>
        <v>0</v>
      </c>
      <c r="C346">
        <v>114.27</v>
      </c>
      <c r="D346">
        <v>90</v>
      </c>
      <c r="E346">
        <v>1.269666666666667</v>
      </c>
      <c r="F346">
        <v>0.009976371751115778</v>
      </c>
      <c r="G346">
        <v>-0.04662873843148974</v>
      </c>
      <c r="H346">
        <v>0.13</v>
      </c>
      <c r="I346">
        <v>0.08851691782266546</v>
      </c>
      <c r="J346" t="s">
        <v>346</v>
      </c>
      <c r="K346" t="s">
        <v>778</v>
      </c>
      <c r="L346">
        <v>4.8</v>
      </c>
      <c r="M346">
        <v>1.14</v>
      </c>
      <c r="N346">
        <v>0.2375</v>
      </c>
      <c r="O346">
        <v>0</v>
      </c>
      <c r="P346">
        <v>0.1486983549970351</v>
      </c>
      <c r="Q346">
        <v>-0.05796456829403501</v>
      </c>
      <c r="R346" t="s">
        <v>780</v>
      </c>
      <c r="S346" t="s">
        <v>788</v>
      </c>
      <c r="T346">
        <v>40035.792273</v>
      </c>
      <c r="U346" s="2">
        <v>44522</v>
      </c>
      <c r="V346" t="s">
        <v>803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70.06999999999999</v>
      </c>
      <c r="D347">
        <v>75</v>
      </c>
      <c r="E347">
        <v>0.9342666666666666</v>
      </c>
      <c r="F347">
        <v>0.004566861709718853</v>
      </c>
      <c r="G347">
        <v>0.01369155675001577</v>
      </c>
      <c r="H347">
        <v>0.07000000000000001</v>
      </c>
      <c r="I347">
        <v>0.0884611000924449</v>
      </c>
      <c r="J347" t="s">
        <v>346</v>
      </c>
      <c r="K347" t="s">
        <v>778</v>
      </c>
      <c r="L347">
        <v>6.55</v>
      </c>
      <c r="M347">
        <v>0.32</v>
      </c>
      <c r="N347">
        <v>0.04885496183206107</v>
      </c>
      <c r="O347">
        <v>0</v>
      </c>
      <c r="P347">
        <v>0.05081623913789235</v>
      </c>
      <c r="Q347">
        <v>0.7189242721433791</v>
      </c>
      <c r="R347" t="s">
        <v>780</v>
      </c>
      <c r="S347" t="s">
        <v>787</v>
      </c>
      <c r="T347">
        <v>10249.884205</v>
      </c>
      <c r="U347" s="2">
        <v>44551</v>
      </c>
      <c r="V347" t="s">
        <v>802</v>
      </c>
    </row>
    <row r="348" spans="1:22">
      <c r="A348" s="1" t="s">
        <v>368</v>
      </c>
      <c r="B348">
        <f>HYPERLINK("https://www.suredividend.com/sure-analysis-CC/","Chemours Company")</f>
        <v>0</v>
      </c>
      <c r="C348">
        <v>33.18</v>
      </c>
      <c r="D348">
        <v>39</v>
      </c>
      <c r="E348">
        <v>0.8507692307692307</v>
      </c>
      <c r="F348">
        <v>0.03013863773357444</v>
      </c>
      <c r="G348">
        <v>0.03285093040341658</v>
      </c>
      <c r="H348">
        <v>0.03</v>
      </c>
      <c r="I348">
        <v>0.08638982532218398</v>
      </c>
      <c r="J348" t="s">
        <v>346</v>
      </c>
      <c r="K348" t="s">
        <v>346</v>
      </c>
      <c r="L348">
        <v>3.93</v>
      </c>
      <c r="M348">
        <v>1</v>
      </c>
      <c r="N348">
        <v>0.2544529262086514</v>
      </c>
      <c r="O348">
        <v>0</v>
      </c>
      <c r="P348">
        <v>0</v>
      </c>
      <c r="Q348">
        <v>0.383871088720263</v>
      </c>
      <c r="R348" t="s">
        <v>780</v>
      </c>
      <c r="S348" t="s">
        <v>790</v>
      </c>
      <c r="T348">
        <v>5411.929696</v>
      </c>
      <c r="U348" s="2">
        <v>44505</v>
      </c>
      <c r="V348" t="s">
        <v>796</v>
      </c>
    </row>
    <row r="349" spans="1:22">
      <c r="A349" s="1" t="s">
        <v>369</v>
      </c>
      <c r="B349">
        <f>HYPERLINK("https://www.suredividend.com/sure-analysis-SR/","Spire Inc.")</f>
        <v>0</v>
      </c>
      <c r="C349">
        <v>64.97</v>
      </c>
      <c r="D349">
        <v>63</v>
      </c>
      <c r="E349">
        <v>1.031269841269841</v>
      </c>
      <c r="F349">
        <v>0.04217331075881176</v>
      </c>
      <c r="G349">
        <v>-0.00613925697467832</v>
      </c>
      <c r="H349">
        <v>0.055</v>
      </c>
      <c r="I349">
        <v>0.0862224010017909</v>
      </c>
      <c r="J349" t="s">
        <v>346</v>
      </c>
      <c r="K349" t="s">
        <v>777</v>
      </c>
      <c r="L349">
        <v>3.96</v>
      </c>
      <c r="M349">
        <v>2.74</v>
      </c>
      <c r="N349">
        <v>0.6919191919191919</v>
      </c>
      <c r="O349">
        <v>19</v>
      </c>
      <c r="P349">
        <v>0.05017940304678881</v>
      </c>
      <c r="Q349">
        <v>0.070644730111057</v>
      </c>
      <c r="R349" t="s">
        <v>780</v>
      </c>
      <c r="S349" t="s">
        <v>792</v>
      </c>
      <c r="T349">
        <v>3357.017002</v>
      </c>
      <c r="U349" s="2">
        <v>44527</v>
      </c>
      <c r="V349" t="s">
        <v>798</v>
      </c>
    </row>
    <row r="350" spans="1:22">
      <c r="A350" s="1" t="s">
        <v>370</v>
      </c>
      <c r="B350">
        <f>HYPERLINK("https://www.suredividend.com/sure-analysis-HPQ/","HP Inc")</f>
        <v>0</v>
      </c>
      <c r="C350">
        <v>37.75</v>
      </c>
      <c r="D350">
        <v>42</v>
      </c>
      <c r="E350">
        <v>0.8988095238095238</v>
      </c>
      <c r="F350">
        <v>0.02649006622516556</v>
      </c>
      <c r="G350">
        <v>0.02156608628447798</v>
      </c>
      <c r="H350">
        <v>0.04</v>
      </c>
      <c r="I350">
        <v>0.08620778574452737</v>
      </c>
      <c r="J350" t="s">
        <v>346</v>
      </c>
      <c r="K350" t="s">
        <v>346</v>
      </c>
      <c r="L350">
        <v>4.17</v>
      </c>
      <c r="M350">
        <v>1</v>
      </c>
      <c r="N350">
        <v>0.2398081534772182</v>
      </c>
      <c r="O350">
        <v>11</v>
      </c>
      <c r="P350">
        <v>0.0602809527753625</v>
      </c>
      <c r="Q350">
        <v>0.6104752979888131</v>
      </c>
      <c r="R350" t="s">
        <v>780</v>
      </c>
      <c r="S350" t="s">
        <v>787</v>
      </c>
      <c r="T350">
        <v>41121.802791</v>
      </c>
      <c r="U350" s="2">
        <v>44533</v>
      </c>
      <c r="V350" t="s">
        <v>797</v>
      </c>
    </row>
    <row r="351" spans="1:22">
      <c r="A351" s="1" t="s">
        <v>371</v>
      </c>
      <c r="B351">
        <f>HYPERLINK("https://www.suredividend.com/sure-analysis-OGS/","ONE Gas Inc")</f>
        <v>0</v>
      </c>
      <c r="C351">
        <v>77.45999999999999</v>
      </c>
      <c r="D351">
        <v>77</v>
      </c>
      <c r="E351">
        <v>1.005974025974026</v>
      </c>
      <c r="F351">
        <v>0.02995094242189517</v>
      </c>
      <c r="G351">
        <v>-0.001190541189433403</v>
      </c>
      <c r="H351">
        <v>0.06</v>
      </c>
      <c r="I351">
        <v>0.08619317906496948</v>
      </c>
      <c r="J351" t="s">
        <v>346</v>
      </c>
      <c r="K351" t="s">
        <v>777</v>
      </c>
      <c r="L351">
        <v>3.85</v>
      </c>
      <c r="M351">
        <v>2.32</v>
      </c>
      <c r="N351">
        <v>0.6025974025974026</v>
      </c>
      <c r="O351">
        <v>7</v>
      </c>
      <c r="P351">
        <v>0.06509372738446295</v>
      </c>
      <c r="Q351">
        <v>0.046420077316849</v>
      </c>
      <c r="R351" t="s">
        <v>780</v>
      </c>
      <c r="S351" t="s">
        <v>792</v>
      </c>
      <c r="T351">
        <v>4116.592365</v>
      </c>
      <c r="U351" s="2">
        <v>44502</v>
      </c>
      <c r="V351" t="s">
        <v>795</v>
      </c>
    </row>
    <row r="352" spans="1:22">
      <c r="A352" s="1" t="s">
        <v>372</v>
      </c>
      <c r="B352">
        <f>HYPERLINK("https://www.suredividend.com/sure-analysis-PHM/","PulteGroup Inc")</f>
        <v>0</v>
      </c>
      <c r="C352">
        <v>56.65</v>
      </c>
      <c r="D352">
        <v>61</v>
      </c>
      <c r="E352">
        <v>0.9286885245901639</v>
      </c>
      <c r="F352">
        <v>0.01059135039717564</v>
      </c>
      <c r="G352">
        <v>0.01490638360632146</v>
      </c>
      <c r="H352">
        <v>0.06</v>
      </c>
      <c r="I352">
        <v>0.08441907616639921</v>
      </c>
      <c r="J352" t="s">
        <v>346</v>
      </c>
      <c r="K352" t="s">
        <v>524</v>
      </c>
      <c r="L352">
        <v>7.13</v>
      </c>
      <c r="M352">
        <v>0.6</v>
      </c>
      <c r="N352">
        <v>0.08415147265077139</v>
      </c>
      <c r="O352">
        <v>4</v>
      </c>
      <c r="P352">
        <v>0.03424021252947318</v>
      </c>
      <c r="Q352">
        <v>0.320246140598771</v>
      </c>
      <c r="R352" t="s">
        <v>780</v>
      </c>
      <c r="S352" t="s">
        <v>788</v>
      </c>
      <c r="T352">
        <v>14596.153703</v>
      </c>
      <c r="U352" s="2">
        <v>44498</v>
      </c>
      <c r="V352" t="s">
        <v>802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17.9</v>
      </c>
      <c r="D353">
        <v>20</v>
      </c>
      <c r="E353">
        <v>0.8949999999999999</v>
      </c>
      <c r="F353">
        <v>0.02681564245810056</v>
      </c>
      <c r="G353">
        <v>0.02243425864228787</v>
      </c>
      <c r="H353">
        <v>0.04</v>
      </c>
      <c r="I353">
        <v>0.0835254638227354</v>
      </c>
      <c r="J353" t="s">
        <v>346</v>
      </c>
      <c r="K353" t="s">
        <v>524</v>
      </c>
      <c r="L353">
        <v>2</v>
      </c>
      <c r="M353">
        <v>0.48</v>
      </c>
      <c r="N353">
        <v>0.24</v>
      </c>
      <c r="O353">
        <v>0</v>
      </c>
      <c r="P353">
        <v>0</v>
      </c>
      <c r="Q353">
        <v>-0.109440435945305</v>
      </c>
      <c r="R353" t="s">
        <v>780</v>
      </c>
      <c r="S353" t="s">
        <v>788</v>
      </c>
      <c r="T353">
        <v>6590.567257</v>
      </c>
      <c r="U353" s="2">
        <v>44528</v>
      </c>
      <c r="V353" t="s">
        <v>798</v>
      </c>
    </row>
    <row r="354" spans="1:22">
      <c r="A354" s="1" t="s">
        <v>374</v>
      </c>
      <c r="B354">
        <f>HYPERLINK("https://www.suredividend.com/sure-analysis-PFG/","Principal Financial Group Inc")</f>
        <v>0</v>
      </c>
      <c r="C354">
        <v>72.11</v>
      </c>
      <c r="D354">
        <v>72</v>
      </c>
      <c r="E354">
        <v>1.001527777777778</v>
      </c>
      <c r="F354">
        <v>0.03550131743170157</v>
      </c>
      <c r="G354">
        <v>-0.0003052757763873926</v>
      </c>
      <c r="H354">
        <v>0.05</v>
      </c>
      <c r="I354">
        <v>0.08253103531325134</v>
      </c>
      <c r="J354" t="s">
        <v>346</v>
      </c>
      <c r="K354" t="s">
        <v>346</v>
      </c>
      <c r="L354">
        <v>6.55</v>
      </c>
      <c r="M354">
        <v>2.56</v>
      </c>
      <c r="N354">
        <v>0.3908396946564885</v>
      </c>
      <c r="O354">
        <v>15</v>
      </c>
      <c r="P354">
        <v>0.06025622492066018</v>
      </c>
      <c r="Q354">
        <v>0.5505938079220151</v>
      </c>
      <c r="R354" t="s">
        <v>780</v>
      </c>
      <c r="S354" t="s">
        <v>789</v>
      </c>
      <c r="T354">
        <v>19159.217822</v>
      </c>
      <c r="U354" s="2">
        <v>44505</v>
      </c>
      <c r="V354" t="s">
        <v>797</v>
      </c>
    </row>
    <row r="355" spans="1:22">
      <c r="A355" s="1" t="s">
        <v>375</v>
      </c>
      <c r="B355">
        <f>HYPERLINK("https://www.suredividend.com/sure-analysis-CE/","Celanese Corp")</f>
        <v>0</v>
      </c>
      <c r="C355">
        <v>166.13</v>
      </c>
      <c r="D355">
        <v>197</v>
      </c>
      <c r="E355">
        <v>0.8432994923857868</v>
      </c>
      <c r="F355">
        <v>0.0163727201589117</v>
      </c>
      <c r="G355">
        <v>0.03467422929548469</v>
      </c>
      <c r="H355">
        <v>0.03</v>
      </c>
      <c r="I355">
        <v>0.08224043170410766</v>
      </c>
      <c r="J355" t="s">
        <v>346</v>
      </c>
      <c r="K355" t="s">
        <v>524</v>
      </c>
      <c r="L355">
        <v>17.12</v>
      </c>
      <c r="M355">
        <v>2.72</v>
      </c>
      <c r="N355">
        <v>0.1588785046728972</v>
      </c>
      <c r="O355">
        <v>11</v>
      </c>
      <c r="P355">
        <v>0.09997050830829379</v>
      </c>
      <c r="Q355">
        <v>0.334760656994951</v>
      </c>
      <c r="R355" t="s">
        <v>780</v>
      </c>
      <c r="S355" t="s">
        <v>786</v>
      </c>
      <c r="T355">
        <v>18190.141284</v>
      </c>
      <c r="U355" s="2">
        <v>44494</v>
      </c>
      <c r="V355" t="s">
        <v>802</v>
      </c>
    </row>
    <row r="356" spans="1:22">
      <c r="A356" s="1" t="s">
        <v>376</v>
      </c>
      <c r="B356">
        <f>HYPERLINK("https://www.suredividend.com/sure-analysis-OGE/","Oge Energy Corp.")</f>
        <v>0</v>
      </c>
      <c r="C356">
        <v>38.25</v>
      </c>
      <c r="D356">
        <v>37</v>
      </c>
      <c r="E356">
        <v>1.033783783783784</v>
      </c>
      <c r="F356">
        <v>0.04287581699346405</v>
      </c>
      <c r="G356">
        <v>-0.006623099476976813</v>
      </c>
      <c r="H356">
        <v>0.05</v>
      </c>
      <c r="I356">
        <v>0.08223253046814682</v>
      </c>
      <c r="J356" t="s">
        <v>346</v>
      </c>
      <c r="K356" t="s">
        <v>777</v>
      </c>
      <c r="L356">
        <v>2.17</v>
      </c>
      <c r="M356">
        <v>1.64</v>
      </c>
      <c r="N356">
        <v>0.7557603686635944</v>
      </c>
      <c r="O356">
        <v>15</v>
      </c>
      <c r="P356">
        <v>0.05168994430952489</v>
      </c>
      <c r="Q356">
        <v>0.290833793297281</v>
      </c>
      <c r="R356" t="s">
        <v>780</v>
      </c>
      <c r="S356" t="s">
        <v>792</v>
      </c>
      <c r="T356">
        <v>7630.646641</v>
      </c>
      <c r="U356" s="2">
        <v>44508</v>
      </c>
      <c r="V356" t="s">
        <v>803</v>
      </c>
    </row>
    <row r="357" spans="1:22">
      <c r="A357" s="1" t="s">
        <v>377</v>
      </c>
      <c r="B357">
        <f>HYPERLINK("https://www.suredividend.com/sure-analysis-FAF/","First American Financial Corp")</f>
        <v>0</v>
      </c>
      <c r="C357">
        <v>78.11</v>
      </c>
      <c r="D357">
        <v>82</v>
      </c>
      <c r="E357">
        <v>0.9525609756097561</v>
      </c>
      <c r="F357">
        <v>0.02483676865958264</v>
      </c>
      <c r="G357">
        <v>0.009767626417521269</v>
      </c>
      <c r="H357">
        <v>0.05</v>
      </c>
      <c r="I357">
        <v>0.08216110537897503</v>
      </c>
      <c r="J357" t="s">
        <v>346</v>
      </c>
      <c r="K357" t="s">
        <v>346</v>
      </c>
      <c r="L357">
        <v>7.48</v>
      </c>
      <c r="M357">
        <v>1.94</v>
      </c>
      <c r="N357">
        <v>0.2593582887700535</v>
      </c>
      <c r="O357">
        <v>10</v>
      </c>
      <c r="P357">
        <v>0.05034020601589084</v>
      </c>
      <c r="Q357">
        <v>0.567941125465189</v>
      </c>
      <c r="R357" t="s">
        <v>780</v>
      </c>
      <c r="S357" t="s">
        <v>789</v>
      </c>
      <c r="T357">
        <v>8634.271119000001</v>
      </c>
      <c r="U357" s="2">
        <v>44494</v>
      </c>
      <c r="V357" t="s">
        <v>802</v>
      </c>
    </row>
    <row r="358" spans="1:22">
      <c r="A358" s="1" t="s">
        <v>378</v>
      </c>
      <c r="B358">
        <f>HYPERLINK("https://www.suredividend.com/sure-analysis-PM/","Philip Morris International Inc")</f>
        <v>0</v>
      </c>
      <c r="C358">
        <v>94.26000000000001</v>
      </c>
      <c r="D358">
        <v>97</v>
      </c>
      <c r="E358">
        <v>0.9717525773195876</v>
      </c>
      <c r="F358">
        <v>0.05304476978569913</v>
      </c>
      <c r="G358">
        <v>0.00574726391495517</v>
      </c>
      <c r="H358">
        <v>0.03</v>
      </c>
      <c r="I358">
        <v>0.08202490606763679</v>
      </c>
      <c r="J358" t="s">
        <v>346</v>
      </c>
      <c r="K358" t="s">
        <v>777</v>
      </c>
      <c r="L358">
        <v>6.04</v>
      </c>
      <c r="M358">
        <v>5</v>
      </c>
      <c r="N358">
        <v>0.8278145695364238</v>
      </c>
      <c r="O358">
        <v>14</v>
      </c>
      <c r="P358">
        <v>0.03012896281839894</v>
      </c>
      <c r="Q358">
        <v>0.196049358915006</v>
      </c>
      <c r="R358" t="s">
        <v>780</v>
      </c>
      <c r="S358" t="s">
        <v>791</v>
      </c>
      <c r="T358">
        <v>146808.850224</v>
      </c>
      <c r="U358" s="2">
        <v>44488</v>
      </c>
      <c r="V358" t="s">
        <v>795</v>
      </c>
    </row>
    <row r="359" spans="1:22">
      <c r="A359" s="1" t="s">
        <v>379</v>
      </c>
      <c r="B359">
        <f>HYPERLINK("https://www.suredividend.com/sure-analysis-DGX/","Quest Diagnostics, Inc.")</f>
        <v>0</v>
      </c>
      <c r="C359">
        <v>171.34</v>
      </c>
      <c r="D359">
        <v>206</v>
      </c>
      <c r="E359">
        <v>0.831747572815534</v>
      </c>
      <c r="F359">
        <v>0.0144741449749037</v>
      </c>
      <c r="G359">
        <v>0.03753245696049934</v>
      </c>
      <c r="H359">
        <v>0.03</v>
      </c>
      <c r="I359">
        <v>0.08198367727132516</v>
      </c>
      <c r="J359" t="s">
        <v>346</v>
      </c>
      <c r="K359" t="s">
        <v>524</v>
      </c>
      <c r="L359">
        <v>13.7</v>
      </c>
      <c r="M359">
        <v>2.48</v>
      </c>
      <c r="N359">
        <v>0.181021897810219</v>
      </c>
      <c r="O359">
        <v>10</v>
      </c>
      <c r="P359">
        <v>0.07010283006626494</v>
      </c>
      <c r="Q359">
        <v>0.449890518818916</v>
      </c>
      <c r="R359" t="s">
        <v>780</v>
      </c>
      <c r="S359" t="s">
        <v>785</v>
      </c>
      <c r="T359">
        <v>20868.205295</v>
      </c>
      <c r="U359" s="2">
        <v>44490</v>
      </c>
      <c r="V359" t="s">
        <v>798</v>
      </c>
    </row>
    <row r="360" spans="1:22">
      <c r="A360" s="1" t="s">
        <v>380</v>
      </c>
      <c r="B360">
        <f>HYPERLINK("https://www.suredividend.com/sure-analysis-PRU/","Prudential Financial Inc.")</f>
        <v>0</v>
      </c>
      <c r="C360">
        <v>108.63</v>
      </c>
      <c r="D360">
        <v>116</v>
      </c>
      <c r="E360">
        <v>0.9364655172413793</v>
      </c>
      <c r="F360">
        <v>0.04234557672834392</v>
      </c>
      <c r="G360">
        <v>0.01321507306982084</v>
      </c>
      <c r="H360">
        <v>0.03</v>
      </c>
      <c r="I360">
        <v>0.08105895750089553</v>
      </c>
      <c r="J360" t="s">
        <v>346</v>
      </c>
      <c r="K360" t="s">
        <v>777</v>
      </c>
      <c r="L360">
        <v>14.5</v>
      </c>
      <c r="M360">
        <v>4.6</v>
      </c>
      <c r="N360">
        <v>0.3172413793103448</v>
      </c>
      <c r="O360">
        <v>13</v>
      </c>
      <c r="P360">
        <v>0.04012620718096094</v>
      </c>
      <c r="Q360">
        <v>0.49762135222522</v>
      </c>
      <c r="R360" t="s">
        <v>780</v>
      </c>
      <c r="S360" t="s">
        <v>789</v>
      </c>
      <c r="T360">
        <v>41232.24</v>
      </c>
      <c r="U360" s="2">
        <v>44509</v>
      </c>
      <c r="V360" t="s">
        <v>799</v>
      </c>
    </row>
    <row r="361" spans="1:22">
      <c r="A361" s="1" t="s">
        <v>381</v>
      </c>
      <c r="B361">
        <f>HYPERLINK("https://www.suredividend.com/sure-analysis-OKE/","Oneok Inc.")</f>
        <v>0</v>
      </c>
      <c r="C361">
        <v>58.48</v>
      </c>
      <c r="D361">
        <v>57</v>
      </c>
      <c r="E361">
        <v>1.025964912280702</v>
      </c>
      <c r="F361">
        <v>0.06395348837209303</v>
      </c>
      <c r="G361">
        <v>-0.005113590375061872</v>
      </c>
      <c r="H361">
        <v>0.03</v>
      </c>
      <c r="I361">
        <v>0.08001720634493226</v>
      </c>
      <c r="J361" t="s">
        <v>346</v>
      </c>
      <c r="K361" t="s">
        <v>776</v>
      </c>
      <c r="L361">
        <v>5.15</v>
      </c>
      <c r="M361">
        <v>3.74</v>
      </c>
      <c r="N361">
        <v>0.7262135922330097</v>
      </c>
      <c r="O361">
        <v>18</v>
      </c>
      <c r="P361">
        <v>0.02003644710053942</v>
      </c>
      <c r="Q361">
        <v>0.657785839005498</v>
      </c>
      <c r="R361" t="s">
        <v>780</v>
      </c>
      <c r="S361" t="s">
        <v>793</v>
      </c>
      <c r="T361">
        <v>26207.700035</v>
      </c>
      <c r="U361" s="2">
        <v>44506</v>
      </c>
      <c r="V361" t="s">
        <v>797</v>
      </c>
    </row>
    <row r="362" spans="1:22">
      <c r="A362" s="1" t="s">
        <v>382</v>
      </c>
      <c r="B362">
        <f>HYPERLINK("https://www.suredividend.com/sure-analysis-PGR/","Progressive Corp.")</f>
        <v>0</v>
      </c>
      <c r="C362">
        <v>103.05</v>
      </c>
      <c r="D362">
        <v>96</v>
      </c>
      <c r="E362">
        <v>1.0734375</v>
      </c>
      <c r="F362">
        <v>0.01843765162542455</v>
      </c>
      <c r="G362">
        <v>-0.0140732558896598</v>
      </c>
      <c r="H362">
        <v>0.08</v>
      </c>
      <c r="I362">
        <v>0.07877214304364588</v>
      </c>
      <c r="J362" t="s">
        <v>346</v>
      </c>
      <c r="K362" t="s">
        <v>524</v>
      </c>
      <c r="L362">
        <v>7.7</v>
      </c>
      <c r="M362">
        <v>1.9</v>
      </c>
      <c r="N362">
        <v>0.2467532467532467</v>
      </c>
      <c r="O362">
        <v>4</v>
      </c>
      <c r="P362">
        <v>0</v>
      </c>
      <c r="Q362">
        <v>0.133967884179746</v>
      </c>
      <c r="R362" t="s">
        <v>780</v>
      </c>
      <c r="S362" t="s">
        <v>789</v>
      </c>
      <c r="T362">
        <v>60829.066547</v>
      </c>
      <c r="U362" s="2">
        <v>44494</v>
      </c>
      <c r="V362" t="s">
        <v>795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47.14</v>
      </c>
      <c r="D363">
        <v>47</v>
      </c>
      <c r="E363">
        <v>1.002978723404255</v>
      </c>
      <c r="F363">
        <v>0.03394145099703012</v>
      </c>
      <c r="G363">
        <v>-0.0005946822659527173</v>
      </c>
      <c r="H363">
        <v>0.05</v>
      </c>
      <c r="I363">
        <v>0.07830004975545979</v>
      </c>
      <c r="J363" t="s">
        <v>346</v>
      </c>
      <c r="K363" t="s">
        <v>777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0.03559241978131601</v>
      </c>
      <c r="R363" t="s">
        <v>780</v>
      </c>
      <c r="S363" t="s">
        <v>784</v>
      </c>
      <c r="T363">
        <v>18475.777876</v>
      </c>
      <c r="U363" s="2">
        <v>44496</v>
      </c>
      <c r="V363" t="s">
        <v>803</v>
      </c>
    </row>
    <row r="364" spans="1:22">
      <c r="A364" s="1" t="s">
        <v>384</v>
      </c>
      <c r="B364">
        <f>HYPERLINK("https://www.suredividend.com/sure-analysis-HPE/","Hewlett Packard Enterprise Co")</f>
        <v>0</v>
      </c>
      <c r="C364">
        <v>15.89</v>
      </c>
      <c r="D364">
        <v>15.23</v>
      </c>
      <c r="E364">
        <v>1.04333552199606</v>
      </c>
      <c r="F364">
        <v>0.03020767778477029</v>
      </c>
      <c r="G364">
        <v>-0.008448670407911973</v>
      </c>
      <c r="H364">
        <v>0.06</v>
      </c>
      <c r="I364">
        <v>0.07824672945002709</v>
      </c>
      <c r="J364" t="s">
        <v>346</v>
      </c>
      <c r="K364" t="s">
        <v>346</v>
      </c>
      <c r="L364">
        <v>2.03</v>
      </c>
      <c r="M364">
        <v>0.48</v>
      </c>
      <c r="N364">
        <v>0.2364532019704434</v>
      </c>
      <c r="O364">
        <v>0</v>
      </c>
      <c r="P364">
        <v>0.04910201101938982</v>
      </c>
      <c r="Q364">
        <v>0.421457192644157</v>
      </c>
      <c r="R364" t="s">
        <v>780</v>
      </c>
      <c r="S364" t="s">
        <v>787</v>
      </c>
      <c r="T364">
        <v>20785.579305</v>
      </c>
      <c r="U364" s="2">
        <v>44534</v>
      </c>
      <c r="V364" t="s">
        <v>795</v>
      </c>
    </row>
    <row r="365" spans="1:22">
      <c r="A365" s="1" t="s">
        <v>385</v>
      </c>
      <c r="B365">
        <f>HYPERLINK("https://www.suredividend.com/sure-analysis-VIAC/","ViacomCBS Inc")</f>
        <v>0</v>
      </c>
      <c r="C365">
        <v>31.12</v>
      </c>
      <c r="D365">
        <v>36</v>
      </c>
      <c r="E365">
        <v>0.8644444444444445</v>
      </c>
      <c r="F365">
        <v>0.03084832904884319</v>
      </c>
      <c r="G365">
        <v>0.02956218403155875</v>
      </c>
      <c r="H365">
        <v>0.02</v>
      </c>
      <c r="I365">
        <v>0.07812608528748655</v>
      </c>
      <c r="J365" t="s">
        <v>346</v>
      </c>
      <c r="K365" t="s">
        <v>346</v>
      </c>
      <c r="L365">
        <v>3.64</v>
      </c>
      <c r="M365">
        <v>0.96</v>
      </c>
      <c r="N365">
        <v>0.2637362637362637</v>
      </c>
      <c r="O365">
        <v>1</v>
      </c>
      <c r="P365">
        <v>0.05081623913789235</v>
      </c>
      <c r="Q365">
        <v>-0.164798440437234</v>
      </c>
      <c r="R365" t="s">
        <v>780</v>
      </c>
      <c r="S365" t="s">
        <v>784</v>
      </c>
      <c r="T365">
        <v>19549.868972</v>
      </c>
      <c r="U365" s="2">
        <v>44513</v>
      </c>
      <c r="V365" t="s">
        <v>798</v>
      </c>
    </row>
    <row r="366" spans="1:22">
      <c r="A366" s="1" t="s">
        <v>386</v>
      </c>
      <c r="B366">
        <f>HYPERLINK("https://www.suredividend.com/sure-analysis-WRK/","WestRock Co")</f>
        <v>0</v>
      </c>
      <c r="C366">
        <v>44.22</v>
      </c>
      <c r="D366">
        <v>52</v>
      </c>
      <c r="E366">
        <v>0.8503846153846154</v>
      </c>
      <c r="F366">
        <v>0.02261420171867933</v>
      </c>
      <c r="G366">
        <v>0.03294434190267492</v>
      </c>
      <c r="H366">
        <v>0.02</v>
      </c>
      <c r="I366">
        <v>0.07590080661805265</v>
      </c>
      <c r="J366" t="s">
        <v>346</v>
      </c>
      <c r="K366" t="s">
        <v>524</v>
      </c>
      <c r="L366">
        <v>4.7</v>
      </c>
      <c r="M366">
        <v>1</v>
      </c>
      <c r="N366">
        <v>0.2127659574468085</v>
      </c>
      <c r="O366">
        <v>1</v>
      </c>
      <c r="P366">
        <v>0.08009875865888949</v>
      </c>
      <c r="Q366">
        <v>0.04696444151256501</v>
      </c>
      <c r="R366" t="s">
        <v>780</v>
      </c>
      <c r="S366" t="s">
        <v>788</v>
      </c>
      <c r="T366">
        <v>11734.268324</v>
      </c>
      <c r="U366" s="2">
        <v>44524</v>
      </c>
      <c r="V366" t="s">
        <v>803</v>
      </c>
    </row>
    <row r="367" spans="1:22">
      <c r="A367" s="1" t="s">
        <v>387</v>
      </c>
      <c r="B367">
        <f>HYPERLINK("https://www.suredividend.com/sure-analysis-PDCO/","Patterson Companies Inc.")</f>
        <v>0</v>
      </c>
      <c r="C367">
        <v>29.78</v>
      </c>
      <c r="D367">
        <v>31</v>
      </c>
      <c r="E367">
        <v>0.9606451612903226</v>
      </c>
      <c r="F367">
        <v>0.03492276695768973</v>
      </c>
      <c r="G367">
        <v>0.008062362652090815</v>
      </c>
      <c r="H367">
        <v>0.04</v>
      </c>
      <c r="I367">
        <v>0.07581945643663768</v>
      </c>
      <c r="J367" t="s">
        <v>346</v>
      </c>
      <c r="K367" t="s">
        <v>777</v>
      </c>
      <c r="L367">
        <v>2.05</v>
      </c>
      <c r="M367">
        <v>1.04</v>
      </c>
      <c r="N367">
        <v>0.5073170731707317</v>
      </c>
      <c r="O367">
        <v>0</v>
      </c>
      <c r="P367">
        <v>0</v>
      </c>
      <c r="Q367">
        <v>-0.023084206745681</v>
      </c>
      <c r="R367" t="s">
        <v>780</v>
      </c>
      <c r="S367" t="s">
        <v>785</v>
      </c>
      <c r="T367">
        <v>2917.08032</v>
      </c>
      <c r="U367" s="2">
        <v>44545</v>
      </c>
      <c r="V367" t="s">
        <v>801</v>
      </c>
    </row>
    <row r="368" spans="1:22">
      <c r="A368" s="1" t="s">
        <v>388</v>
      </c>
      <c r="B368">
        <f>HYPERLINK("https://www.suredividend.com/sure-analysis-NAVI/","Navient Corp")</f>
        <v>0</v>
      </c>
      <c r="C368">
        <v>21.2</v>
      </c>
      <c r="D368">
        <v>26</v>
      </c>
      <c r="E368">
        <v>0.8153846153846154</v>
      </c>
      <c r="F368">
        <v>0.03018867924528302</v>
      </c>
      <c r="G368">
        <v>0.04166362161741732</v>
      </c>
      <c r="H368">
        <v>0.01</v>
      </c>
      <c r="I368">
        <v>0.07564150405652814</v>
      </c>
      <c r="J368" t="s">
        <v>346</v>
      </c>
      <c r="K368" t="s">
        <v>346</v>
      </c>
      <c r="L368">
        <v>4.35</v>
      </c>
      <c r="M368">
        <v>0.64</v>
      </c>
      <c r="N368">
        <v>0.1471264367816092</v>
      </c>
      <c r="O368">
        <v>0</v>
      </c>
      <c r="P368">
        <v>0</v>
      </c>
      <c r="Q368">
        <v>1.25784194044902</v>
      </c>
      <c r="R368" t="s">
        <v>780</v>
      </c>
      <c r="S368" t="s">
        <v>789</v>
      </c>
      <c r="T368">
        <v>3428.136352</v>
      </c>
      <c r="U368" s="2">
        <v>44505</v>
      </c>
      <c r="V368" t="s">
        <v>797</v>
      </c>
    </row>
    <row r="369" spans="1:22">
      <c r="A369" s="1" t="s">
        <v>389</v>
      </c>
      <c r="B369">
        <f>HYPERLINK("https://www.suredividend.com/sure-analysis-LRCX/","Lam Research Corp.")</f>
        <v>0</v>
      </c>
      <c r="C369">
        <v>718.33</v>
      </c>
      <c r="D369">
        <v>615</v>
      </c>
      <c r="E369">
        <v>1.168016260162602</v>
      </c>
      <c r="F369">
        <v>0.007239012710035777</v>
      </c>
      <c r="G369">
        <v>-0.03058391322160758</v>
      </c>
      <c r="H369">
        <v>0.1</v>
      </c>
      <c r="I369">
        <v>0.07356327800910933</v>
      </c>
      <c r="J369" t="s">
        <v>346</v>
      </c>
      <c r="K369" t="s">
        <v>778</v>
      </c>
      <c r="L369">
        <v>34.16</v>
      </c>
      <c r="M369">
        <v>5.2</v>
      </c>
      <c r="N369">
        <v>0.1522248243559719</v>
      </c>
      <c r="O369">
        <v>7</v>
      </c>
      <c r="P369">
        <v>0.08997698704834534</v>
      </c>
      <c r="Q369">
        <v>0.549748361808826</v>
      </c>
      <c r="R369" t="s">
        <v>780</v>
      </c>
      <c r="S369" t="s">
        <v>787</v>
      </c>
      <c r="T369">
        <v>102325.453045</v>
      </c>
      <c r="U369" s="2">
        <v>44499</v>
      </c>
      <c r="V369" t="s">
        <v>798</v>
      </c>
    </row>
    <row r="370" spans="1:22">
      <c r="A370" s="1" t="s">
        <v>390</v>
      </c>
      <c r="B370">
        <f>HYPERLINK("https://www.suredividend.com/sure-analysis-KSS/","Kohl`s Corp.")</f>
        <v>0</v>
      </c>
      <c r="C370">
        <v>50.27</v>
      </c>
      <c r="D370">
        <v>80</v>
      </c>
      <c r="E370">
        <v>0.628375</v>
      </c>
      <c r="F370">
        <v>0.01989258006763477</v>
      </c>
      <c r="G370">
        <v>0.09737792684529589</v>
      </c>
      <c r="H370">
        <v>-0.04</v>
      </c>
      <c r="I370">
        <v>0.07320201612545008</v>
      </c>
      <c r="J370" t="s">
        <v>346</v>
      </c>
      <c r="K370" t="s">
        <v>524</v>
      </c>
      <c r="L370">
        <v>7.3</v>
      </c>
      <c r="M370">
        <v>1</v>
      </c>
      <c r="N370">
        <v>0.136986301369863</v>
      </c>
      <c r="O370">
        <v>0</v>
      </c>
      <c r="P370">
        <v>0.08009875865888949</v>
      </c>
      <c r="Q370">
        <v>0.272509674681682</v>
      </c>
      <c r="R370" t="s">
        <v>780</v>
      </c>
      <c r="S370" t="s">
        <v>788</v>
      </c>
      <c r="T370">
        <v>6969.035795</v>
      </c>
      <c r="U370" s="2">
        <v>44535</v>
      </c>
      <c r="V370" t="s">
        <v>800</v>
      </c>
    </row>
    <row r="371" spans="1:22">
      <c r="A371" s="1" t="s">
        <v>391</v>
      </c>
      <c r="B371">
        <f>HYPERLINK("https://www.suredividend.com/sure-analysis-ALE/","Allete, Inc.")</f>
        <v>0</v>
      </c>
      <c r="C371">
        <v>66.2</v>
      </c>
      <c r="D371">
        <v>63</v>
      </c>
      <c r="E371">
        <v>1.050793650793651</v>
      </c>
      <c r="F371">
        <v>0.03806646525679758</v>
      </c>
      <c r="G371">
        <v>-0.009860213474320978</v>
      </c>
      <c r="H371">
        <v>0.05</v>
      </c>
      <c r="I371">
        <v>0.07305540280628886</v>
      </c>
      <c r="J371" t="s">
        <v>346</v>
      </c>
      <c r="K371" t="s">
        <v>777</v>
      </c>
      <c r="L371">
        <v>3.15</v>
      </c>
      <c r="M371">
        <v>2.52</v>
      </c>
      <c r="N371">
        <v>0.8</v>
      </c>
      <c r="O371">
        <v>10</v>
      </c>
      <c r="P371">
        <v>0.02990332946790675</v>
      </c>
      <c r="Q371">
        <v>0.11965983989879</v>
      </c>
      <c r="R371" t="s">
        <v>780</v>
      </c>
      <c r="S371" t="s">
        <v>792</v>
      </c>
      <c r="T371">
        <v>3480.297249</v>
      </c>
      <c r="U371" s="2">
        <v>44513</v>
      </c>
      <c r="V371" t="s">
        <v>802</v>
      </c>
    </row>
    <row r="372" spans="1:22">
      <c r="A372" s="1" t="s">
        <v>392</v>
      </c>
      <c r="B372">
        <f>HYPERLINK("https://www.suredividend.com/sure-analysis-NLSN/","Nielsen Holdings plc")</f>
        <v>0</v>
      </c>
      <c r="C372">
        <v>20.7</v>
      </c>
      <c r="D372">
        <v>24</v>
      </c>
      <c r="E372">
        <v>0.8624999999999999</v>
      </c>
      <c r="F372">
        <v>0.01159420289855072</v>
      </c>
      <c r="G372">
        <v>0.03002598081465924</v>
      </c>
      <c r="H372">
        <v>0.03</v>
      </c>
      <c r="I372">
        <v>0.07120909671465747</v>
      </c>
      <c r="J372" t="s">
        <v>346</v>
      </c>
      <c r="K372" t="s">
        <v>778</v>
      </c>
      <c r="L372">
        <v>1.68</v>
      </c>
      <c r="M372">
        <v>0.24</v>
      </c>
      <c r="N372">
        <v>0.1428571428571428</v>
      </c>
      <c r="O372">
        <v>0</v>
      </c>
      <c r="P372">
        <v>0.04563955259127317</v>
      </c>
      <c r="Q372">
        <v>0.015381619937694</v>
      </c>
      <c r="R372" t="s">
        <v>780</v>
      </c>
      <c r="S372" t="s">
        <v>786</v>
      </c>
      <c r="T372">
        <v>7487.22644</v>
      </c>
      <c r="U372" s="2">
        <v>44504</v>
      </c>
      <c r="V372" t="s">
        <v>797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24.89</v>
      </c>
      <c r="D373">
        <v>26</v>
      </c>
      <c r="E373">
        <v>0.9573076923076923</v>
      </c>
      <c r="F373">
        <v>0.0413820811570912</v>
      </c>
      <c r="G373">
        <v>0.008764267584878693</v>
      </c>
      <c r="H373">
        <v>0.025</v>
      </c>
      <c r="I373">
        <v>0.07042855784841828</v>
      </c>
      <c r="J373" t="s">
        <v>346</v>
      </c>
      <c r="K373" t="s">
        <v>777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0.179669811320754</v>
      </c>
      <c r="R373" t="s">
        <v>780</v>
      </c>
      <c r="S373" t="s">
        <v>789</v>
      </c>
      <c r="T373">
        <v>27717.567233</v>
      </c>
      <c r="U373" s="2">
        <v>44507</v>
      </c>
      <c r="V373" t="s">
        <v>796</v>
      </c>
    </row>
    <row r="374" spans="1:22">
      <c r="A374" s="1" t="s">
        <v>394</v>
      </c>
      <c r="B374">
        <f>HYPERLINK("https://www.suredividend.com/sure-analysis-WFC/","Wells Fargo &amp; Co.")</f>
        <v>0</v>
      </c>
      <c r="C374">
        <v>48.1</v>
      </c>
      <c r="D374">
        <v>50</v>
      </c>
      <c r="E374">
        <v>0.9620000000000001</v>
      </c>
      <c r="F374">
        <v>0.01663201663201663</v>
      </c>
      <c r="G374">
        <v>0.007778260374917245</v>
      </c>
      <c r="H374">
        <v>0.04</v>
      </c>
      <c r="I374">
        <v>0.06864909983181477</v>
      </c>
      <c r="J374" t="s">
        <v>346</v>
      </c>
      <c r="K374" t="s">
        <v>524</v>
      </c>
      <c r="L374">
        <v>4.35</v>
      </c>
      <c r="M374">
        <v>0.8</v>
      </c>
      <c r="N374">
        <v>0.1839080459770115</v>
      </c>
      <c r="O374">
        <v>0</v>
      </c>
      <c r="P374">
        <v>0.1501306516611158</v>
      </c>
      <c r="Q374">
        <v>0.649103459543356</v>
      </c>
      <c r="R374" t="s">
        <v>780</v>
      </c>
      <c r="S374" t="s">
        <v>789</v>
      </c>
      <c r="T374">
        <v>198955.589355</v>
      </c>
      <c r="U374" s="2">
        <v>44485</v>
      </c>
      <c r="V374" t="s">
        <v>800</v>
      </c>
    </row>
    <row r="375" spans="1:22">
      <c r="A375" s="1" t="s">
        <v>395</v>
      </c>
      <c r="B375">
        <f>HYPERLINK("https://www.suredividend.com/sure-analysis-CPB/","Campbell Soup Co.")</f>
        <v>0</v>
      </c>
      <c r="C375">
        <v>43.15</v>
      </c>
      <c r="D375">
        <v>46</v>
      </c>
      <c r="E375">
        <v>0.9380434782608695</v>
      </c>
      <c r="F375">
        <v>0.03429895712630359</v>
      </c>
      <c r="G375">
        <v>0.01287396078387459</v>
      </c>
      <c r="H375">
        <v>0.025</v>
      </c>
      <c r="I375">
        <v>0.06734016002383214</v>
      </c>
      <c r="J375" t="s">
        <v>346</v>
      </c>
      <c r="K375" t="s">
        <v>777</v>
      </c>
      <c r="L375">
        <v>2.8</v>
      </c>
      <c r="M375">
        <v>1.48</v>
      </c>
      <c r="N375">
        <v>0.5285714285714286</v>
      </c>
      <c r="O375">
        <v>0</v>
      </c>
      <c r="P375">
        <v>0.01444167341264735</v>
      </c>
      <c r="Q375">
        <v>-0.07831742816015301</v>
      </c>
      <c r="R375" t="s">
        <v>780</v>
      </c>
      <c r="S375" t="s">
        <v>791</v>
      </c>
      <c r="T375">
        <v>13041.111087</v>
      </c>
      <c r="U375" s="2">
        <v>44546</v>
      </c>
      <c r="V375" t="s">
        <v>802</v>
      </c>
    </row>
    <row r="376" spans="1:22">
      <c r="A376" s="1" t="s">
        <v>396</v>
      </c>
      <c r="B376">
        <f>HYPERLINK("https://www.suredividend.com/sure-analysis-R/","Ryder System, Inc.")</f>
        <v>0</v>
      </c>
      <c r="C376">
        <v>81.56</v>
      </c>
      <c r="D376">
        <v>101</v>
      </c>
      <c r="E376">
        <v>0.8075247524752476</v>
      </c>
      <c r="F376">
        <v>0.02844531633153507</v>
      </c>
      <c r="G376">
        <v>0.04368353303118</v>
      </c>
      <c r="H376">
        <v>0</v>
      </c>
      <c r="I376">
        <v>0.06730275887237314</v>
      </c>
      <c r="J376" t="s">
        <v>346</v>
      </c>
      <c r="K376" t="s">
        <v>346</v>
      </c>
      <c r="L376">
        <v>8.449999999999999</v>
      </c>
      <c r="M376">
        <v>2.32</v>
      </c>
      <c r="N376">
        <v>0.2745562130177515</v>
      </c>
      <c r="O376">
        <v>17</v>
      </c>
      <c r="P376">
        <v>0.01013720758985226</v>
      </c>
      <c r="Q376">
        <v>0.34091712352975</v>
      </c>
      <c r="R376" t="s">
        <v>780</v>
      </c>
      <c r="S376" t="s">
        <v>786</v>
      </c>
      <c r="T376">
        <v>4379.759463</v>
      </c>
      <c r="U376" s="2">
        <v>44497</v>
      </c>
      <c r="V376" t="s">
        <v>799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80.26000000000001</v>
      </c>
      <c r="D377">
        <v>65</v>
      </c>
      <c r="E377">
        <v>1.234769230769231</v>
      </c>
      <c r="F377">
        <v>0.02143035135808622</v>
      </c>
      <c r="G377">
        <v>-0.04129975082371429</v>
      </c>
      <c r="H377">
        <v>0.09</v>
      </c>
      <c r="I377">
        <v>0.06652408744003391</v>
      </c>
      <c r="J377" t="s">
        <v>346</v>
      </c>
      <c r="K377" t="s">
        <v>524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0.133184663137168</v>
      </c>
      <c r="R377" t="s">
        <v>780</v>
      </c>
      <c r="S377" t="s">
        <v>788</v>
      </c>
      <c r="T377">
        <v>24024.147723</v>
      </c>
      <c r="U377" s="2">
        <v>44520</v>
      </c>
      <c r="V377" t="s">
        <v>804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32.89</v>
      </c>
      <c r="D378">
        <v>30</v>
      </c>
      <c r="E378">
        <v>1.096333333333333</v>
      </c>
      <c r="F378">
        <v>0.02675585284280936</v>
      </c>
      <c r="G378">
        <v>-0.01822611391231976</v>
      </c>
      <c r="H378">
        <v>0.06</v>
      </c>
      <c r="I378">
        <v>0.06559018321965704</v>
      </c>
      <c r="J378" t="s">
        <v>346</v>
      </c>
      <c r="K378" t="s">
        <v>346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-0.07293217095470901</v>
      </c>
      <c r="R378" t="s">
        <v>782</v>
      </c>
      <c r="S378" t="s">
        <v>794</v>
      </c>
      <c r="T378">
        <v>8723.361505999999</v>
      </c>
      <c r="U378" s="2">
        <v>44513</v>
      </c>
      <c r="V378" t="s">
        <v>795</v>
      </c>
    </row>
    <row r="379" spans="1:22">
      <c r="A379" s="1" t="s">
        <v>399</v>
      </c>
      <c r="B379">
        <f>HYPERLINK("https://www.suredividend.com/sure-analysis-BMWYY/","Bayerische Motoren Werke AG")</f>
        <v>0</v>
      </c>
      <c r="C379">
        <v>33.45</v>
      </c>
      <c r="D379">
        <v>35</v>
      </c>
      <c r="E379">
        <v>0.9557142857142858</v>
      </c>
      <c r="F379">
        <v>0.02301943198804185</v>
      </c>
      <c r="G379">
        <v>0.009100414230275966</v>
      </c>
      <c r="H379">
        <v>0.03</v>
      </c>
      <c r="I379">
        <v>0.06460915450710858</v>
      </c>
      <c r="J379" t="s">
        <v>346</v>
      </c>
      <c r="K379" t="s">
        <v>524</v>
      </c>
      <c r="L379">
        <v>4</v>
      </c>
      <c r="M379">
        <v>0.77</v>
      </c>
      <c r="N379">
        <v>0.1925</v>
      </c>
      <c r="O379">
        <v>0</v>
      </c>
      <c r="P379">
        <v>0.09998355396348346</v>
      </c>
      <c r="Q379">
        <v>0.138151260504201</v>
      </c>
      <c r="R379" t="s">
        <v>780</v>
      </c>
      <c r="S379" t="s">
        <v>788</v>
      </c>
      <c r="T379">
        <v>61150.67201</v>
      </c>
      <c r="U379" s="2">
        <v>44518</v>
      </c>
      <c r="V379" t="s">
        <v>803</v>
      </c>
    </row>
    <row r="380" spans="1:22">
      <c r="A380" s="1" t="s">
        <v>400</v>
      </c>
      <c r="B380">
        <f>HYPERLINK("https://www.suredividend.com/sure-analysis-PFE/","Pfizer Inc.")</f>
        <v>0</v>
      </c>
      <c r="C380">
        <v>58.4</v>
      </c>
      <c r="D380">
        <v>56</v>
      </c>
      <c r="E380">
        <v>1.042857142857143</v>
      </c>
      <c r="F380">
        <v>0.0273972602739726</v>
      </c>
      <c r="G380">
        <v>-0.008357718264896619</v>
      </c>
      <c r="H380">
        <v>0.05</v>
      </c>
      <c r="I380">
        <v>0.06387506306935542</v>
      </c>
      <c r="J380" t="s">
        <v>346</v>
      </c>
      <c r="K380" t="s">
        <v>524</v>
      </c>
      <c r="L380">
        <v>4.15</v>
      </c>
      <c r="M380">
        <v>1.6</v>
      </c>
      <c r="N380">
        <v>0.3855421686746988</v>
      </c>
      <c r="O380">
        <v>13</v>
      </c>
      <c r="P380">
        <v>0.004950737119488569</v>
      </c>
      <c r="Q380">
        <v>0.614925297785157</v>
      </c>
      <c r="R380" t="s">
        <v>780</v>
      </c>
      <c r="S380" t="s">
        <v>785</v>
      </c>
      <c r="T380">
        <v>323188.858713</v>
      </c>
      <c r="U380" s="2">
        <v>44504</v>
      </c>
      <c r="V380" t="s">
        <v>801</v>
      </c>
    </row>
    <row r="381" spans="1:22">
      <c r="A381" s="1" t="s">
        <v>401</v>
      </c>
      <c r="B381">
        <f>HYPERLINK("https://www.suredividend.com/sure-analysis-APLE/","Apple Hospitality REIT Inc")</f>
        <v>0</v>
      </c>
      <c r="C381">
        <v>16.16</v>
      </c>
      <c r="D381">
        <v>18.3</v>
      </c>
      <c r="E381">
        <v>0.8830601092896174</v>
      </c>
      <c r="F381">
        <v>0.002475247524752475</v>
      </c>
      <c r="G381">
        <v>0.02518430004656858</v>
      </c>
      <c r="H381">
        <v>0.018</v>
      </c>
      <c r="I381">
        <v>0.06328785913958668</v>
      </c>
      <c r="J381" t="s">
        <v>346</v>
      </c>
      <c r="K381" t="s">
        <v>778</v>
      </c>
      <c r="L381">
        <v>0.87</v>
      </c>
      <c r="M381">
        <v>0.04</v>
      </c>
      <c r="N381">
        <v>0.04597701149425287</v>
      </c>
      <c r="O381">
        <v>0</v>
      </c>
      <c r="P381">
        <v>0.888175022589804</v>
      </c>
      <c r="Q381">
        <v>0.241736439334165</v>
      </c>
      <c r="R381" t="s">
        <v>782</v>
      </c>
      <c r="S381" t="s">
        <v>794</v>
      </c>
      <c r="T381">
        <v>3701.621809</v>
      </c>
      <c r="U381" s="2">
        <v>44509</v>
      </c>
      <c r="V381" t="s">
        <v>805</v>
      </c>
    </row>
    <row r="382" spans="1:22">
      <c r="A382" s="1" t="s">
        <v>402</v>
      </c>
      <c r="B382">
        <f>HYPERLINK("https://www.suredividend.com/sure-analysis-GE/","General Electric Co.")</f>
        <v>0</v>
      </c>
      <c r="C382">
        <v>94.7</v>
      </c>
      <c r="D382">
        <v>72</v>
      </c>
      <c r="E382">
        <v>1.315277777777778</v>
      </c>
      <c r="F382">
        <v>0.00337909186906019</v>
      </c>
      <c r="G382">
        <v>-0.05333460161987347</v>
      </c>
      <c r="H382">
        <v>0.12</v>
      </c>
      <c r="I382">
        <v>0.06292574071660817</v>
      </c>
      <c r="J382" t="s">
        <v>346</v>
      </c>
      <c r="K382" t="s">
        <v>778</v>
      </c>
      <c r="L382">
        <v>2</v>
      </c>
      <c r="M382">
        <v>0.32</v>
      </c>
      <c r="N382">
        <v>0.16</v>
      </c>
      <c r="O382">
        <v>0</v>
      </c>
      <c r="P382">
        <v>0</v>
      </c>
      <c r="Q382">
        <v>0.125580809909956</v>
      </c>
      <c r="R382" t="s">
        <v>780</v>
      </c>
      <c r="S382" t="s">
        <v>786</v>
      </c>
      <c r="T382">
        <v>104092.418363</v>
      </c>
      <c r="U382" s="2">
        <v>44500</v>
      </c>
      <c r="V382" t="s">
        <v>795</v>
      </c>
    </row>
    <row r="383" spans="1:22">
      <c r="A383" s="1" t="s">
        <v>403</v>
      </c>
      <c r="B383">
        <f>HYPERLINK("https://www.suredividend.com/sure-analysis-CFG/","Citizens Financial Group Inc")</f>
        <v>0</v>
      </c>
      <c r="C383">
        <v>47.27</v>
      </c>
      <c r="D383">
        <v>59</v>
      </c>
      <c r="E383">
        <v>0.8011864406779662</v>
      </c>
      <c r="F383">
        <v>0.03300190395599746</v>
      </c>
      <c r="G383">
        <v>0.04532968094511336</v>
      </c>
      <c r="H383">
        <v>-0.02</v>
      </c>
      <c r="I383">
        <v>0.0618148426258962</v>
      </c>
      <c r="J383" t="s">
        <v>346</v>
      </c>
      <c r="K383" t="s">
        <v>346</v>
      </c>
      <c r="L383">
        <v>5.15</v>
      </c>
      <c r="M383">
        <v>1.56</v>
      </c>
      <c r="N383">
        <v>0.3029126213592233</v>
      </c>
      <c r="O383">
        <v>6</v>
      </c>
      <c r="P383">
        <v>0.09979014724923641</v>
      </c>
      <c r="Q383">
        <v>0.406214695984112</v>
      </c>
      <c r="R383" t="s">
        <v>780</v>
      </c>
      <c r="S383" t="s">
        <v>789</v>
      </c>
      <c r="T383">
        <v>20159.239945</v>
      </c>
      <c r="U383" s="2">
        <v>44492</v>
      </c>
      <c r="V383" t="s">
        <v>800</v>
      </c>
    </row>
    <row r="384" spans="1:22">
      <c r="A384" s="1" t="s">
        <v>404</v>
      </c>
      <c r="B384">
        <f>HYPERLINK("https://www.suredividend.com/sure-analysis-PKX/","Posco")</f>
        <v>0</v>
      </c>
      <c r="C384">
        <v>58.13</v>
      </c>
      <c r="D384">
        <v>90</v>
      </c>
      <c r="E384">
        <v>0.645888888888889</v>
      </c>
      <c r="F384">
        <v>0.03010493720970239</v>
      </c>
      <c r="G384">
        <v>0.0913610180201323</v>
      </c>
      <c r="H384">
        <v>-0.05</v>
      </c>
      <c r="I384">
        <v>0.06162804656778098</v>
      </c>
      <c r="J384" t="s">
        <v>346</v>
      </c>
      <c r="K384" t="s">
        <v>346</v>
      </c>
      <c r="L384">
        <v>9</v>
      </c>
      <c r="M384">
        <v>1.75</v>
      </c>
      <c r="N384">
        <v>0.1944444444444444</v>
      </c>
      <c r="O384">
        <v>0</v>
      </c>
      <c r="P384">
        <v>0</v>
      </c>
      <c r="Q384">
        <v>0.024060721582101</v>
      </c>
      <c r="R384" t="s">
        <v>780</v>
      </c>
      <c r="S384" t="s">
        <v>790</v>
      </c>
      <c r="T384">
        <v>20872.528299</v>
      </c>
      <c r="U384" s="2">
        <v>44509</v>
      </c>
      <c r="V384" t="s">
        <v>795</v>
      </c>
    </row>
    <row r="385" spans="1:22">
      <c r="A385" s="1" t="s">
        <v>405</v>
      </c>
      <c r="B385">
        <f>HYPERLINK("https://www.suredividend.com/sure-analysis-ESRT/","Empire State Realty Trust Inc")</f>
        <v>0</v>
      </c>
      <c r="C385">
        <v>8.960000000000001</v>
      </c>
      <c r="D385">
        <v>9.75</v>
      </c>
      <c r="E385">
        <v>0.9189743589743591</v>
      </c>
      <c r="F385">
        <v>0.015625</v>
      </c>
      <c r="G385">
        <v>0.01704301445494094</v>
      </c>
      <c r="H385">
        <v>0.02</v>
      </c>
      <c r="I385">
        <v>0.06050194483463445</v>
      </c>
      <c r="J385" t="s">
        <v>346</v>
      </c>
      <c r="K385" t="s">
        <v>524</v>
      </c>
      <c r="L385">
        <v>0.64</v>
      </c>
      <c r="M385">
        <v>0.14</v>
      </c>
      <c r="N385">
        <v>0.21875</v>
      </c>
      <c r="O385">
        <v>0</v>
      </c>
      <c r="P385">
        <v>0.2011244339814311</v>
      </c>
      <c r="Q385">
        <v>-0.038254194160521</v>
      </c>
      <c r="R385" t="s">
        <v>782</v>
      </c>
      <c r="S385" t="s">
        <v>794</v>
      </c>
      <c r="T385">
        <v>1537.906985</v>
      </c>
      <c r="U385" s="2">
        <v>44500</v>
      </c>
      <c r="V385" t="s">
        <v>795</v>
      </c>
    </row>
    <row r="386" spans="1:22">
      <c r="A386" s="1" t="s">
        <v>406</v>
      </c>
      <c r="B386">
        <f>HYPERLINK("https://www.suredividend.com/sure-analysis-BK/","Bank Of New York Mellon Corp")</f>
        <v>0</v>
      </c>
      <c r="C386">
        <v>57.97</v>
      </c>
      <c r="D386">
        <v>52</v>
      </c>
      <c r="E386">
        <v>1.114807692307692</v>
      </c>
      <c r="F386">
        <v>0.02346041055718475</v>
      </c>
      <c r="G386">
        <v>-0.02150185054531406</v>
      </c>
      <c r="H386">
        <v>0.06</v>
      </c>
      <c r="I386">
        <v>0.06037484392560177</v>
      </c>
      <c r="J386" t="s">
        <v>346</v>
      </c>
      <c r="K386" t="s">
        <v>524</v>
      </c>
      <c r="L386">
        <v>4.15</v>
      </c>
      <c r="M386">
        <v>1.36</v>
      </c>
      <c r="N386">
        <v>0.327710843373494</v>
      </c>
      <c r="O386">
        <v>11</v>
      </c>
      <c r="P386">
        <v>0.06000153927394081</v>
      </c>
      <c r="Q386">
        <v>0.4466209986815101</v>
      </c>
      <c r="R386" t="s">
        <v>780</v>
      </c>
      <c r="S386" t="s">
        <v>789</v>
      </c>
      <c r="T386">
        <v>48203.175447</v>
      </c>
      <c r="U386" s="2">
        <v>44491</v>
      </c>
      <c r="V386" t="s">
        <v>800</v>
      </c>
    </row>
    <row r="387" spans="1:22">
      <c r="A387" s="1" t="s">
        <v>407</v>
      </c>
      <c r="B387">
        <f>HYPERLINK("https://www.suredividend.com/sure-analysis-HUN/","Huntsman Corp")</f>
        <v>0</v>
      </c>
      <c r="C387">
        <v>34.76</v>
      </c>
      <c r="D387">
        <v>33</v>
      </c>
      <c r="E387">
        <v>1.053333333333333</v>
      </c>
      <c r="F387">
        <v>0.0215765247410817</v>
      </c>
      <c r="G387">
        <v>-0.01033813805402894</v>
      </c>
      <c r="H387">
        <v>0.05</v>
      </c>
      <c r="I387">
        <v>0.06032722456804929</v>
      </c>
      <c r="J387" t="s">
        <v>346</v>
      </c>
      <c r="K387" t="s">
        <v>524</v>
      </c>
      <c r="L387">
        <v>3.47</v>
      </c>
      <c r="M387">
        <v>0.75</v>
      </c>
      <c r="N387">
        <v>0.2161383285302594</v>
      </c>
      <c r="O387">
        <v>1</v>
      </c>
      <c r="P387">
        <v>0.05922384104881218</v>
      </c>
      <c r="Q387">
        <v>0.451791590191312</v>
      </c>
      <c r="R387" t="s">
        <v>780</v>
      </c>
      <c r="S387" t="s">
        <v>790</v>
      </c>
      <c r="T387">
        <v>7657.24008</v>
      </c>
      <c r="U387" s="2">
        <v>44503</v>
      </c>
      <c r="V387" t="s">
        <v>795</v>
      </c>
    </row>
    <row r="388" spans="1:22">
      <c r="A388" s="1" t="s">
        <v>408</v>
      </c>
      <c r="B388">
        <f>HYPERLINK("https://www.suredividend.com/sure-analysis-JPM/","JPMorgan Chase &amp; Co.")</f>
        <v>0</v>
      </c>
      <c r="C388">
        <v>158.48</v>
      </c>
      <c r="D388">
        <v>188</v>
      </c>
      <c r="E388">
        <v>0.8429787234042553</v>
      </c>
      <c r="F388">
        <v>0.02523977788995457</v>
      </c>
      <c r="G388">
        <v>0.03475295984579185</v>
      </c>
      <c r="H388">
        <v>0</v>
      </c>
      <c r="I388">
        <v>0.06025468934761191</v>
      </c>
      <c r="J388" t="s">
        <v>346</v>
      </c>
      <c r="K388" t="s">
        <v>346</v>
      </c>
      <c r="L388">
        <v>15</v>
      </c>
      <c r="M388">
        <v>4</v>
      </c>
      <c r="N388">
        <v>0.2666666666666667</v>
      </c>
      <c r="O388">
        <v>11</v>
      </c>
      <c r="P388">
        <v>0.06615002518126989</v>
      </c>
      <c r="Q388">
        <v>0.300230590843936</v>
      </c>
      <c r="R388" t="s">
        <v>780</v>
      </c>
      <c r="S388" t="s">
        <v>789</v>
      </c>
      <c r="T388">
        <v>468586.986632</v>
      </c>
      <c r="U388" s="2">
        <v>44485</v>
      </c>
      <c r="V388" t="s">
        <v>800</v>
      </c>
    </row>
    <row r="389" spans="1:22">
      <c r="A389" s="1" t="s">
        <v>409</v>
      </c>
      <c r="B389">
        <f>HYPERLINK("https://www.suredividend.com/sure-analysis-AEP/","American Electric Power Company Inc.")</f>
        <v>0</v>
      </c>
      <c r="C389">
        <v>88.69</v>
      </c>
      <c r="D389">
        <v>79.59999999999999</v>
      </c>
      <c r="E389">
        <v>1.114195979899498</v>
      </c>
      <c r="F389">
        <v>0.03517871236892547</v>
      </c>
      <c r="G389">
        <v>-0.02139443173106659</v>
      </c>
      <c r="H389">
        <v>0.049</v>
      </c>
      <c r="I389">
        <v>0.05804749701845791</v>
      </c>
      <c r="J389" t="s">
        <v>346</v>
      </c>
      <c r="K389" t="s">
        <v>777</v>
      </c>
      <c r="L389">
        <v>4.68</v>
      </c>
      <c r="M389">
        <v>3.12</v>
      </c>
      <c r="N389">
        <v>0.6666666666666667</v>
      </c>
      <c r="O389">
        <v>16</v>
      </c>
      <c r="P389">
        <v>0.01853111887485781</v>
      </c>
      <c r="Q389">
        <v>0.130328481776675</v>
      </c>
      <c r="R389" t="s">
        <v>780</v>
      </c>
      <c r="S389" t="s">
        <v>792</v>
      </c>
      <c r="T389">
        <v>44613.465549</v>
      </c>
      <c r="U389" s="2">
        <v>44503</v>
      </c>
      <c r="V389" t="s">
        <v>805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800.22</v>
      </c>
      <c r="D390">
        <v>583</v>
      </c>
      <c r="E390">
        <v>1.372590051457976</v>
      </c>
      <c r="F390">
        <v>0.005223563520031991</v>
      </c>
      <c r="G390">
        <v>-0.06137561962396965</v>
      </c>
      <c r="H390">
        <v>0.12</v>
      </c>
      <c r="I390">
        <v>0.05781081128729504</v>
      </c>
      <c r="J390" t="s">
        <v>346</v>
      </c>
      <c r="K390" t="s">
        <v>778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0.666106436524955</v>
      </c>
      <c r="R390" t="s">
        <v>780</v>
      </c>
      <c r="S390" t="s">
        <v>787</v>
      </c>
      <c r="T390">
        <v>331481.7454</v>
      </c>
      <c r="U390" s="2">
        <v>44494</v>
      </c>
      <c r="V390" t="s">
        <v>800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23.19</v>
      </c>
      <c r="D391">
        <v>26</v>
      </c>
      <c r="E391">
        <v>0.8919230769230769</v>
      </c>
      <c r="F391">
        <v>0.03363518758085381</v>
      </c>
      <c r="G391">
        <v>0.02313871836431458</v>
      </c>
      <c r="H391">
        <v>0</v>
      </c>
      <c r="I391">
        <v>0.05639970772707104</v>
      </c>
      <c r="J391" t="s">
        <v>346</v>
      </c>
      <c r="K391" t="s">
        <v>346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0.51043692467263</v>
      </c>
      <c r="R391" t="s">
        <v>780</v>
      </c>
      <c r="S391" t="s">
        <v>789</v>
      </c>
      <c r="T391">
        <v>21693.658041</v>
      </c>
      <c r="U391" s="2">
        <v>44490</v>
      </c>
      <c r="V391" t="s">
        <v>799</v>
      </c>
    </row>
    <row r="392" spans="1:22">
      <c r="A392" s="1" t="s">
        <v>412</v>
      </c>
      <c r="B392">
        <f>HYPERLINK("https://www.suredividend.com/sure-analysis-O/","Realty Income Corp.")</f>
        <v>0</v>
      </c>
      <c r="C392">
        <v>71.91</v>
      </c>
      <c r="D392">
        <v>64</v>
      </c>
      <c r="E392">
        <v>1.12359375</v>
      </c>
      <c r="F392">
        <v>0.04116256431650674</v>
      </c>
      <c r="G392">
        <v>-0.02303695316506604</v>
      </c>
      <c r="H392">
        <v>0.04</v>
      </c>
      <c r="I392">
        <v>0.05559676899950849</v>
      </c>
      <c r="J392" t="s">
        <v>346</v>
      </c>
      <c r="K392" t="s">
        <v>777</v>
      </c>
      <c r="L392">
        <v>3.58</v>
      </c>
      <c r="M392">
        <v>2.96</v>
      </c>
      <c r="N392">
        <v>0.8268156424581006</v>
      </c>
      <c r="O392">
        <v>26</v>
      </c>
      <c r="P392">
        <v>0.03408268602570064</v>
      </c>
      <c r="Q392">
        <v>0.230525942875528</v>
      </c>
      <c r="R392" t="s">
        <v>782</v>
      </c>
      <c r="S392" t="s">
        <v>794</v>
      </c>
      <c r="T392">
        <v>29062.90636</v>
      </c>
      <c r="U392" s="2">
        <v>44507</v>
      </c>
      <c r="V392" t="s">
        <v>797</v>
      </c>
    </row>
    <row r="393" spans="1:22">
      <c r="A393" s="1" t="s">
        <v>413</v>
      </c>
      <c r="B393">
        <f>HYPERLINK("https://www.suredividend.com/sure-analysis-HAL/","Halliburton Co.")</f>
        <v>0</v>
      </c>
      <c r="C393">
        <v>22.76</v>
      </c>
      <c r="D393">
        <v>14</v>
      </c>
      <c r="E393">
        <v>1.625714285714286</v>
      </c>
      <c r="F393">
        <v>0.007908611599297011</v>
      </c>
      <c r="G393">
        <v>-0.09261591944592817</v>
      </c>
      <c r="H393">
        <v>0.149</v>
      </c>
      <c r="I393">
        <v>0.05430981163591109</v>
      </c>
      <c r="J393" t="s">
        <v>346</v>
      </c>
      <c r="K393" t="s">
        <v>778</v>
      </c>
      <c r="L393">
        <v>1.1</v>
      </c>
      <c r="M393">
        <v>0.18</v>
      </c>
      <c r="N393">
        <v>0.1636363636363636</v>
      </c>
      <c r="O393">
        <v>0</v>
      </c>
      <c r="P393">
        <v>0.2011244339814313</v>
      </c>
      <c r="Q393">
        <v>0.238239691681555</v>
      </c>
      <c r="R393" t="s">
        <v>780</v>
      </c>
      <c r="S393" t="s">
        <v>793</v>
      </c>
      <c r="T393">
        <v>20428.055364</v>
      </c>
      <c r="U393" s="2">
        <v>44491</v>
      </c>
      <c r="V393" t="s">
        <v>803</v>
      </c>
    </row>
    <row r="394" spans="1:22">
      <c r="A394" s="1" t="s">
        <v>414</v>
      </c>
      <c r="B394">
        <f>HYPERLINK("https://www.suredividend.com/sure-analysis-USB/","U.S. Bancorp.")</f>
        <v>0</v>
      </c>
      <c r="C394">
        <v>56.15</v>
      </c>
      <c r="D394">
        <v>62</v>
      </c>
      <c r="E394">
        <v>0.9056451612903226</v>
      </c>
      <c r="F394">
        <v>0.03276936776491541</v>
      </c>
      <c r="G394">
        <v>0.02001929192790519</v>
      </c>
      <c r="H394">
        <v>0</v>
      </c>
      <c r="I394">
        <v>0.05385398958221854</v>
      </c>
      <c r="J394" t="s">
        <v>346</v>
      </c>
      <c r="K394" t="s">
        <v>346</v>
      </c>
      <c r="L394">
        <v>5.15</v>
      </c>
      <c r="M394">
        <v>1.84</v>
      </c>
      <c r="N394">
        <v>0.3572815533980582</v>
      </c>
      <c r="O394">
        <v>10</v>
      </c>
      <c r="P394">
        <v>0.05979888147511248</v>
      </c>
      <c r="Q394">
        <v>0.266482735781717</v>
      </c>
      <c r="R394" t="s">
        <v>780</v>
      </c>
      <c r="S394" t="s">
        <v>789</v>
      </c>
      <c r="T394">
        <v>83926.348631</v>
      </c>
      <c r="U394" s="2">
        <v>44491</v>
      </c>
      <c r="V394" t="s">
        <v>800</v>
      </c>
    </row>
    <row r="395" spans="1:22">
      <c r="A395" s="1" t="s">
        <v>415</v>
      </c>
      <c r="B395">
        <f>HYPERLINK("https://www.suredividend.com/sure-analysis-AON/","Aon plc.")</f>
        <v>0</v>
      </c>
      <c r="C395">
        <v>299.83</v>
      </c>
      <c r="D395">
        <v>233</v>
      </c>
      <c r="E395">
        <v>1.286824034334764</v>
      </c>
      <c r="F395">
        <v>0.006803855518126939</v>
      </c>
      <c r="G395">
        <v>-0.04918468749506111</v>
      </c>
      <c r="H395">
        <v>0.1</v>
      </c>
      <c r="I395">
        <v>0.05364597605249188</v>
      </c>
      <c r="J395" t="s">
        <v>346</v>
      </c>
      <c r="K395" t="s">
        <v>778</v>
      </c>
      <c r="L395">
        <v>11.65</v>
      </c>
      <c r="M395">
        <v>2.04</v>
      </c>
      <c r="N395">
        <v>0.1751072961373391</v>
      </c>
      <c r="O395">
        <v>10</v>
      </c>
      <c r="P395">
        <v>0.1101602038533911</v>
      </c>
      <c r="Q395">
        <v>0.464700417908237</v>
      </c>
      <c r="R395" t="s">
        <v>780</v>
      </c>
      <c r="S395" t="s">
        <v>789</v>
      </c>
      <c r="T395">
        <v>66249.547836</v>
      </c>
      <c r="U395" s="2">
        <v>44519</v>
      </c>
      <c r="V395" t="s">
        <v>800</v>
      </c>
    </row>
    <row r="396" spans="1:22">
      <c r="A396" s="1" t="s">
        <v>416</v>
      </c>
      <c r="B396">
        <f>HYPERLINK("https://www.suredividend.com/sure-analysis-KLAC/","KLA Corp.")</f>
        <v>0</v>
      </c>
      <c r="C396">
        <v>427.08</v>
      </c>
      <c r="D396">
        <v>357</v>
      </c>
      <c r="E396">
        <v>1.196302521008403</v>
      </c>
      <c r="F396">
        <v>0.009834223096375386</v>
      </c>
      <c r="G396">
        <v>-0.03521221477006375</v>
      </c>
      <c r="H396">
        <v>0.08</v>
      </c>
      <c r="I396">
        <v>0.05293864438117635</v>
      </c>
      <c r="J396" t="s">
        <v>346</v>
      </c>
      <c r="K396" t="s">
        <v>524</v>
      </c>
      <c r="L396">
        <v>21</v>
      </c>
      <c r="M396">
        <v>4.2</v>
      </c>
      <c r="N396">
        <v>0.2</v>
      </c>
      <c r="O396">
        <v>12</v>
      </c>
      <c r="P396">
        <v>0.09986525071768737</v>
      </c>
      <c r="Q396">
        <v>0.7302974251943041</v>
      </c>
      <c r="R396" t="s">
        <v>780</v>
      </c>
      <c r="S396" t="s">
        <v>787</v>
      </c>
      <c r="T396">
        <v>65967.771548</v>
      </c>
      <c r="U396" s="2">
        <v>44508</v>
      </c>
      <c r="V396" t="s">
        <v>797</v>
      </c>
    </row>
    <row r="397" spans="1:22">
      <c r="A397" s="1" t="s">
        <v>417</v>
      </c>
      <c r="B397">
        <f>HYPERLINK("https://www.suredividend.com/sure-analysis-PNC/","PNC Financial Services Group")</f>
        <v>0</v>
      </c>
      <c r="C397">
        <v>201</v>
      </c>
      <c r="D397">
        <v>180</v>
      </c>
      <c r="E397">
        <v>1.116666666666667</v>
      </c>
      <c r="F397">
        <v>0.02487562189054726</v>
      </c>
      <c r="G397">
        <v>-0.02182785928402675</v>
      </c>
      <c r="H397">
        <v>0.05</v>
      </c>
      <c r="I397">
        <v>0.05184356507790322</v>
      </c>
      <c r="J397" t="s">
        <v>346</v>
      </c>
      <c r="K397" t="s">
        <v>524</v>
      </c>
      <c r="L397">
        <v>14.3</v>
      </c>
      <c r="M397">
        <v>5</v>
      </c>
      <c r="N397">
        <v>0.3496503496503496</v>
      </c>
      <c r="O397">
        <v>11</v>
      </c>
      <c r="P397">
        <v>0.05061112176150684</v>
      </c>
      <c r="Q397">
        <v>0.426343842141075</v>
      </c>
      <c r="R397" t="s">
        <v>780</v>
      </c>
      <c r="S397" t="s">
        <v>789</v>
      </c>
      <c r="T397">
        <v>85052.236001</v>
      </c>
      <c r="U397" s="2">
        <v>44490</v>
      </c>
      <c r="V397" t="s">
        <v>803</v>
      </c>
    </row>
    <row r="398" spans="1:22">
      <c r="A398" s="1" t="s">
        <v>418</v>
      </c>
      <c r="B398">
        <f>HYPERLINK("https://www.suredividend.com/sure-analysis-GIS/","General Mills, Inc.")</f>
        <v>0</v>
      </c>
      <c r="C398">
        <v>67.05</v>
      </c>
      <c r="D398">
        <v>65</v>
      </c>
      <c r="E398">
        <v>1.031538461538462</v>
      </c>
      <c r="F398">
        <v>0.03042505592841164</v>
      </c>
      <c r="G398">
        <v>-0.006191024109413412</v>
      </c>
      <c r="H398">
        <v>0.03</v>
      </c>
      <c r="I398">
        <v>0.05182351100880611</v>
      </c>
      <c r="J398" t="s">
        <v>346</v>
      </c>
      <c r="K398" t="s">
        <v>777</v>
      </c>
      <c r="L398">
        <v>3.8</v>
      </c>
      <c r="M398">
        <v>2.04</v>
      </c>
      <c r="N398">
        <v>0.5368421052631579</v>
      </c>
      <c r="O398">
        <v>1</v>
      </c>
      <c r="P398">
        <v>0.02428198329039355</v>
      </c>
      <c r="Q398">
        <v>0.162054801408614</v>
      </c>
      <c r="R398" t="s">
        <v>780</v>
      </c>
      <c r="S398" t="s">
        <v>791</v>
      </c>
      <c r="T398">
        <v>40426.913034</v>
      </c>
      <c r="U398" s="2">
        <v>44557</v>
      </c>
      <c r="V398" t="s">
        <v>803</v>
      </c>
    </row>
    <row r="399" spans="1:22">
      <c r="A399" s="1" t="s">
        <v>419</v>
      </c>
      <c r="B399">
        <f>HYPERLINK("https://www.suredividend.com/sure-analysis-GOLD/","Barrick Gold Corp.")</f>
        <v>0</v>
      </c>
      <c r="C399">
        <v>18.82</v>
      </c>
      <c r="D399">
        <v>22</v>
      </c>
      <c r="E399">
        <v>0.8554545454545455</v>
      </c>
      <c r="F399">
        <v>0.01912858660998937</v>
      </c>
      <c r="G399">
        <v>0.03171706107098782</v>
      </c>
      <c r="H399">
        <v>0</v>
      </c>
      <c r="I399">
        <v>0.05012205690166249</v>
      </c>
      <c r="J399" t="s">
        <v>346</v>
      </c>
      <c r="K399" t="s">
        <v>524</v>
      </c>
      <c r="L399">
        <v>1.2</v>
      </c>
      <c r="M399">
        <v>0.36</v>
      </c>
      <c r="N399">
        <v>0.3</v>
      </c>
      <c r="O399">
        <v>5</v>
      </c>
      <c r="P399">
        <v>0.04095039696925684</v>
      </c>
      <c r="Q399">
        <v>-0.180714737338926</v>
      </c>
      <c r="R399" t="s">
        <v>780</v>
      </c>
      <c r="S399" t="s">
        <v>790</v>
      </c>
      <c r="T399">
        <v>32723.408203</v>
      </c>
      <c r="U399" s="2">
        <v>44527</v>
      </c>
      <c r="V399" t="s">
        <v>800</v>
      </c>
    </row>
    <row r="400" spans="1:22">
      <c r="A400" s="1" t="s">
        <v>420</v>
      </c>
      <c r="B400">
        <f>HYPERLINK("https://www.suredividend.com/sure-analysis-MA/","Mastercard Incorporated")</f>
        <v>0</v>
      </c>
      <c r="C400">
        <v>360.99</v>
      </c>
      <c r="D400">
        <v>222</v>
      </c>
      <c r="E400">
        <v>1.626081081081081</v>
      </c>
      <c r="F400">
        <v>0.005429513282916424</v>
      </c>
      <c r="G400">
        <v>-0.09265685889411168</v>
      </c>
      <c r="H400">
        <v>0.15</v>
      </c>
      <c r="I400">
        <v>0.04998406093656405</v>
      </c>
      <c r="J400" t="s">
        <v>346</v>
      </c>
      <c r="K400" t="s">
        <v>778</v>
      </c>
      <c r="L400">
        <v>8.24</v>
      </c>
      <c r="M400">
        <v>1.96</v>
      </c>
      <c r="N400">
        <v>0.2378640776699029</v>
      </c>
      <c r="O400">
        <v>11</v>
      </c>
      <c r="P400">
        <v>0.1255102076739985</v>
      </c>
      <c r="Q400">
        <v>0.046082770513836</v>
      </c>
      <c r="R400" t="s">
        <v>780</v>
      </c>
      <c r="S400" t="s">
        <v>789</v>
      </c>
      <c r="T400">
        <v>352152.6511</v>
      </c>
      <c r="U400" s="2">
        <v>44499</v>
      </c>
      <c r="V400" t="s">
        <v>796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44.82</v>
      </c>
      <c r="D401">
        <v>42</v>
      </c>
      <c r="E401">
        <v>1.067142857142857</v>
      </c>
      <c r="F401">
        <v>0.01517179830432843</v>
      </c>
      <c r="G401">
        <v>-0.01291287412790376</v>
      </c>
      <c r="H401">
        <v>0.05</v>
      </c>
      <c r="I401">
        <v>0.04926800471364756</v>
      </c>
      <c r="J401" t="s">
        <v>346</v>
      </c>
      <c r="K401" t="s">
        <v>524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0.181361501358552</v>
      </c>
      <c r="R401" t="s">
        <v>780</v>
      </c>
      <c r="S401" t="s">
        <v>786</v>
      </c>
      <c r="T401">
        <v>10758.537109</v>
      </c>
      <c r="U401" s="2">
        <v>44506</v>
      </c>
      <c r="V401" t="s">
        <v>796</v>
      </c>
    </row>
    <row r="402" spans="1:22">
      <c r="A402" s="1" t="s">
        <v>422</v>
      </c>
      <c r="B402">
        <f>HYPERLINK("https://www.suredividend.com/sure-analysis-COP/","Conoco Phillips")</f>
        <v>0</v>
      </c>
      <c r="C402">
        <v>72.28</v>
      </c>
      <c r="D402">
        <v>74</v>
      </c>
      <c r="E402">
        <v>0.9767567567567568</v>
      </c>
      <c r="F402">
        <v>0.02545655783065855</v>
      </c>
      <c r="G402">
        <v>0.00471460443528815</v>
      </c>
      <c r="H402">
        <v>0.02</v>
      </c>
      <c r="I402">
        <v>0.0489375594316368</v>
      </c>
      <c r="J402" t="s">
        <v>346</v>
      </c>
      <c r="K402" t="s">
        <v>524</v>
      </c>
      <c r="L402">
        <v>5.8</v>
      </c>
      <c r="M402">
        <v>1.84</v>
      </c>
      <c r="N402">
        <v>0.3172413793103449</v>
      </c>
      <c r="O402">
        <v>6</v>
      </c>
      <c r="P402">
        <v>0.03066894385040531</v>
      </c>
      <c r="Q402">
        <v>0.9241933270706451</v>
      </c>
      <c r="R402" t="s">
        <v>780</v>
      </c>
      <c r="S402" t="s">
        <v>793</v>
      </c>
      <c r="T402">
        <v>96177.605542</v>
      </c>
      <c r="U402" s="2">
        <v>44504</v>
      </c>
      <c r="V402" t="s">
        <v>803</v>
      </c>
    </row>
    <row r="403" spans="1:22">
      <c r="A403" s="1" t="s">
        <v>423</v>
      </c>
      <c r="B403">
        <f>HYPERLINK("https://www.suredividend.com/sure-analysis-CUBE/","CubeSmart")</f>
        <v>0</v>
      </c>
      <c r="C403">
        <v>56.59</v>
      </c>
      <c r="D403">
        <v>42</v>
      </c>
      <c r="E403">
        <v>1.347380952380953</v>
      </c>
      <c r="F403">
        <v>0.03039406255522177</v>
      </c>
      <c r="G403">
        <v>-0.05788933691900988</v>
      </c>
      <c r="H403">
        <v>0.075</v>
      </c>
      <c r="I403">
        <v>0.04700839093896936</v>
      </c>
      <c r="J403" t="s">
        <v>346</v>
      </c>
      <c r="K403" t="s">
        <v>346</v>
      </c>
      <c r="L403">
        <v>2.1</v>
      </c>
      <c r="M403">
        <v>1.72</v>
      </c>
      <c r="N403">
        <v>0.819047619047619</v>
      </c>
      <c r="O403">
        <v>12</v>
      </c>
      <c r="P403">
        <v>0.08023542380212056</v>
      </c>
      <c r="Q403">
        <v>0.7375338525330111</v>
      </c>
      <c r="R403" t="s">
        <v>782</v>
      </c>
      <c r="S403" t="s">
        <v>794</v>
      </c>
      <c r="T403">
        <v>12424.072852</v>
      </c>
      <c r="U403" s="2">
        <v>44507</v>
      </c>
      <c r="V403" t="s">
        <v>795</v>
      </c>
    </row>
    <row r="404" spans="1:22">
      <c r="A404" s="1" t="s">
        <v>424</v>
      </c>
      <c r="B404">
        <f>HYPERLINK("https://www.suredividend.com/sure-analysis-SO/","Southern Company")</f>
        <v>0</v>
      </c>
      <c r="C404">
        <v>68.36</v>
      </c>
      <c r="D404">
        <v>56</v>
      </c>
      <c r="E404">
        <v>1.220714285714286</v>
      </c>
      <c r="F404">
        <v>0.03861907548273844</v>
      </c>
      <c r="G404">
        <v>-0.03910220987867397</v>
      </c>
      <c r="H404">
        <v>0.05</v>
      </c>
      <c r="I404">
        <v>0.04675555312771551</v>
      </c>
      <c r="J404" t="s">
        <v>346</v>
      </c>
      <c r="K404" t="s">
        <v>777</v>
      </c>
      <c r="L404">
        <v>3.38</v>
      </c>
      <c r="M404">
        <v>2.64</v>
      </c>
      <c r="N404">
        <v>0.7810650887573966</v>
      </c>
      <c r="O404">
        <v>20</v>
      </c>
      <c r="P404">
        <v>0.02996744995959233</v>
      </c>
      <c r="Q404">
        <v>0.180846247122478</v>
      </c>
      <c r="R404" t="s">
        <v>780</v>
      </c>
      <c r="S404" t="s">
        <v>792</v>
      </c>
      <c r="T404">
        <v>72140.853583</v>
      </c>
      <c r="U404" s="2">
        <v>44512</v>
      </c>
      <c r="V404" t="s">
        <v>803</v>
      </c>
    </row>
    <row r="405" spans="1:22">
      <c r="A405" s="1" t="s">
        <v>425</v>
      </c>
      <c r="B405">
        <f>HYPERLINK("https://www.suredividend.com/sure-analysis-BUD/","Anheuser-Busch In Bev SA/NV")</f>
        <v>0</v>
      </c>
      <c r="C405">
        <v>60.55</v>
      </c>
      <c r="D405">
        <v>62</v>
      </c>
      <c r="E405">
        <v>0.9766129032258064</v>
      </c>
      <c r="F405">
        <v>0.009413707679603632</v>
      </c>
      <c r="G405">
        <v>0.004744201264902603</v>
      </c>
      <c r="H405">
        <v>0.03</v>
      </c>
      <c r="I405">
        <v>0.04296646999479226</v>
      </c>
      <c r="J405" t="s">
        <v>346</v>
      </c>
      <c r="K405" t="s">
        <v>778</v>
      </c>
      <c r="L405">
        <v>3.08</v>
      </c>
      <c r="M405">
        <v>0.57</v>
      </c>
      <c r="N405">
        <v>0.185064935064935</v>
      </c>
      <c r="O405">
        <v>0</v>
      </c>
      <c r="P405">
        <v>0</v>
      </c>
      <c r="Q405">
        <v>-0.144020716232782</v>
      </c>
      <c r="R405" t="s">
        <v>780</v>
      </c>
      <c r="S405" t="s">
        <v>791</v>
      </c>
      <c r="T405">
        <v>104678.879281</v>
      </c>
      <c r="U405" s="2">
        <v>44530</v>
      </c>
      <c r="V405" t="s">
        <v>801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123.48</v>
      </c>
      <c r="D406">
        <v>94</v>
      </c>
      <c r="E406">
        <v>1.313617021276596</v>
      </c>
      <c r="F406">
        <v>0.02850664075153871</v>
      </c>
      <c r="G406">
        <v>-0.05309535589872605</v>
      </c>
      <c r="H406">
        <v>0.065</v>
      </c>
      <c r="I406">
        <v>0.04117802386634017</v>
      </c>
      <c r="J406" t="s">
        <v>346</v>
      </c>
      <c r="K406" t="s">
        <v>346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0.763162315105096</v>
      </c>
      <c r="R406" t="s">
        <v>780</v>
      </c>
      <c r="S406" t="s">
        <v>789</v>
      </c>
      <c r="T406">
        <v>1277.263057</v>
      </c>
      <c r="U406" s="2">
        <v>44513</v>
      </c>
      <c r="V406" t="s">
        <v>802</v>
      </c>
    </row>
    <row r="407" spans="1:22">
      <c r="A407" s="1" t="s">
        <v>427</v>
      </c>
      <c r="B407">
        <f>HYPERLINK("https://www.suredividend.com/sure-analysis-PSB/","PS Business Parks, Inc.")</f>
        <v>0</v>
      </c>
      <c r="C407">
        <v>184.84</v>
      </c>
      <c r="D407">
        <v>161</v>
      </c>
      <c r="E407">
        <v>1.148074534161491</v>
      </c>
      <c r="F407">
        <v>0.02272235446872971</v>
      </c>
      <c r="G407">
        <v>-0.02723937467742199</v>
      </c>
      <c r="H407">
        <v>0.045</v>
      </c>
      <c r="I407">
        <v>0.04077944205959083</v>
      </c>
      <c r="J407" t="s">
        <v>346</v>
      </c>
      <c r="K407" t="s">
        <v>346</v>
      </c>
      <c r="L407">
        <v>6.98</v>
      </c>
      <c r="M407">
        <v>4.2</v>
      </c>
      <c r="N407">
        <v>0.6017191977077364</v>
      </c>
      <c r="O407">
        <v>0</v>
      </c>
      <c r="P407">
        <v>0.05997935097636264</v>
      </c>
      <c r="Q407">
        <v>0.4458742785836841</v>
      </c>
      <c r="R407" t="s">
        <v>782</v>
      </c>
      <c r="S407" t="s">
        <v>794</v>
      </c>
      <c r="T407">
        <v>5107.604807</v>
      </c>
      <c r="U407" s="2">
        <v>44513</v>
      </c>
      <c r="V407" t="s">
        <v>795</v>
      </c>
    </row>
    <row r="408" spans="1:22">
      <c r="A408" s="1" t="s">
        <v>428</v>
      </c>
      <c r="B408">
        <f>HYPERLINK("https://www.suredividend.com/sure-analysis-BAC/","Bank Of America Corp.")</f>
        <v>0</v>
      </c>
      <c r="C408">
        <v>44.53</v>
      </c>
      <c r="D408">
        <v>39</v>
      </c>
      <c r="E408">
        <v>1.141794871794872</v>
      </c>
      <c r="F408">
        <v>0.01886368740175163</v>
      </c>
      <c r="G408">
        <v>-0.02617171986015221</v>
      </c>
      <c r="H408">
        <v>0.04</v>
      </c>
      <c r="I408">
        <v>0.03576357421325338</v>
      </c>
      <c r="J408" t="s">
        <v>346</v>
      </c>
      <c r="K408" t="s">
        <v>524</v>
      </c>
      <c r="L408">
        <v>3.35</v>
      </c>
      <c r="M408">
        <v>0.84</v>
      </c>
      <c r="N408">
        <v>0.2507462686567164</v>
      </c>
      <c r="O408">
        <v>8</v>
      </c>
      <c r="P408">
        <v>0.09953965407958165</v>
      </c>
      <c r="Q408">
        <v>0.515799913052929</v>
      </c>
      <c r="R408" t="s">
        <v>780</v>
      </c>
      <c r="S408" t="s">
        <v>789</v>
      </c>
      <c r="T408">
        <v>365255.670348</v>
      </c>
      <c r="U408" s="2">
        <v>44485</v>
      </c>
      <c r="V408" t="s">
        <v>800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97.12</v>
      </c>
      <c r="D409">
        <v>77</v>
      </c>
      <c r="E409">
        <v>1.261298701298701</v>
      </c>
      <c r="F409">
        <v>0.02996293245469522</v>
      </c>
      <c r="G409">
        <v>-0.04536707210994251</v>
      </c>
      <c r="H409">
        <v>0.052</v>
      </c>
      <c r="I409">
        <v>0.03520262937441254</v>
      </c>
      <c r="J409" t="s">
        <v>346</v>
      </c>
      <c r="K409" t="s">
        <v>777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0.105545866123095</v>
      </c>
      <c r="R409" t="s">
        <v>780</v>
      </c>
      <c r="S409" t="s">
        <v>792</v>
      </c>
      <c r="T409">
        <v>30571.914745</v>
      </c>
      <c r="U409" s="2">
        <v>44502</v>
      </c>
      <c r="V409" t="s">
        <v>796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37.65</v>
      </c>
      <c r="D410">
        <v>47</v>
      </c>
      <c r="E410">
        <v>0.801063829787234</v>
      </c>
      <c r="F410">
        <v>0.01593625498007968</v>
      </c>
      <c r="G410">
        <v>0.04536167863424478</v>
      </c>
      <c r="H410">
        <v>-0.036</v>
      </c>
      <c r="I410">
        <v>0.03400762112655498</v>
      </c>
      <c r="J410" t="s">
        <v>346</v>
      </c>
      <c r="K410" t="s">
        <v>524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0.04112702418155401</v>
      </c>
      <c r="R410" t="s">
        <v>780</v>
      </c>
      <c r="S410" t="s">
        <v>788</v>
      </c>
      <c r="T410">
        <v>5750.763218</v>
      </c>
      <c r="U410" s="2">
        <v>44503</v>
      </c>
      <c r="V410" t="s">
        <v>805</v>
      </c>
    </row>
    <row r="411" spans="1:22">
      <c r="A411" s="1" t="s">
        <v>431</v>
      </c>
      <c r="B411">
        <f>HYPERLINK("https://www.suredividend.com/sure-analysis-WPC/","W. P. Carey Inc")</f>
        <v>0</v>
      </c>
      <c r="C411">
        <v>81.98999999999999</v>
      </c>
      <c r="D411">
        <v>62</v>
      </c>
      <c r="E411">
        <v>1.32241935483871</v>
      </c>
      <c r="F411">
        <v>0.05146969142578364</v>
      </c>
      <c r="G411">
        <v>-0.05435928951397895</v>
      </c>
      <c r="H411">
        <v>0.035</v>
      </c>
      <c r="I411">
        <v>0.03207437146503556</v>
      </c>
      <c r="J411" t="s">
        <v>346</v>
      </c>
      <c r="K411" t="s">
        <v>776</v>
      </c>
      <c r="L411">
        <v>4.98</v>
      </c>
      <c r="M411">
        <v>4.22</v>
      </c>
      <c r="N411">
        <v>0.8473895582329316</v>
      </c>
      <c r="O411">
        <v>23</v>
      </c>
      <c r="P411">
        <v>0.01959594688439426</v>
      </c>
      <c r="Q411">
        <v>0.254048667054231</v>
      </c>
      <c r="R411" t="s">
        <v>782</v>
      </c>
      <c r="S411" t="s">
        <v>794</v>
      </c>
      <c r="T411">
        <v>15470.965513</v>
      </c>
      <c r="U411" s="2">
        <v>44533</v>
      </c>
      <c r="V411" t="s">
        <v>797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40.97</v>
      </c>
      <c r="D412">
        <v>55.8</v>
      </c>
      <c r="E412">
        <v>0.7342293906810036</v>
      </c>
      <c r="F412">
        <v>0.01659751037344398</v>
      </c>
      <c r="G412">
        <v>0.06373548486887337</v>
      </c>
      <c r="H412">
        <v>-0.053</v>
      </c>
      <c r="I412">
        <v>0.03111263383986018</v>
      </c>
      <c r="J412" t="s">
        <v>346</v>
      </c>
      <c r="K412" t="s">
        <v>524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0.261332771087325</v>
      </c>
      <c r="R412" t="s">
        <v>782</v>
      </c>
      <c r="S412" t="s">
        <v>794</v>
      </c>
      <c r="T412">
        <v>30471.1506</v>
      </c>
      <c r="U412" s="2">
        <v>44506</v>
      </c>
      <c r="V412" t="s">
        <v>805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34.74</v>
      </c>
      <c r="D413">
        <v>26</v>
      </c>
      <c r="E413">
        <v>1.336153846153846</v>
      </c>
      <c r="F413">
        <v>0.01381692573402418</v>
      </c>
      <c r="G413">
        <v>-0.05631140417136404</v>
      </c>
      <c r="H413">
        <v>0.075</v>
      </c>
      <c r="I413">
        <v>0.02998917888773844</v>
      </c>
      <c r="J413" t="s">
        <v>346</v>
      </c>
      <c r="K413" t="s">
        <v>778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0.045764982190159</v>
      </c>
      <c r="R413" t="s">
        <v>780</v>
      </c>
      <c r="S413" t="s">
        <v>786</v>
      </c>
      <c r="T413">
        <v>8235.629220000001</v>
      </c>
      <c r="U413" s="2">
        <v>44493</v>
      </c>
      <c r="V413" t="s">
        <v>802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385.52</v>
      </c>
      <c r="D414">
        <v>671</v>
      </c>
      <c r="E414">
        <v>0.5745454545454545</v>
      </c>
      <c r="F414">
        <v>0.02075119319360863</v>
      </c>
      <c r="G414">
        <v>0.1172107897898742</v>
      </c>
      <c r="H414">
        <v>-0.1</v>
      </c>
      <c r="I414">
        <v>0.02738251025895844</v>
      </c>
      <c r="J414" t="s">
        <v>346</v>
      </c>
      <c r="K414" t="s">
        <v>524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0.523118109093433</v>
      </c>
      <c r="R414" t="s">
        <v>780</v>
      </c>
      <c r="S414" t="s">
        <v>789</v>
      </c>
      <c r="T414">
        <v>129297.048876</v>
      </c>
      <c r="U414" s="2">
        <v>44485</v>
      </c>
      <c r="V414" t="s">
        <v>800</v>
      </c>
    </row>
    <row r="415" spans="1:22">
      <c r="A415" s="1" t="s">
        <v>435</v>
      </c>
      <c r="B415">
        <f>HYPERLINK("https://www.suredividend.com/sure-analysis-PACW/","Pacwest Bancorp")</f>
        <v>0</v>
      </c>
      <c r="C415">
        <v>45.24</v>
      </c>
      <c r="D415">
        <v>50</v>
      </c>
      <c r="E415">
        <v>0.9048</v>
      </c>
      <c r="F415">
        <v>0.02210433244916003</v>
      </c>
      <c r="G415">
        <v>0.02020977797966683</v>
      </c>
      <c r="H415">
        <v>-0.02</v>
      </c>
      <c r="I415">
        <v>0.02429217781791881</v>
      </c>
      <c r="J415" t="s">
        <v>346</v>
      </c>
      <c r="K415" t="s">
        <v>524</v>
      </c>
      <c r="L415">
        <v>5</v>
      </c>
      <c r="M415">
        <v>1</v>
      </c>
      <c r="N415">
        <v>0.2</v>
      </c>
      <c r="O415">
        <v>0</v>
      </c>
      <c r="P415">
        <v>0.05061112176150684</v>
      </c>
      <c r="Q415">
        <v>0.8670032562576061</v>
      </c>
      <c r="R415" t="s">
        <v>780</v>
      </c>
      <c r="S415" t="s">
        <v>789</v>
      </c>
      <c r="T415">
        <v>5324.677288</v>
      </c>
      <c r="U415" s="2">
        <v>44493</v>
      </c>
      <c r="V415" t="s">
        <v>800</v>
      </c>
    </row>
    <row r="416" spans="1:22">
      <c r="A416" s="1" t="s">
        <v>436</v>
      </c>
      <c r="B416">
        <f>HYPERLINK("https://www.suredividend.com/sure-analysis-DUK/","Duke Energy Corp.")</f>
        <v>0</v>
      </c>
      <c r="C416">
        <v>104.79</v>
      </c>
      <c r="D416">
        <v>78.3</v>
      </c>
      <c r="E416">
        <v>1.338314176245211</v>
      </c>
      <c r="F416">
        <v>0.03759900753888729</v>
      </c>
      <c r="G416">
        <v>-0.05661626479847559</v>
      </c>
      <c r="H416">
        <v>0.043</v>
      </c>
      <c r="I416">
        <v>0.02402266904587491</v>
      </c>
      <c r="J416" t="s">
        <v>346</v>
      </c>
      <c r="K416" t="s">
        <v>777</v>
      </c>
      <c r="L416">
        <v>5.22</v>
      </c>
      <c r="M416">
        <v>3.94</v>
      </c>
      <c r="N416">
        <v>0.7547892720306514</v>
      </c>
      <c r="O416">
        <v>10</v>
      </c>
      <c r="P416">
        <v>0.02693571566003095</v>
      </c>
      <c r="Q416">
        <v>0.212027253258856</v>
      </c>
      <c r="R416" t="s">
        <v>780</v>
      </c>
      <c r="S416" t="s">
        <v>792</v>
      </c>
      <c r="T416">
        <v>80595.80676599999</v>
      </c>
      <c r="U416" s="2">
        <v>44509</v>
      </c>
      <c r="V416" t="s">
        <v>805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173.49</v>
      </c>
      <c r="D417">
        <v>135</v>
      </c>
      <c r="E417">
        <v>1.285111111111111</v>
      </c>
      <c r="F417">
        <v>0.01233500489941783</v>
      </c>
      <c r="G417">
        <v>-0.04893135438370821</v>
      </c>
      <c r="H417">
        <v>0.062</v>
      </c>
      <c r="I417">
        <v>0.02380644508831664</v>
      </c>
      <c r="J417" t="s">
        <v>346</v>
      </c>
      <c r="K417" t="s">
        <v>778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0.5377935152497041</v>
      </c>
      <c r="R417" t="s">
        <v>780</v>
      </c>
      <c r="S417" t="s">
        <v>789</v>
      </c>
      <c r="T417">
        <v>87796.255368</v>
      </c>
      <c r="U417" s="2">
        <v>44505</v>
      </c>
      <c r="V417" t="s">
        <v>802</v>
      </c>
    </row>
    <row r="418" spans="1:22">
      <c r="A418" s="1" t="s">
        <v>438</v>
      </c>
      <c r="B418">
        <f>HYPERLINK("https://www.suredividend.com/sure-analysis-NNN/","National Retail Properties Inc")</f>
        <v>0</v>
      </c>
      <c r="C418">
        <v>48.06</v>
      </c>
      <c r="D418">
        <v>39.1</v>
      </c>
      <c r="E418">
        <v>1.229156010230179</v>
      </c>
      <c r="F418">
        <v>0.04411152725759467</v>
      </c>
      <c r="G418">
        <v>-0.04042572139434419</v>
      </c>
      <c r="H418">
        <v>0.015</v>
      </c>
      <c r="I418">
        <v>0.02074404263863117</v>
      </c>
      <c r="J418" t="s">
        <v>346</v>
      </c>
      <c r="K418" t="s">
        <v>777</v>
      </c>
      <c r="L418">
        <v>2.79</v>
      </c>
      <c r="M418">
        <v>2.12</v>
      </c>
      <c r="N418">
        <v>0.7598566308243728</v>
      </c>
      <c r="O418">
        <v>21</v>
      </c>
      <c r="P418">
        <v>0.01643215369887963</v>
      </c>
      <c r="Q418">
        <v>0.221822532769847</v>
      </c>
      <c r="R418" t="s">
        <v>782</v>
      </c>
      <c r="S418" t="s">
        <v>794</v>
      </c>
      <c r="T418">
        <v>8392.731269</v>
      </c>
      <c r="U418" s="2">
        <v>44506</v>
      </c>
      <c r="V418" t="s">
        <v>805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43.6</v>
      </c>
      <c r="D419">
        <v>36</v>
      </c>
      <c r="E419">
        <v>1.211111111111111</v>
      </c>
      <c r="F419">
        <v>0.02752293577981651</v>
      </c>
      <c r="G419">
        <v>-0.0375831848562268</v>
      </c>
      <c r="H419">
        <v>0.03</v>
      </c>
      <c r="I419">
        <v>0.02065507638057795</v>
      </c>
      <c r="J419" t="s">
        <v>346</v>
      </c>
      <c r="K419" t="s">
        <v>346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0.6601558806956771</v>
      </c>
      <c r="R419" t="s">
        <v>780</v>
      </c>
      <c r="S419" t="s">
        <v>789</v>
      </c>
      <c r="T419">
        <v>30016.944855</v>
      </c>
      <c r="U419" s="2">
        <v>44488</v>
      </c>
      <c r="V419" t="s">
        <v>796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11.74</v>
      </c>
      <c r="D420">
        <v>10</v>
      </c>
      <c r="E420">
        <v>1.174</v>
      </c>
      <c r="F420">
        <v>0.003407155025553663</v>
      </c>
      <c r="G420">
        <v>-0.03157413404204457</v>
      </c>
      <c r="H420">
        <v>0.05</v>
      </c>
      <c r="I420">
        <v>0.02047195481532471</v>
      </c>
      <c r="J420" t="s">
        <v>346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0.235255299843273</v>
      </c>
      <c r="R420" t="s">
        <v>780</v>
      </c>
      <c r="S420" t="s">
        <v>786</v>
      </c>
      <c r="T420">
        <v>3153.402052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136.45</v>
      </c>
      <c r="D421">
        <v>91</v>
      </c>
      <c r="E421">
        <v>1.499450549450549</v>
      </c>
      <c r="F421">
        <v>0.01934774642726273</v>
      </c>
      <c r="G421">
        <v>-0.0778245199741685</v>
      </c>
      <c r="H421">
        <v>0.08</v>
      </c>
      <c r="I421">
        <v>0.01779112051295328</v>
      </c>
      <c r="J421" t="s">
        <v>346</v>
      </c>
      <c r="K421" t="s">
        <v>524</v>
      </c>
      <c r="L421">
        <v>3.62</v>
      </c>
      <c r="M421">
        <v>2.64</v>
      </c>
      <c r="N421">
        <v>0.7292817679558011</v>
      </c>
      <c r="O421">
        <v>10</v>
      </c>
      <c r="P421">
        <v>0.0500384320386924</v>
      </c>
      <c r="Q421">
        <v>0.511969853051234</v>
      </c>
      <c r="R421" t="s">
        <v>780</v>
      </c>
      <c r="S421" t="s">
        <v>786</v>
      </c>
      <c r="T421">
        <v>49537.955449</v>
      </c>
      <c r="U421" s="2">
        <v>44552</v>
      </c>
      <c r="V421" t="s">
        <v>796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112.26</v>
      </c>
      <c r="D422">
        <v>84</v>
      </c>
      <c r="E422">
        <v>1.336428571428572</v>
      </c>
      <c r="F422">
        <v>0.01318368074113665</v>
      </c>
      <c r="G422">
        <v>-0.05635020556106929</v>
      </c>
      <c r="H422">
        <v>0.06</v>
      </c>
      <c r="I422">
        <v>0.01694651902750377</v>
      </c>
      <c r="J422" t="s">
        <v>346</v>
      </c>
      <c r="K422" t="s">
        <v>524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0.3451403577958621</v>
      </c>
      <c r="R422" t="s">
        <v>780</v>
      </c>
      <c r="S422" t="s">
        <v>786</v>
      </c>
      <c r="T422">
        <v>7596.33762</v>
      </c>
      <c r="U422" s="2">
        <v>44502</v>
      </c>
      <c r="V422" t="s">
        <v>799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87.02</v>
      </c>
      <c r="D423">
        <v>83</v>
      </c>
      <c r="E423">
        <v>1.048433734939759</v>
      </c>
      <c r="F423">
        <v>0.03125718225695243</v>
      </c>
      <c r="G423">
        <v>-0.009414873817852332</v>
      </c>
      <c r="H423">
        <v>-0.01</v>
      </c>
      <c r="I423">
        <v>0.01511189625879394</v>
      </c>
      <c r="J423" t="s">
        <v>346</v>
      </c>
      <c r="K423" t="s">
        <v>346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0.6451514144094901</v>
      </c>
      <c r="R423" t="s">
        <v>780</v>
      </c>
      <c r="S423" t="s">
        <v>789</v>
      </c>
      <c r="T423">
        <v>11487.31148</v>
      </c>
      <c r="U423" s="2">
        <v>44490</v>
      </c>
      <c r="V423" t="s">
        <v>799</v>
      </c>
    </row>
    <row r="424" spans="1:22">
      <c r="A424" s="1" t="s">
        <v>444</v>
      </c>
      <c r="B424">
        <f>HYPERLINK("https://www.suredividend.com/sure-analysis-AMT/","American Tower Corp.")</f>
        <v>0</v>
      </c>
      <c r="C424">
        <v>291.14</v>
      </c>
      <c r="D424">
        <v>209</v>
      </c>
      <c r="E424">
        <v>1.393014354066985</v>
      </c>
      <c r="F424">
        <v>0.01909734148519613</v>
      </c>
      <c r="G424">
        <v>-0.06414431757371064</v>
      </c>
      <c r="H424">
        <v>0.06</v>
      </c>
      <c r="I424">
        <v>0.01374410012983729</v>
      </c>
      <c r="J424" t="s">
        <v>346</v>
      </c>
      <c r="K424" t="s">
        <v>524</v>
      </c>
      <c r="L424">
        <v>9.5</v>
      </c>
      <c r="M424">
        <v>5.56</v>
      </c>
      <c r="N424">
        <v>0.5852631578947368</v>
      </c>
      <c r="O424">
        <v>9</v>
      </c>
      <c r="P424">
        <v>0.04743877095498816</v>
      </c>
      <c r="Q424">
        <v>0.336107177182205</v>
      </c>
      <c r="R424" t="s">
        <v>782</v>
      </c>
      <c r="S424" t="s">
        <v>794</v>
      </c>
      <c r="T424">
        <v>131559.908789</v>
      </c>
      <c r="U424" s="2">
        <v>44502</v>
      </c>
      <c r="V424" t="s">
        <v>799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249.39</v>
      </c>
      <c r="D425">
        <v>185</v>
      </c>
      <c r="E425">
        <v>1.348054054054054</v>
      </c>
      <c r="F425">
        <v>0.01218974297285376</v>
      </c>
      <c r="G425">
        <v>-0.05798343744157441</v>
      </c>
      <c r="H425">
        <v>0.05</v>
      </c>
      <c r="I425">
        <v>0.003472489298858239</v>
      </c>
      <c r="J425" t="s">
        <v>346</v>
      </c>
      <c r="K425" t="s">
        <v>778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0.164218799304395</v>
      </c>
      <c r="R425" t="s">
        <v>780</v>
      </c>
      <c r="S425" t="s">
        <v>791</v>
      </c>
      <c r="T425">
        <v>46835.291161</v>
      </c>
      <c r="U425" s="2">
        <v>44475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84.06999999999999</v>
      </c>
      <c r="D426">
        <v>67</v>
      </c>
      <c r="E426">
        <v>1.254776119402985</v>
      </c>
      <c r="F426">
        <v>0.01118115855834424</v>
      </c>
      <c r="G426">
        <v>-0.04437665404442914</v>
      </c>
      <c r="H426">
        <v>0.03</v>
      </c>
      <c r="I426">
        <v>-0.0002291689409633646</v>
      </c>
      <c r="J426" t="s">
        <v>346</v>
      </c>
      <c r="K426" t="s">
        <v>778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-0.120574426606346</v>
      </c>
      <c r="R426" t="s">
        <v>780</v>
      </c>
      <c r="S426" t="s">
        <v>787</v>
      </c>
      <c r="T426">
        <v>14516.721153</v>
      </c>
      <c r="U426" s="2">
        <v>44495</v>
      </c>
      <c r="V426" t="s">
        <v>796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28.97</v>
      </c>
      <c r="D427">
        <v>28</v>
      </c>
      <c r="E427">
        <v>1.034642857142857</v>
      </c>
      <c r="F427">
        <v>0.001380738695201933</v>
      </c>
      <c r="G427">
        <v>-0.006788116264174082</v>
      </c>
      <c r="H427">
        <v>0</v>
      </c>
      <c r="I427">
        <v>-0.001562055203813251</v>
      </c>
      <c r="J427" t="s">
        <v>346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0.6996015288281691</v>
      </c>
      <c r="R427" t="s">
        <v>780</v>
      </c>
      <c r="S427" t="s">
        <v>793</v>
      </c>
      <c r="T427">
        <v>27328.283504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57.41</v>
      </c>
      <c r="D428">
        <v>45</v>
      </c>
      <c r="E428">
        <v>1.275777777777778</v>
      </c>
      <c r="F428">
        <v>0.01393485455495558</v>
      </c>
      <c r="G428">
        <v>-0.04754384342370344</v>
      </c>
      <c r="H428">
        <v>0.03</v>
      </c>
      <c r="I428">
        <v>-0.004367071193119743</v>
      </c>
      <c r="J428" t="s">
        <v>346</v>
      </c>
      <c r="K428" t="s">
        <v>524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1.427522194310091</v>
      </c>
      <c r="R428" t="s">
        <v>780</v>
      </c>
      <c r="S428" t="s">
        <v>790</v>
      </c>
      <c r="T428">
        <v>9350.123362</v>
      </c>
      <c r="U428" s="2">
        <v>44515</v>
      </c>
      <c r="V428" t="s">
        <v>802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59.48</v>
      </c>
      <c r="D429">
        <v>46</v>
      </c>
      <c r="E429">
        <v>1.29304347826087</v>
      </c>
      <c r="F429">
        <v>0.01143241425689307</v>
      </c>
      <c r="G429">
        <v>-0.05010112271898604</v>
      </c>
      <c r="H429">
        <v>0.03</v>
      </c>
      <c r="I429">
        <v>-0.008711790643146422</v>
      </c>
      <c r="J429" t="s">
        <v>346</v>
      </c>
      <c r="K429" t="s">
        <v>524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0.8888395406382841</v>
      </c>
      <c r="R429" t="s">
        <v>780</v>
      </c>
      <c r="S429" t="s">
        <v>787</v>
      </c>
      <c r="T429">
        <v>3716.554854</v>
      </c>
      <c r="U429" s="2">
        <v>44522</v>
      </c>
      <c r="V429" t="s">
        <v>796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176.09</v>
      </c>
      <c r="D430">
        <v>104</v>
      </c>
      <c r="E430">
        <v>1.693173076923077</v>
      </c>
      <c r="F430">
        <v>0.02635016184905446</v>
      </c>
      <c r="G430">
        <v>-0.0999643143901322</v>
      </c>
      <c r="H430">
        <v>0.06</v>
      </c>
      <c r="I430">
        <v>-0.01065962254748509</v>
      </c>
      <c r="J430" t="s">
        <v>346</v>
      </c>
      <c r="K430" t="s">
        <v>346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0.308851062367955</v>
      </c>
      <c r="R430" t="s">
        <v>782</v>
      </c>
      <c r="S430" t="s">
        <v>794</v>
      </c>
      <c r="T430">
        <v>49736.589539</v>
      </c>
      <c r="U430" s="2">
        <v>44497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139.47</v>
      </c>
      <c r="D431">
        <v>90</v>
      </c>
      <c r="E431">
        <v>1.549666666666667</v>
      </c>
      <c r="F431">
        <v>0.02151000215100022</v>
      </c>
      <c r="G431">
        <v>-0.08388004790075321</v>
      </c>
      <c r="H431">
        <v>0.05</v>
      </c>
      <c r="I431">
        <v>-0.01168900022862618</v>
      </c>
      <c r="J431" t="s">
        <v>346</v>
      </c>
      <c r="K431" t="s">
        <v>524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0.193622254261725</v>
      </c>
      <c r="R431" t="s">
        <v>780</v>
      </c>
      <c r="S431" t="s">
        <v>791</v>
      </c>
      <c r="T431">
        <v>396183.1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38.14</v>
      </c>
      <c r="D432">
        <v>21</v>
      </c>
      <c r="E432">
        <v>1.816190476190476</v>
      </c>
      <c r="F432">
        <v>0.02228631358154169</v>
      </c>
      <c r="G432">
        <v>-0.1125013089348031</v>
      </c>
      <c r="H432">
        <v>0.08</v>
      </c>
      <c r="I432">
        <v>-0.01398764035748257</v>
      </c>
      <c r="J432" t="s">
        <v>346</v>
      </c>
      <c r="K432" t="s">
        <v>524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0.425247344024839</v>
      </c>
      <c r="R432" t="s">
        <v>780</v>
      </c>
      <c r="S432" t="s">
        <v>786</v>
      </c>
      <c r="T432">
        <v>79354.180404</v>
      </c>
      <c r="U432" s="2">
        <v>44494</v>
      </c>
      <c r="V432" t="s">
        <v>803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219.17</v>
      </c>
      <c r="D433">
        <v>123</v>
      </c>
      <c r="E433">
        <v>1.781869918699187</v>
      </c>
      <c r="F433">
        <v>0.01834192635853447</v>
      </c>
      <c r="G433">
        <v>-0.1091085299246044</v>
      </c>
      <c r="H433">
        <v>0.08</v>
      </c>
      <c r="I433">
        <v>-0.01419558061397608</v>
      </c>
      <c r="J433" t="s">
        <v>346</v>
      </c>
      <c r="K433" t="s">
        <v>524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0.389175094688013</v>
      </c>
      <c r="R433" t="s">
        <v>780</v>
      </c>
      <c r="S433" t="s">
        <v>791</v>
      </c>
      <c r="T433">
        <v>129075.054218</v>
      </c>
      <c r="U433" s="2">
        <v>44422</v>
      </c>
      <c r="V433" t="s">
        <v>796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372.46</v>
      </c>
      <c r="D434">
        <v>242</v>
      </c>
      <c r="E434">
        <v>1.539090909090909</v>
      </c>
      <c r="F434">
        <v>0.0214788165172099</v>
      </c>
      <c r="G434">
        <v>-0.08262448310713477</v>
      </c>
      <c r="H434">
        <v>0.04</v>
      </c>
      <c r="I434">
        <v>-0.0183693900764329</v>
      </c>
      <c r="J434" t="s">
        <v>346</v>
      </c>
      <c r="K434" t="s">
        <v>524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0.680397898307561</v>
      </c>
      <c r="R434" t="s">
        <v>782</v>
      </c>
      <c r="S434" t="s">
        <v>794</v>
      </c>
      <c r="T434">
        <v>65340.616147</v>
      </c>
      <c r="U434" s="2">
        <v>44502</v>
      </c>
      <c r="V434" t="s">
        <v>796</v>
      </c>
    </row>
    <row r="435" spans="1:22">
      <c r="A435" s="1" t="s">
        <v>455</v>
      </c>
      <c r="B435">
        <f>HYPERLINK("https://www.suredividend.com/sure-analysis-MRVL/","Marvell Technology Inc")</f>
        <v>0</v>
      </c>
      <c r="C435">
        <v>87.44</v>
      </c>
      <c r="D435">
        <v>31</v>
      </c>
      <c r="E435">
        <v>2.820645161290323</v>
      </c>
      <c r="F435">
        <v>0.002744739249771272</v>
      </c>
      <c r="G435">
        <v>-0.1872999078834157</v>
      </c>
      <c r="H435">
        <v>0.2</v>
      </c>
      <c r="I435">
        <v>-0.02174432172295093</v>
      </c>
      <c r="J435" t="s">
        <v>346</v>
      </c>
      <c r="K435" t="s">
        <v>778</v>
      </c>
      <c r="L435">
        <v>1.55</v>
      </c>
      <c r="M435">
        <v>0.24</v>
      </c>
      <c r="N435">
        <v>0.1548387096774193</v>
      </c>
      <c r="O435">
        <v>0</v>
      </c>
      <c r="P435">
        <v>0</v>
      </c>
      <c r="Q435">
        <v>0.866542427264084</v>
      </c>
      <c r="R435" t="s">
        <v>780</v>
      </c>
      <c r="S435" t="s">
        <v>787</v>
      </c>
      <c r="T435">
        <v>74710.052</v>
      </c>
      <c r="U435" s="2">
        <v>44555</v>
      </c>
      <c r="V435" t="s">
        <v>798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251.26</v>
      </c>
      <c r="D436">
        <v>147</v>
      </c>
      <c r="E436">
        <v>1.709251700680272</v>
      </c>
      <c r="F436">
        <v>0.02531242537610444</v>
      </c>
      <c r="G436">
        <v>-0.1016640168061266</v>
      </c>
      <c r="H436">
        <v>0.054</v>
      </c>
      <c r="I436">
        <v>-0.02191411343328065</v>
      </c>
      <c r="J436" t="s">
        <v>346</v>
      </c>
      <c r="K436" t="s">
        <v>346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0.6610159458846201</v>
      </c>
      <c r="R436" t="s">
        <v>782</v>
      </c>
      <c r="S436" t="s">
        <v>794</v>
      </c>
      <c r="T436">
        <v>35291.569851</v>
      </c>
      <c r="U436" s="2">
        <v>44503</v>
      </c>
      <c r="V436" t="s">
        <v>805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61.88</v>
      </c>
      <c r="D437">
        <v>49</v>
      </c>
      <c r="E437">
        <v>1.262857142857143</v>
      </c>
      <c r="F437">
        <v>0.01680672268907563</v>
      </c>
      <c r="G437">
        <v>-0.04560280337448885</v>
      </c>
      <c r="H437">
        <v>0</v>
      </c>
      <c r="I437">
        <v>-0.02324978232511621</v>
      </c>
      <c r="J437" t="s">
        <v>346</v>
      </c>
      <c r="K437" t="s">
        <v>524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0.7509137765500511</v>
      </c>
      <c r="R437" t="s">
        <v>780</v>
      </c>
      <c r="S437" t="s">
        <v>790</v>
      </c>
      <c r="T437">
        <v>12377.402966</v>
      </c>
      <c r="U437" s="2">
        <v>44494</v>
      </c>
      <c r="V437" t="s">
        <v>803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41.94</v>
      </c>
      <c r="D438">
        <v>23</v>
      </c>
      <c r="E438">
        <v>1.823478260869565</v>
      </c>
      <c r="F438">
        <v>0.02956604673342871</v>
      </c>
      <c r="G438">
        <v>-0.1132118481620699</v>
      </c>
      <c r="H438">
        <v>0.055</v>
      </c>
      <c r="I438">
        <v>-0.02434579745377941</v>
      </c>
      <c r="J438" t="s">
        <v>346</v>
      </c>
      <c r="K438" t="s">
        <v>346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0.260260368057051</v>
      </c>
      <c r="R438" t="s">
        <v>780</v>
      </c>
      <c r="S438" t="s">
        <v>786</v>
      </c>
      <c r="T438">
        <v>1835.155795</v>
      </c>
      <c r="U438" s="2">
        <v>44494</v>
      </c>
      <c r="V438" t="s">
        <v>796</v>
      </c>
    </row>
    <row r="439" spans="1:22">
      <c r="A439" s="1" t="s">
        <v>459</v>
      </c>
      <c r="B439">
        <f>HYPERLINK("https://www.suredividend.com/sure-analysis-FAST/","Fastenal Co.")</f>
        <v>0</v>
      </c>
      <c r="C439">
        <v>63.81</v>
      </c>
      <c r="D439">
        <v>37</v>
      </c>
      <c r="E439">
        <v>1.724594594594595</v>
      </c>
      <c r="F439">
        <v>0.0175521078200909</v>
      </c>
      <c r="G439">
        <v>-0.1032681486710119</v>
      </c>
      <c r="H439">
        <v>0.06</v>
      </c>
      <c r="I439">
        <v>-0.02504408324786744</v>
      </c>
      <c r="J439" t="s">
        <v>346</v>
      </c>
      <c r="K439" t="s">
        <v>524</v>
      </c>
      <c r="L439">
        <v>1.55</v>
      </c>
      <c r="M439">
        <v>1.12</v>
      </c>
      <c r="N439">
        <v>0.7225806451612904</v>
      </c>
      <c r="O439">
        <v>22</v>
      </c>
      <c r="P439">
        <v>0.06016789231717423</v>
      </c>
      <c r="Q439">
        <v>0.323975214000185</v>
      </c>
      <c r="R439" t="s">
        <v>780</v>
      </c>
      <c r="S439" t="s">
        <v>786</v>
      </c>
      <c r="T439">
        <v>37052.023265</v>
      </c>
      <c r="U439" s="2">
        <v>44482</v>
      </c>
      <c r="V439" t="s">
        <v>799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293.59</v>
      </c>
      <c r="D440">
        <v>164</v>
      </c>
      <c r="E440">
        <v>1.790182926829268</v>
      </c>
      <c r="F440">
        <v>0.007357198814673525</v>
      </c>
      <c r="G440">
        <v>-0.1099374712292903</v>
      </c>
      <c r="H440">
        <v>0.08</v>
      </c>
      <c r="I440">
        <v>-0.02775179509746895</v>
      </c>
      <c r="J440" t="s">
        <v>346</v>
      </c>
      <c r="K440" t="s">
        <v>778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0.5065121925938241</v>
      </c>
      <c r="R440" t="s">
        <v>780</v>
      </c>
      <c r="S440" t="s">
        <v>786</v>
      </c>
      <c r="T440">
        <v>26710.94738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HYPERLINK("https://www.suredividend.com/sure-analysis-MT/","ArcelorMittal")</f>
        <v>0</v>
      </c>
      <c r="C441">
        <v>31.74</v>
      </c>
      <c r="D441">
        <v>25</v>
      </c>
      <c r="E441">
        <v>1.2696</v>
      </c>
      <c r="F441">
        <v>0.00945179584120983</v>
      </c>
      <c r="G441">
        <v>-0.0466187263411979</v>
      </c>
      <c r="H441">
        <v>0</v>
      </c>
      <c r="I441">
        <v>-0.02956415717901917</v>
      </c>
      <c r="J441" t="s">
        <v>346</v>
      </c>
      <c r="K441" t="s">
        <v>524</v>
      </c>
      <c r="L441">
        <v>12.8</v>
      </c>
      <c r="M441">
        <v>0.3</v>
      </c>
      <c r="N441">
        <v>0.0234375</v>
      </c>
      <c r="O441">
        <v>0</v>
      </c>
      <c r="P441">
        <v>0.1486983549970351</v>
      </c>
      <c r="Q441">
        <v>0.424417583189852</v>
      </c>
      <c r="R441" t="s">
        <v>780</v>
      </c>
      <c r="S441" t="s">
        <v>790</v>
      </c>
      <c r="T441">
        <v>31872.520906</v>
      </c>
      <c r="U441" s="2">
        <v>44516</v>
      </c>
      <c r="V441" t="s">
        <v>803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256.83</v>
      </c>
      <c r="D442">
        <v>146</v>
      </c>
      <c r="E442">
        <v>1.759109589041096</v>
      </c>
      <c r="F442">
        <v>0.004049371179379356</v>
      </c>
      <c r="G442">
        <v>-0.1068150003880082</v>
      </c>
      <c r="H442">
        <v>0.075</v>
      </c>
      <c r="I442">
        <v>-0.03395645986182827</v>
      </c>
      <c r="J442" t="s">
        <v>346</v>
      </c>
      <c r="K442" t="s">
        <v>778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0.128148576029687</v>
      </c>
      <c r="R442" t="s">
        <v>780</v>
      </c>
      <c r="S442" t="s">
        <v>788</v>
      </c>
      <c r="T442">
        <v>47628.006042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27.06</v>
      </c>
      <c r="D443">
        <v>16</v>
      </c>
      <c r="E443">
        <v>1.69125</v>
      </c>
      <c r="F443">
        <v>0.01847745750184775</v>
      </c>
      <c r="G443">
        <v>-0.09975972593105176</v>
      </c>
      <c r="H443">
        <v>0.04</v>
      </c>
      <c r="I443">
        <v>-0.03732902854445364</v>
      </c>
      <c r="J443" t="s">
        <v>346</v>
      </c>
      <c r="K443" t="s">
        <v>524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0.4387117060924871</v>
      </c>
      <c r="R443" t="s">
        <v>780</v>
      </c>
      <c r="S443" t="s">
        <v>793</v>
      </c>
      <c r="T443">
        <v>10138.984569</v>
      </c>
      <c r="U443" s="2">
        <v>44508</v>
      </c>
      <c r="V443" t="s">
        <v>803</v>
      </c>
    </row>
    <row r="444" spans="1:22">
      <c r="A444" s="1" t="s">
        <v>464</v>
      </c>
      <c r="B444">
        <f>HYPERLINK("https://www.suredividend.com/sure-analysis-FCX/","Freeport-McMoRan Inc")</f>
        <v>0</v>
      </c>
      <c r="C444">
        <v>41.62</v>
      </c>
      <c r="D444">
        <v>40</v>
      </c>
      <c r="E444">
        <v>1.0405</v>
      </c>
      <c r="F444">
        <v>0.007208073041806824</v>
      </c>
      <c r="G444">
        <v>-0.007908832670663446</v>
      </c>
      <c r="H444">
        <v>-0.04</v>
      </c>
      <c r="I444">
        <v>-0.03736887224051477</v>
      </c>
      <c r="J444" t="s">
        <v>346</v>
      </c>
      <c r="K444" t="s">
        <v>778</v>
      </c>
      <c r="L444">
        <v>3.05</v>
      </c>
      <c r="M444">
        <v>0.3</v>
      </c>
      <c r="N444">
        <v>0.09836065573770492</v>
      </c>
      <c r="O444">
        <v>1</v>
      </c>
      <c r="P444">
        <v>0.05922384104881218</v>
      </c>
      <c r="Q444">
        <v>0.707781430012692</v>
      </c>
      <c r="R444" t="s">
        <v>780</v>
      </c>
      <c r="S444" t="s">
        <v>790</v>
      </c>
      <c r="T444">
        <v>61646.518202</v>
      </c>
      <c r="U444" s="2">
        <v>44498</v>
      </c>
      <c r="V444" t="s">
        <v>800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74.77</v>
      </c>
      <c r="D445">
        <v>36</v>
      </c>
      <c r="E445">
        <v>2.076944444444444</v>
      </c>
      <c r="F445">
        <v>0.007757121840310285</v>
      </c>
      <c r="G445">
        <v>-0.1359974504472033</v>
      </c>
      <c r="H445">
        <v>0.1</v>
      </c>
      <c r="I445">
        <v>-0.03980705610263746</v>
      </c>
      <c r="J445" t="s">
        <v>346</v>
      </c>
      <c r="K445" t="s">
        <v>778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0.907571137040422</v>
      </c>
      <c r="R445" t="s">
        <v>780</v>
      </c>
      <c r="S445" t="s">
        <v>789</v>
      </c>
      <c r="T445">
        <v>43583.187486</v>
      </c>
      <c r="U445" s="2">
        <v>44507</v>
      </c>
      <c r="V445" t="s">
        <v>806</v>
      </c>
    </row>
    <row r="446" spans="1:22">
      <c r="A446" s="1" t="s">
        <v>466</v>
      </c>
      <c r="B446">
        <f>HYPERLINK("https://www.suredividend.com/sure-analysis-TER/","Teradyne, Inc.")</f>
        <v>0</v>
      </c>
      <c r="C446">
        <v>163.72</v>
      </c>
      <c r="D446">
        <v>87</v>
      </c>
      <c r="E446">
        <v>1.88183908045977</v>
      </c>
      <c r="F446">
        <v>0.002443195699975568</v>
      </c>
      <c r="G446">
        <v>-0.1187817083363821</v>
      </c>
      <c r="H446">
        <v>0.08</v>
      </c>
      <c r="I446">
        <v>-0.04433398071788519</v>
      </c>
      <c r="J446" t="s">
        <v>346</v>
      </c>
      <c r="K446" t="s">
        <v>778</v>
      </c>
      <c r="L446">
        <v>4.82</v>
      </c>
      <c r="M446">
        <v>0.4</v>
      </c>
      <c r="N446">
        <v>0.08298755186721991</v>
      </c>
      <c r="O446">
        <v>0</v>
      </c>
      <c r="P446">
        <v>0.09856054330611763</v>
      </c>
      <c r="Q446">
        <v>0.427203384826304</v>
      </c>
      <c r="R446" t="s">
        <v>780</v>
      </c>
      <c r="S446" t="s">
        <v>787</v>
      </c>
      <c r="T446">
        <v>27184.233782</v>
      </c>
      <c r="U446" s="2">
        <v>44502</v>
      </c>
      <c r="V446" t="s">
        <v>806</v>
      </c>
    </row>
    <row r="447" spans="1:22">
      <c r="A447" s="1" t="s">
        <v>467</v>
      </c>
      <c r="B447">
        <f>HYPERLINK("https://www.suredividend.com/sure-analysis-INFY/","Infosys Ltd")</f>
        <v>0</v>
      </c>
      <c r="C447">
        <v>25.41</v>
      </c>
      <c r="D447">
        <v>13</v>
      </c>
      <c r="E447">
        <v>1.954615384615385</v>
      </c>
      <c r="F447">
        <v>0.01574183392365211</v>
      </c>
      <c r="G447">
        <v>-0.1254437708599228</v>
      </c>
      <c r="H447">
        <v>0.06</v>
      </c>
      <c r="I447">
        <v>-0.04735063308687504</v>
      </c>
      <c r="J447" t="s">
        <v>346</v>
      </c>
      <c r="K447" t="s">
        <v>524</v>
      </c>
      <c r="L447">
        <v>0.7</v>
      </c>
      <c r="M447">
        <v>0.4</v>
      </c>
      <c r="N447">
        <v>0.5714285714285715</v>
      </c>
      <c r="O447">
        <v>6</v>
      </c>
      <c r="P447">
        <v>0.08083252207959757</v>
      </c>
      <c r="Q447">
        <v>0.5435515064527501</v>
      </c>
      <c r="R447" t="s">
        <v>780</v>
      </c>
      <c r="S447" t="s">
        <v>787</v>
      </c>
      <c r="T447">
        <v>106736.580048</v>
      </c>
      <c r="U447" s="2">
        <v>44498</v>
      </c>
      <c r="V447" t="s">
        <v>797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118.63</v>
      </c>
      <c r="D448">
        <v>66</v>
      </c>
      <c r="E448">
        <v>1.797424242424242</v>
      </c>
      <c r="F448">
        <v>0.01365590491443986</v>
      </c>
      <c r="G448">
        <v>-0.1106557919340835</v>
      </c>
      <c r="H448">
        <v>0.05</v>
      </c>
      <c r="I448">
        <v>-0.04839218553859892</v>
      </c>
      <c r="J448" t="s">
        <v>346</v>
      </c>
      <c r="K448" t="s">
        <v>524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0.4769542596117811</v>
      </c>
      <c r="R448" t="s">
        <v>780</v>
      </c>
      <c r="S448" t="s">
        <v>786</v>
      </c>
      <c r="T448">
        <v>57789.331007</v>
      </c>
      <c r="U448" s="2">
        <v>44502</v>
      </c>
      <c r="V448" t="s">
        <v>802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125.92</v>
      </c>
      <c r="D449">
        <v>86</v>
      </c>
      <c r="E449">
        <v>1.464186046511628</v>
      </c>
      <c r="F449">
        <v>0.004367852604828463</v>
      </c>
      <c r="G449">
        <v>-0.07342463952635236</v>
      </c>
      <c r="H449">
        <v>0.017</v>
      </c>
      <c r="I449">
        <v>-0.05190585604876241</v>
      </c>
      <c r="J449" t="s">
        <v>346</v>
      </c>
      <c r="K449" t="s">
        <v>778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0.26323346486822</v>
      </c>
      <c r="R449" t="s">
        <v>780</v>
      </c>
      <c r="S449" t="s">
        <v>787</v>
      </c>
      <c r="T449">
        <v>159763.536965</v>
      </c>
      <c r="U449" s="2">
        <v>44501</v>
      </c>
      <c r="V449" t="s">
        <v>796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295.86</v>
      </c>
      <c r="D450">
        <v>109</v>
      </c>
      <c r="E450">
        <v>2.714311926605505</v>
      </c>
      <c r="F450">
        <v>0.0005407963225850064</v>
      </c>
      <c r="G450">
        <v>-0.1810298948527588</v>
      </c>
      <c r="H450">
        <v>0.15</v>
      </c>
      <c r="I450">
        <v>-0.0574980424178132</v>
      </c>
      <c r="J450" t="s">
        <v>346</v>
      </c>
      <c r="K450" t="s">
        <v>778</v>
      </c>
      <c r="L450">
        <v>4.35</v>
      </c>
      <c r="M450">
        <v>0.16</v>
      </c>
      <c r="N450">
        <v>0.03678160919540231</v>
      </c>
      <c r="O450">
        <v>0</v>
      </c>
      <c r="P450">
        <v>0</v>
      </c>
      <c r="Q450">
        <v>1.319911289549302</v>
      </c>
      <c r="R450" t="s">
        <v>780</v>
      </c>
      <c r="S450" t="s">
        <v>787</v>
      </c>
      <c r="T450">
        <v>750025</v>
      </c>
      <c r="U450" s="2">
        <v>44533</v>
      </c>
      <c r="V450" t="s">
        <v>797</v>
      </c>
    </row>
    <row r="451" spans="1:22">
      <c r="A451" s="1" t="s">
        <v>471</v>
      </c>
      <c r="B451">
        <f>HYPERLINK("https://www.suredividend.com/sure-analysis-DHC/","Diversified Healthcare Trust")</f>
        <v>0</v>
      </c>
      <c r="C451">
        <v>2.97</v>
      </c>
      <c r="D451">
        <v>1.98</v>
      </c>
      <c r="E451">
        <v>1.5</v>
      </c>
      <c r="F451">
        <v>0.01346801346801347</v>
      </c>
      <c r="G451">
        <v>-0.07789208851827223</v>
      </c>
      <c r="H451">
        <v>-0.01</v>
      </c>
      <c r="I451">
        <v>-0.06849560436027147</v>
      </c>
      <c r="J451" t="s">
        <v>346</v>
      </c>
      <c r="K451" t="s">
        <v>524</v>
      </c>
      <c r="L451">
        <v>0.33</v>
      </c>
      <c r="M451">
        <v>0.04</v>
      </c>
      <c r="N451">
        <v>0.1212121212121212</v>
      </c>
      <c r="O451">
        <v>0</v>
      </c>
      <c r="P451">
        <v>0</v>
      </c>
      <c r="Q451">
        <v>-0.316916223239698</v>
      </c>
      <c r="R451" t="s">
        <v>782</v>
      </c>
      <c r="S451" t="s">
        <v>794</v>
      </c>
      <c r="T451">
        <v>659.625907</v>
      </c>
      <c r="U451" s="2">
        <v>44551</v>
      </c>
      <c r="V451" t="s">
        <v>801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206.83</v>
      </c>
      <c r="D452">
        <v>97</v>
      </c>
      <c r="E452">
        <v>2.132268041237114</v>
      </c>
      <c r="F452">
        <v>0.007155635062611806</v>
      </c>
      <c r="G452">
        <v>-0.1405281826309003</v>
      </c>
      <c r="H452">
        <v>0.05</v>
      </c>
      <c r="I452">
        <v>-0.08536495531489297</v>
      </c>
      <c r="J452" t="s">
        <v>346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0.475465279577264</v>
      </c>
      <c r="R452" t="s">
        <v>780</v>
      </c>
      <c r="S452" t="s">
        <v>790</v>
      </c>
      <c r="T452">
        <v>27731.369701</v>
      </c>
      <c r="U452" s="2">
        <v>44506</v>
      </c>
      <c r="V452" t="s">
        <v>796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10.36</v>
      </c>
      <c r="D453">
        <v>2.45</v>
      </c>
      <c r="E453">
        <v>4.228571428571428</v>
      </c>
      <c r="F453">
        <v>0.01158301158301158</v>
      </c>
      <c r="G453">
        <v>-0.2505178986073646</v>
      </c>
      <c r="H453">
        <v>0.1</v>
      </c>
      <c r="I453">
        <v>-0.1486622370587302</v>
      </c>
      <c r="J453" t="s">
        <v>346</v>
      </c>
      <c r="K453" t="s">
        <v>524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2.433630631513606</v>
      </c>
      <c r="R453" t="s">
        <v>780</v>
      </c>
      <c r="S453" t="s">
        <v>793</v>
      </c>
      <c r="T453">
        <v>2592.955879</v>
      </c>
      <c r="U453" s="2">
        <v>44528</v>
      </c>
      <c r="V453" t="s">
        <v>798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11.37</v>
      </c>
      <c r="D454">
        <v>19</v>
      </c>
      <c r="E454">
        <v>0.5984210526315789</v>
      </c>
      <c r="F454">
        <v>0.1055408970976253</v>
      </c>
      <c r="G454">
        <v>0.1081501950978625</v>
      </c>
      <c r="H454">
        <v>0.04</v>
      </c>
      <c r="I454">
        <v>0.2069115899324243</v>
      </c>
      <c r="J454" t="s">
        <v>524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0.264541673154347</v>
      </c>
      <c r="R454" t="s">
        <v>781</v>
      </c>
      <c r="S454" t="s">
        <v>793</v>
      </c>
      <c r="T454">
        <v>4471.702036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14.66</v>
      </c>
      <c r="D455">
        <v>23</v>
      </c>
      <c r="E455">
        <v>0.6373913043478261</v>
      </c>
      <c r="F455">
        <v>0.09004092769440655</v>
      </c>
      <c r="G455">
        <v>0.09425558813592572</v>
      </c>
      <c r="H455">
        <v>0.01</v>
      </c>
      <c r="I455">
        <v>0.1736551553280956</v>
      </c>
      <c r="J455" t="s">
        <v>524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0.11211393431338</v>
      </c>
      <c r="R455" t="s">
        <v>781</v>
      </c>
      <c r="S455" t="s">
        <v>792</v>
      </c>
      <c r="T455">
        <v>915.492372</v>
      </c>
      <c r="U455" s="2">
        <v>44526</v>
      </c>
      <c r="V455" t="s">
        <v>800</v>
      </c>
    </row>
    <row r="456" spans="1:22">
      <c r="A456" s="1" t="s">
        <v>476</v>
      </c>
      <c r="B456">
        <f>HYPERLINK("https://www.suredividend.com/sure-analysis-GORO/","Gold Resource Corporation")</f>
        <v>0</v>
      </c>
      <c r="C456">
        <v>1.58</v>
      </c>
      <c r="D456">
        <v>1.35</v>
      </c>
      <c r="E456">
        <v>1.17037037037037</v>
      </c>
      <c r="F456">
        <v>0.02531645569620253</v>
      </c>
      <c r="G456">
        <v>-0.03097420858448729</v>
      </c>
      <c r="H456">
        <v>0.19</v>
      </c>
      <c r="I456">
        <v>0.1709627018918085</v>
      </c>
      <c r="J456" t="s">
        <v>524</v>
      </c>
      <c r="K456" t="s">
        <v>524</v>
      </c>
      <c r="L456">
        <v>0.09</v>
      </c>
      <c r="M456">
        <v>0.04</v>
      </c>
      <c r="N456">
        <v>0.4444444444444445</v>
      </c>
      <c r="O456">
        <v>0</v>
      </c>
      <c r="P456">
        <v>0.08447177119769855</v>
      </c>
      <c r="Q456">
        <v>-0.48198344953411</v>
      </c>
      <c r="R456" t="s">
        <v>780</v>
      </c>
      <c r="S456" t="s">
        <v>790</v>
      </c>
      <c r="T456">
        <v>118.58487</v>
      </c>
      <c r="U456" s="2">
        <v>44512</v>
      </c>
      <c r="V456" t="s">
        <v>803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16.23</v>
      </c>
      <c r="D457">
        <v>25</v>
      </c>
      <c r="E457">
        <v>0.6492</v>
      </c>
      <c r="F457">
        <v>0.08626001232285889</v>
      </c>
      <c r="G457">
        <v>0.09024548738565641</v>
      </c>
      <c r="H457">
        <v>0.02</v>
      </c>
      <c r="I457">
        <v>0.169310703767074</v>
      </c>
      <c r="J457" t="s">
        <v>524</v>
      </c>
      <c r="K457" t="s">
        <v>777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0.287881196934524</v>
      </c>
      <c r="R457" t="s">
        <v>781</v>
      </c>
      <c r="S457" t="s">
        <v>793</v>
      </c>
      <c r="T457">
        <v>1708.131256</v>
      </c>
      <c r="U457" s="2">
        <v>44504</v>
      </c>
      <c r="V457" t="s">
        <v>803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9.27</v>
      </c>
      <c r="D458">
        <v>12.1</v>
      </c>
      <c r="E458">
        <v>0.7661157024793388</v>
      </c>
      <c r="F458">
        <v>0.07766990291262137</v>
      </c>
      <c r="G458">
        <v>0.05472958296168806</v>
      </c>
      <c r="H458">
        <v>0.05</v>
      </c>
      <c r="I458">
        <v>0.1647704410095907</v>
      </c>
      <c r="J458" t="s">
        <v>524</v>
      </c>
      <c r="K458" t="s">
        <v>777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0.158032985628772</v>
      </c>
      <c r="R458" t="s">
        <v>781</v>
      </c>
      <c r="S458" t="s">
        <v>793</v>
      </c>
      <c r="T458">
        <v>6520.987658</v>
      </c>
      <c r="U458" s="2">
        <v>44511</v>
      </c>
      <c r="V458" t="s">
        <v>795</v>
      </c>
    </row>
    <row r="459" spans="1:22">
      <c r="A459" s="1" t="s">
        <v>479</v>
      </c>
      <c r="B459">
        <f>HYPERLINK("https://www.suredividend.com/sure-analysis-PBR/","Petroleo Brasileiro S.A. Petrobras")</f>
        <v>0</v>
      </c>
      <c r="C459">
        <v>10.99</v>
      </c>
      <c r="D459">
        <v>18</v>
      </c>
      <c r="E459">
        <v>0.6105555555555555</v>
      </c>
      <c r="F459">
        <v>0.08280254777070063</v>
      </c>
      <c r="G459">
        <v>0.1037099621508957</v>
      </c>
      <c r="H459">
        <v>0.01</v>
      </c>
      <c r="I459">
        <v>0.1638482206921783</v>
      </c>
      <c r="J459" t="s">
        <v>524</v>
      </c>
      <c r="K459" t="s">
        <v>777</v>
      </c>
      <c r="L459">
        <v>2.21</v>
      </c>
      <c r="M459">
        <v>0.91</v>
      </c>
      <c r="N459">
        <v>0.411764705882353</v>
      </c>
      <c r="O459">
        <v>0</v>
      </c>
      <c r="P459">
        <v>0</v>
      </c>
      <c r="Q459">
        <v>0.168049036627446</v>
      </c>
      <c r="R459" t="s">
        <v>780</v>
      </c>
      <c r="S459" t="s">
        <v>793</v>
      </c>
      <c r="T459">
        <v>68542.364758</v>
      </c>
      <c r="U459" s="2">
        <v>44552</v>
      </c>
      <c r="V459" t="s">
        <v>801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46.77</v>
      </c>
      <c r="D460">
        <v>97</v>
      </c>
      <c r="E460">
        <v>0.4821649484536083</v>
      </c>
      <c r="F460">
        <v>0.0960017104981826</v>
      </c>
      <c r="G460">
        <v>0.1570733019067343</v>
      </c>
      <c r="H460">
        <v>-0.05</v>
      </c>
      <c r="I460">
        <v>0.1604613364816154</v>
      </c>
      <c r="J460" t="s">
        <v>524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0.129478318569069</v>
      </c>
      <c r="R460" t="s">
        <v>780</v>
      </c>
      <c r="S460" t="s">
        <v>793</v>
      </c>
      <c r="T460">
        <v>11899.467763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5.17</v>
      </c>
      <c r="D461">
        <v>7.7</v>
      </c>
      <c r="E461">
        <v>0.6714285714285714</v>
      </c>
      <c r="F461">
        <v>0.04835589941972921</v>
      </c>
      <c r="G461">
        <v>0.08292913085193621</v>
      </c>
      <c r="H461">
        <v>0.03</v>
      </c>
      <c r="I461">
        <v>0.1476752938653663</v>
      </c>
      <c r="J461" t="s">
        <v>524</v>
      </c>
      <c r="K461" t="s">
        <v>777</v>
      </c>
      <c r="L461">
        <v>0.77</v>
      </c>
      <c r="M461">
        <v>0.25</v>
      </c>
      <c r="N461">
        <v>0.3246753246753247</v>
      </c>
      <c r="O461">
        <v>0</v>
      </c>
      <c r="P461">
        <v>0.03012896281839894</v>
      </c>
      <c r="Q461">
        <v>-0.210206561360874</v>
      </c>
      <c r="R461" t="s">
        <v>780</v>
      </c>
      <c r="S461" t="s">
        <v>789</v>
      </c>
      <c r="T461">
        <v>1858.953044</v>
      </c>
      <c r="U461" s="2">
        <v>44528</v>
      </c>
      <c r="V461" t="s">
        <v>798</v>
      </c>
    </row>
    <row r="462" spans="1:22">
      <c r="A462" s="1" t="s">
        <v>482</v>
      </c>
      <c r="B462">
        <f>HYPERLINK("https://www.suredividend.com/sure-analysis-EOG/","EOG Resources, Inc.")</f>
        <v>0</v>
      </c>
      <c r="C462">
        <v>89.18000000000001</v>
      </c>
      <c r="D462">
        <v>135</v>
      </c>
      <c r="E462">
        <v>0.6605925925925926</v>
      </c>
      <c r="F462">
        <v>0.0336398295581969</v>
      </c>
      <c r="G462">
        <v>0.08645879541386203</v>
      </c>
      <c r="H462">
        <v>0.03</v>
      </c>
      <c r="I462">
        <v>0.1450105473884049</v>
      </c>
      <c r="J462" t="s">
        <v>524</v>
      </c>
      <c r="K462" t="s">
        <v>346</v>
      </c>
      <c r="L462">
        <v>7.5</v>
      </c>
      <c r="M462">
        <v>3</v>
      </c>
      <c r="N462">
        <v>0.4</v>
      </c>
      <c r="O462">
        <v>4</v>
      </c>
      <c r="P462">
        <v>0.08009875865888949</v>
      </c>
      <c r="Q462">
        <v>0.930207478506704</v>
      </c>
      <c r="R462" t="s">
        <v>780</v>
      </c>
      <c r="S462" t="s">
        <v>793</v>
      </c>
      <c r="T462">
        <v>52570.334793</v>
      </c>
      <c r="U462" s="2">
        <v>44513</v>
      </c>
      <c r="V462" t="s">
        <v>806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40.81</v>
      </c>
      <c r="D463">
        <v>53</v>
      </c>
      <c r="E463">
        <v>0.77</v>
      </c>
      <c r="F463">
        <v>0.02450379808870375</v>
      </c>
      <c r="G463">
        <v>0.05366330364357852</v>
      </c>
      <c r="H463">
        <v>0.07000000000000001</v>
      </c>
      <c r="I463">
        <v>0.1421940958548047</v>
      </c>
      <c r="J463" t="s">
        <v>524</v>
      </c>
      <c r="K463" t="s">
        <v>524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0.365181973812991</v>
      </c>
      <c r="R463" t="s">
        <v>780</v>
      </c>
      <c r="S463" t="s">
        <v>788</v>
      </c>
      <c r="T463">
        <v>11168.040448</v>
      </c>
      <c r="U463" s="2">
        <v>44513</v>
      </c>
      <c r="V463" t="s">
        <v>798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8.16</v>
      </c>
      <c r="D464">
        <v>11.1</v>
      </c>
      <c r="E464">
        <v>0.7351351351351352</v>
      </c>
      <c r="F464">
        <v>0.07475490196078431</v>
      </c>
      <c r="G464">
        <v>0.06347323439247066</v>
      </c>
      <c r="H464">
        <v>0.02</v>
      </c>
      <c r="I464">
        <v>0.1412628378856464</v>
      </c>
      <c r="J464" t="s">
        <v>524</v>
      </c>
      <c r="K464" t="s">
        <v>777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0.411157668732901</v>
      </c>
      <c r="R464" t="s">
        <v>781</v>
      </c>
      <c r="S464" t="s">
        <v>793</v>
      </c>
      <c r="T464">
        <v>25927.977235</v>
      </c>
      <c r="U464" s="2">
        <v>44509</v>
      </c>
      <c r="V464" t="s">
        <v>803</v>
      </c>
    </row>
    <row r="465" spans="1:22">
      <c r="A465" s="1" t="s">
        <v>485</v>
      </c>
      <c r="B465">
        <f>HYPERLINK("https://www.suredividend.com/sure-analysis-PHG/","Koninklijke Philips N.V.")</f>
        <v>0</v>
      </c>
      <c r="C465">
        <v>37.18</v>
      </c>
      <c r="D465">
        <v>40</v>
      </c>
      <c r="E465">
        <v>0.9295</v>
      </c>
      <c r="F465">
        <v>0.02770306616460463</v>
      </c>
      <c r="G465">
        <v>0.01472911425219947</v>
      </c>
      <c r="H465">
        <v>0.1</v>
      </c>
      <c r="I465">
        <v>0.1360500438987562</v>
      </c>
      <c r="J465" t="s">
        <v>524</v>
      </c>
      <c r="K465" t="s">
        <v>524</v>
      </c>
      <c r="L465">
        <v>2.2</v>
      </c>
      <c r="M465">
        <v>1.03</v>
      </c>
      <c r="N465">
        <v>0.4681818181818181</v>
      </c>
      <c r="O465">
        <v>1</v>
      </c>
      <c r="P465">
        <v>0.04766208135176786</v>
      </c>
      <c r="Q465">
        <v>-0.30915177946602</v>
      </c>
      <c r="R465" t="s">
        <v>780</v>
      </c>
      <c r="S465" t="s">
        <v>785</v>
      </c>
      <c r="T465">
        <v>33962.109832</v>
      </c>
      <c r="U465" s="2">
        <v>44491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66.81999999999999</v>
      </c>
      <c r="D466">
        <v>75</v>
      </c>
      <c r="E466">
        <v>0.8909333333333332</v>
      </c>
      <c r="F466">
        <v>0.0311284046692607</v>
      </c>
      <c r="G466">
        <v>0.02336593969911216</v>
      </c>
      <c r="H466">
        <v>0.07000000000000001</v>
      </c>
      <c r="I466">
        <v>0.1317003537475756</v>
      </c>
      <c r="J466" t="s">
        <v>524</v>
      </c>
      <c r="K466" t="s">
        <v>524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0.238594562285773</v>
      </c>
      <c r="R466" t="s">
        <v>782</v>
      </c>
      <c r="S466" t="s">
        <v>794</v>
      </c>
      <c r="T466">
        <v>7819.237397</v>
      </c>
      <c r="U466" s="2">
        <v>44498</v>
      </c>
      <c r="V466" t="s">
        <v>798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10.94</v>
      </c>
      <c r="D467">
        <v>12</v>
      </c>
      <c r="E467">
        <v>0.9116666666666666</v>
      </c>
      <c r="F467">
        <v>0.02102376599634369</v>
      </c>
      <c r="G467">
        <v>0.01866828423184286</v>
      </c>
      <c r="H467">
        <v>0.09</v>
      </c>
      <c r="I467">
        <v>0.1292119553655693</v>
      </c>
      <c r="J467" t="s">
        <v>524</v>
      </c>
      <c r="K467" t="s">
        <v>524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-0.063801461050044</v>
      </c>
      <c r="R467" t="s">
        <v>780</v>
      </c>
      <c r="S467" t="s">
        <v>787</v>
      </c>
      <c r="T467">
        <v>33704.181399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72.45</v>
      </c>
      <c r="D468">
        <v>84</v>
      </c>
      <c r="E468">
        <v>0.8625</v>
      </c>
      <c r="F468">
        <v>0.05079365079365079</v>
      </c>
      <c r="G468">
        <v>0.03002598081465924</v>
      </c>
      <c r="H468">
        <v>0.06</v>
      </c>
      <c r="I468">
        <v>0.1275656628861794</v>
      </c>
      <c r="J468" t="s">
        <v>524</v>
      </c>
      <c r="K468" t="s">
        <v>777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0.115823557432365</v>
      </c>
      <c r="R468" t="s">
        <v>780</v>
      </c>
      <c r="S468" t="s">
        <v>793</v>
      </c>
      <c r="T468">
        <v>31915.604888</v>
      </c>
      <c r="U468" s="2">
        <v>44501</v>
      </c>
      <c r="V468" t="s">
        <v>803</v>
      </c>
    </row>
    <row r="469" spans="1:22">
      <c r="A469" s="1" t="s">
        <v>489</v>
      </c>
      <c r="B469">
        <f>HYPERLINK("https://www.suredividend.com/sure-analysis-LUMN/","Lumen Technologies Inc")</f>
        <v>0</v>
      </c>
      <c r="C469">
        <v>12.74</v>
      </c>
      <c r="D469">
        <v>17</v>
      </c>
      <c r="E469">
        <v>0.7494117647058823</v>
      </c>
      <c r="F469">
        <v>0.07849293563579278</v>
      </c>
      <c r="G469">
        <v>0.05939007204272628</v>
      </c>
      <c r="H469">
        <v>0.013</v>
      </c>
      <c r="I469">
        <v>0.1267216992102229</v>
      </c>
      <c r="J469" t="s">
        <v>524</v>
      </c>
      <c r="K469" t="s">
        <v>777</v>
      </c>
      <c r="L469">
        <v>1.92</v>
      </c>
      <c r="M469">
        <v>1</v>
      </c>
      <c r="N469">
        <v>0.5208333333333334</v>
      </c>
      <c r="O469">
        <v>0</v>
      </c>
      <c r="P469">
        <v>0</v>
      </c>
      <c r="Q469">
        <v>0.367299475363729</v>
      </c>
      <c r="R469" t="s">
        <v>780</v>
      </c>
      <c r="S469" t="s">
        <v>784</v>
      </c>
      <c r="T469">
        <v>12942.022258</v>
      </c>
      <c r="U469" s="2">
        <v>44508</v>
      </c>
      <c r="V469" t="s">
        <v>802</v>
      </c>
    </row>
    <row r="470" spans="1:22">
      <c r="A470" s="1" t="s">
        <v>490</v>
      </c>
      <c r="B470">
        <f>HYPERLINK("https://www.suredividend.com/sure-analysis-SLG/","SL Green Realty Corp.")</f>
        <v>0</v>
      </c>
      <c r="C470">
        <v>72.42</v>
      </c>
      <c r="D470">
        <v>86</v>
      </c>
      <c r="E470">
        <v>0.8420930232558139</v>
      </c>
      <c r="F470">
        <v>0.05150510908588787</v>
      </c>
      <c r="G470">
        <v>0.03497053569357744</v>
      </c>
      <c r="H470">
        <v>0.05</v>
      </c>
      <c r="I470">
        <v>0.1247805597132261</v>
      </c>
      <c r="J470" t="s">
        <v>524</v>
      </c>
      <c r="K470" t="s">
        <v>777</v>
      </c>
      <c r="L470">
        <v>6.6</v>
      </c>
      <c r="M470">
        <v>3.73</v>
      </c>
      <c r="N470">
        <v>0.5651515151515152</v>
      </c>
      <c r="O470">
        <v>11</v>
      </c>
      <c r="P470">
        <v>0.03359111873454657</v>
      </c>
      <c r="Q470">
        <v>0.317706879980156</v>
      </c>
      <c r="R470" t="s">
        <v>782</v>
      </c>
      <c r="S470" t="s">
        <v>794</v>
      </c>
      <c r="T470">
        <v>4821.002341</v>
      </c>
      <c r="U470" s="2">
        <v>44494</v>
      </c>
      <c r="V470" t="s">
        <v>803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44.79</v>
      </c>
      <c r="D471">
        <v>90</v>
      </c>
      <c r="E471">
        <v>0.4976666666666666</v>
      </c>
      <c r="F471">
        <v>0.07546327305202054</v>
      </c>
      <c r="G471">
        <v>0.1497734857051818</v>
      </c>
      <c r="H471">
        <v>-0.06</v>
      </c>
      <c r="I471">
        <v>0.1233982599462078</v>
      </c>
      <c r="J471" t="s">
        <v>524</v>
      </c>
      <c r="K471" t="s">
        <v>777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0.5476335320598611</v>
      </c>
      <c r="R471" t="s">
        <v>780</v>
      </c>
      <c r="S471" t="s">
        <v>793</v>
      </c>
      <c r="T471">
        <v>9393.23028</v>
      </c>
      <c r="U471" s="2">
        <v>44522</v>
      </c>
      <c r="V471" t="s">
        <v>803</v>
      </c>
    </row>
    <row r="472" spans="1:22">
      <c r="A472" s="1" t="s">
        <v>492</v>
      </c>
      <c r="B472">
        <f>HYPERLINK("https://www.suredividend.com/sure-analysis-BAYRY/","Bayer AG")</f>
        <v>0</v>
      </c>
      <c r="C472">
        <v>13.18</v>
      </c>
      <c r="D472">
        <v>17</v>
      </c>
      <c r="E472">
        <v>0.7752941176470588</v>
      </c>
      <c r="F472">
        <v>0.04552352048558422</v>
      </c>
      <c r="G472">
        <v>0.05222036308883071</v>
      </c>
      <c r="H472">
        <v>0.035</v>
      </c>
      <c r="I472">
        <v>0.1232866272215587</v>
      </c>
      <c r="J472" t="s">
        <v>524</v>
      </c>
      <c r="K472" t="s">
        <v>777</v>
      </c>
      <c r="L472">
        <v>1.86</v>
      </c>
      <c r="M472">
        <v>0.6</v>
      </c>
      <c r="N472">
        <v>0.3225806451612903</v>
      </c>
      <c r="O472">
        <v>0</v>
      </c>
      <c r="P472">
        <v>0.04000235313991807</v>
      </c>
      <c r="Q472">
        <v>-0.100203114421123</v>
      </c>
      <c r="R472" t="s">
        <v>780</v>
      </c>
      <c r="S472" t="s">
        <v>785</v>
      </c>
      <c r="T472">
        <v>52225.664199</v>
      </c>
      <c r="U472" s="2">
        <v>44519</v>
      </c>
      <c r="V472" t="s">
        <v>797</v>
      </c>
    </row>
    <row r="473" spans="1:22">
      <c r="A473" s="1" t="s">
        <v>493</v>
      </c>
      <c r="B473">
        <f>HYPERLINK("https://www.suredividend.com/sure-analysis-SMFG/","Sumitomo Mitsui Financial Group Inc")</f>
        <v>0</v>
      </c>
      <c r="C473">
        <v>6.77</v>
      </c>
      <c r="D473">
        <v>9.35</v>
      </c>
      <c r="E473">
        <v>0.7240641711229946</v>
      </c>
      <c r="F473">
        <v>0.05022156573116692</v>
      </c>
      <c r="G473">
        <v>0.06670563285860776</v>
      </c>
      <c r="H473">
        <v>0.02</v>
      </c>
      <c r="I473">
        <v>0.1228327008382151</v>
      </c>
      <c r="J473" t="s">
        <v>524</v>
      </c>
      <c r="K473" t="s">
        <v>777</v>
      </c>
      <c r="L473">
        <v>0.85</v>
      </c>
      <c r="M473">
        <v>0.34</v>
      </c>
      <c r="N473">
        <v>0.4</v>
      </c>
      <c r="O473">
        <v>0</v>
      </c>
      <c r="P473">
        <v>0.01149727415513624</v>
      </c>
      <c r="Q473">
        <v>0.125306149467134</v>
      </c>
      <c r="R473" t="s">
        <v>780</v>
      </c>
      <c r="S473" t="s">
        <v>789</v>
      </c>
      <c r="T473">
        <v>46728.311468</v>
      </c>
      <c r="U473" s="2">
        <v>44528</v>
      </c>
      <c r="V473" t="s">
        <v>800</v>
      </c>
    </row>
    <row r="474" spans="1:22">
      <c r="A474" s="1" t="s">
        <v>494</v>
      </c>
      <c r="B474">
        <f>HYPERLINK("https://www.suredividend.com/sure-analysis-MS/","Morgan Stanley")</f>
        <v>0</v>
      </c>
      <c r="C474">
        <v>98.8</v>
      </c>
      <c r="D474">
        <v>98</v>
      </c>
      <c r="E474">
        <v>1.008163265306122</v>
      </c>
      <c r="F474">
        <v>0.02834008097165992</v>
      </c>
      <c r="G474">
        <v>-0.001624703953880036</v>
      </c>
      <c r="H474">
        <v>0.1</v>
      </c>
      <c r="I474">
        <v>0.1218464502414967</v>
      </c>
      <c r="J474" t="s">
        <v>524</v>
      </c>
      <c r="K474" t="s">
        <v>524</v>
      </c>
      <c r="L474">
        <v>7.51</v>
      </c>
      <c r="M474">
        <v>2.8</v>
      </c>
      <c r="N474">
        <v>0.3728362183754993</v>
      </c>
      <c r="O474">
        <v>8</v>
      </c>
      <c r="P474">
        <v>0.07978367728709435</v>
      </c>
      <c r="Q474">
        <v>0.4929164719811651</v>
      </c>
      <c r="R474" t="s">
        <v>780</v>
      </c>
      <c r="S474" t="s">
        <v>789</v>
      </c>
      <c r="T474">
        <v>177162.292218</v>
      </c>
      <c r="U474" s="2">
        <v>44483</v>
      </c>
      <c r="V474" t="s">
        <v>795</v>
      </c>
    </row>
    <row r="475" spans="1:22">
      <c r="A475" s="1" t="s">
        <v>495</v>
      </c>
      <c r="B475">
        <f>HYPERLINK("https://www.suredividend.com/sure-analysis-AZN/","Astrazeneca plc")</f>
        <v>0</v>
      </c>
      <c r="C475">
        <v>58.47</v>
      </c>
      <c r="D475">
        <v>78</v>
      </c>
      <c r="E475">
        <v>0.7496153846153846</v>
      </c>
      <c r="F475">
        <v>0.02394390285616555</v>
      </c>
      <c r="G475">
        <v>0.0593325128312423</v>
      </c>
      <c r="H475">
        <v>0.04</v>
      </c>
      <c r="I475">
        <v>0.1174994109687255</v>
      </c>
      <c r="J475" t="s">
        <v>524</v>
      </c>
      <c r="K475" t="s">
        <v>524</v>
      </c>
      <c r="L475">
        <v>5.23</v>
      </c>
      <c r="M475">
        <v>1.4</v>
      </c>
      <c r="N475">
        <v>0.2676864244741873</v>
      </c>
      <c r="O475">
        <v>0</v>
      </c>
      <c r="P475">
        <v>0</v>
      </c>
      <c r="Q475">
        <v>0.207667297440321</v>
      </c>
      <c r="R475" t="s">
        <v>780</v>
      </c>
      <c r="S475" t="s">
        <v>785</v>
      </c>
      <c r="T475">
        <v>181711.321932</v>
      </c>
      <c r="U475" s="2">
        <v>44514</v>
      </c>
      <c r="V475" t="s">
        <v>796</v>
      </c>
    </row>
    <row r="476" spans="1:22">
      <c r="A476" s="1" t="s">
        <v>496</v>
      </c>
      <c r="B476">
        <f>HYPERLINK("https://www.suredividend.com/sure-analysis-NYCB/","New York Community Bancorp Inc.")</f>
        <v>0</v>
      </c>
      <c r="C476">
        <v>12.21</v>
      </c>
      <c r="D476">
        <v>14</v>
      </c>
      <c r="E476">
        <v>0.8721428571428572</v>
      </c>
      <c r="F476">
        <v>0.05569205569205569</v>
      </c>
      <c r="G476">
        <v>0.02773814137779307</v>
      </c>
      <c r="H476">
        <v>0.05</v>
      </c>
      <c r="I476">
        <v>0.1173827439735389</v>
      </c>
      <c r="J476" t="s">
        <v>524</v>
      </c>
      <c r="K476" t="s">
        <v>346</v>
      </c>
      <c r="L476">
        <v>1.25</v>
      </c>
      <c r="M476">
        <v>0.68</v>
      </c>
      <c r="N476">
        <v>0.544</v>
      </c>
      <c r="O476">
        <v>0</v>
      </c>
      <c r="P476">
        <v>0</v>
      </c>
      <c r="Q476">
        <v>0.254044061007549</v>
      </c>
      <c r="R476" t="s">
        <v>780</v>
      </c>
      <c r="S476" t="s">
        <v>789</v>
      </c>
      <c r="T476">
        <v>5677.903956</v>
      </c>
      <c r="U476" s="2">
        <v>44512</v>
      </c>
      <c r="V476" t="s">
        <v>800</v>
      </c>
    </row>
    <row r="477" spans="1:22">
      <c r="A477" s="1" t="s">
        <v>497</v>
      </c>
      <c r="B477">
        <f>HYPERLINK("https://www.suredividend.com/sure-analysis-TS/","Tenaris S.A.")</f>
        <v>0</v>
      </c>
      <c r="C477">
        <v>20.72</v>
      </c>
      <c r="D477">
        <v>25</v>
      </c>
      <c r="E477">
        <v>0.8288</v>
      </c>
      <c r="F477">
        <v>0.0250965250965251</v>
      </c>
      <c r="G477">
        <v>0.03826939257998885</v>
      </c>
      <c r="H477">
        <v>0.06</v>
      </c>
      <c r="I477">
        <v>0.1171633771090701</v>
      </c>
      <c r="J477" t="s">
        <v>524</v>
      </c>
      <c r="K477" t="s">
        <v>524</v>
      </c>
      <c r="L477">
        <v>1.45</v>
      </c>
      <c r="M477">
        <v>0.52</v>
      </c>
      <c r="N477">
        <v>0.3586206896551725</v>
      </c>
      <c r="O477">
        <v>0</v>
      </c>
      <c r="P477">
        <v>0</v>
      </c>
      <c r="Q477">
        <v>0.348203571680666</v>
      </c>
      <c r="R477" t="s">
        <v>780</v>
      </c>
      <c r="S477" t="s">
        <v>793</v>
      </c>
      <c r="T477">
        <v>12401.539399</v>
      </c>
      <c r="U477" s="2">
        <v>44522</v>
      </c>
      <c r="V477" t="s">
        <v>800</v>
      </c>
    </row>
    <row r="478" spans="1:22">
      <c r="A478" s="1" t="s">
        <v>498</v>
      </c>
      <c r="B478">
        <f>HYPERLINK("https://www.suredividend.com/sure-analysis-OPI/","Office Properties Income Trust")</f>
        <v>0</v>
      </c>
      <c r="C478">
        <v>25.13</v>
      </c>
      <c r="D478">
        <v>28</v>
      </c>
      <c r="E478">
        <v>0.8975</v>
      </c>
      <c r="F478">
        <v>0.08754476721050539</v>
      </c>
      <c r="G478">
        <v>0.02186402166800439</v>
      </c>
      <c r="H478">
        <v>0.03</v>
      </c>
      <c r="I478">
        <v>0.1157805722607101</v>
      </c>
      <c r="J478" t="s">
        <v>524</v>
      </c>
      <c r="K478" t="s">
        <v>777</v>
      </c>
      <c r="L478">
        <v>4.7</v>
      </c>
      <c r="M478">
        <v>2.2</v>
      </c>
      <c r="N478">
        <v>0.4680851063829787</v>
      </c>
      <c r="O478">
        <v>0</v>
      </c>
      <c r="P478">
        <v>0</v>
      </c>
      <c r="Q478">
        <v>0.201801741170362</v>
      </c>
      <c r="R478" t="s">
        <v>782</v>
      </c>
      <c r="S478" t="s">
        <v>794</v>
      </c>
      <c r="T478">
        <v>1210.641625</v>
      </c>
      <c r="U478" s="2">
        <v>44510</v>
      </c>
      <c r="V478" t="s">
        <v>803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19.1</v>
      </c>
      <c r="D479">
        <v>19.95</v>
      </c>
      <c r="E479">
        <v>0.9573934837092732</v>
      </c>
      <c r="F479">
        <v>0.04712041884816753</v>
      </c>
      <c r="G479">
        <v>0.008746187996066856</v>
      </c>
      <c r="H479">
        <v>0.065</v>
      </c>
      <c r="I479">
        <v>0.1146530659866425</v>
      </c>
      <c r="J479" t="s">
        <v>524</v>
      </c>
      <c r="K479" t="s">
        <v>777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0.124182696019336</v>
      </c>
      <c r="R479" t="s">
        <v>780</v>
      </c>
      <c r="S479" t="s">
        <v>789</v>
      </c>
      <c r="T479">
        <v>36774.12708</v>
      </c>
      <c r="U479" s="2">
        <v>44511</v>
      </c>
      <c r="V479" t="s">
        <v>795</v>
      </c>
    </row>
    <row r="480" spans="1:22">
      <c r="A480" s="1" t="s">
        <v>500</v>
      </c>
      <c r="B480">
        <f>HYPERLINK("https://www.suredividend.com/sure-analysis-ARLP/","Alliance Resource Partners, LP")</f>
        <v>0</v>
      </c>
      <c r="C480">
        <v>12.39</v>
      </c>
      <c r="D480">
        <v>11.02</v>
      </c>
      <c r="E480">
        <v>1.12431941923775</v>
      </c>
      <c r="F480">
        <v>0.06456820016142049</v>
      </c>
      <c r="G480">
        <v>-0.0231630979455949</v>
      </c>
      <c r="H480">
        <v>0.08</v>
      </c>
      <c r="I480">
        <v>0.1141708373330241</v>
      </c>
      <c r="J480" t="s">
        <v>524</v>
      </c>
      <c r="K480" t="s">
        <v>777</v>
      </c>
      <c r="L480">
        <v>1.5</v>
      </c>
      <c r="M480">
        <v>0.8</v>
      </c>
      <c r="N480">
        <v>0.5333333333333333</v>
      </c>
      <c r="O480">
        <v>1</v>
      </c>
      <c r="P480">
        <v>0.08083252207959757</v>
      </c>
      <c r="Q480">
        <v>1.959459788888618</v>
      </c>
      <c r="R480" t="s">
        <v>781</v>
      </c>
      <c r="S480" t="s">
        <v>793</v>
      </c>
      <c r="T480">
        <v>1544.149959</v>
      </c>
      <c r="U480" s="2">
        <v>44497</v>
      </c>
      <c r="V480" t="s">
        <v>795</v>
      </c>
    </row>
    <row r="481" spans="1:22">
      <c r="A481" s="1" t="s">
        <v>501</v>
      </c>
      <c r="B481">
        <f>HYPERLINK("https://www.suredividend.com/sure-analysis-TGP/","Teekay LNG Partners LP")</f>
        <v>0</v>
      </c>
      <c r="C481">
        <v>16.94</v>
      </c>
      <c r="D481">
        <v>18.5</v>
      </c>
      <c r="E481">
        <v>0.9156756756756758</v>
      </c>
      <c r="F481">
        <v>0.06788665879574969</v>
      </c>
      <c r="G481">
        <v>0.01777473179965261</v>
      </c>
      <c r="H481">
        <v>0.04</v>
      </c>
      <c r="I481">
        <v>0.1134282352988931</v>
      </c>
      <c r="J481" t="s">
        <v>524</v>
      </c>
      <c r="K481" t="s">
        <v>777</v>
      </c>
      <c r="L481">
        <v>3.7</v>
      </c>
      <c r="M481">
        <v>1.15</v>
      </c>
      <c r="N481">
        <v>0.3108108108108107</v>
      </c>
      <c r="O481">
        <v>3</v>
      </c>
      <c r="P481">
        <v>0.04012620718096094</v>
      </c>
      <c r="Q481">
        <v>0.6474047533274261</v>
      </c>
      <c r="R481" t="s">
        <v>781</v>
      </c>
      <c r="S481" t="s">
        <v>793</v>
      </c>
      <c r="T481">
        <v>1471.214879</v>
      </c>
      <c r="U481" s="2">
        <v>44515</v>
      </c>
      <c r="V481" t="s">
        <v>795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101.02</v>
      </c>
      <c r="D482">
        <v>102</v>
      </c>
      <c r="E482">
        <v>0.9903921568627451</v>
      </c>
      <c r="F482">
        <v>0.02692536131459117</v>
      </c>
      <c r="G482">
        <v>0.001932724557949017</v>
      </c>
      <c r="H482">
        <v>0.09</v>
      </c>
      <c r="I482">
        <v>0.1132312116941898</v>
      </c>
      <c r="J482" t="s">
        <v>524</v>
      </c>
      <c r="K482" t="s">
        <v>524</v>
      </c>
      <c r="L482">
        <v>4.85</v>
      </c>
      <c r="M482">
        <v>2.72</v>
      </c>
      <c r="N482">
        <v>0.5608247422680414</v>
      </c>
      <c r="O482">
        <v>0</v>
      </c>
      <c r="P482">
        <v>0.04991010133745877</v>
      </c>
      <c r="Q482">
        <v>0.09592269620551501</v>
      </c>
      <c r="R482" t="s">
        <v>780</v>
      </c>
      <c r="S482" t="s">
        <v>788</v>
      </c>
      <c r="T482">
        <v>13727.096616</v>
      </c>
      <c r="U482" s="2">
        <v>44512</v>
      </c>
      <c r="V482" t="s">
        <v>800</v>
      </c>
    </row>
    <row r="483" spans="1:22">
      <c r="A483" s="1" t="s">
        <v>503</v>
      </c>
      <c r="B483">
        <f>HYPERLINK("https://www.suredividend.com/sure-analysis-TAP/","Molson Coors Beverage Company")</f>
        <v>0</v>
      </c>
      <c r="C483">
        <v>45.9</v>
      </c>
      <c r="D483">
        <v>58</v>
      </c>
      <c r="E483">
        <v>0.7913793103448276</v>
      </c>
      <c r="F483">
        <v>0.02962962962962963</v>
      </c>
      <c r="G483">
        <v>0.04790777250979716</v>
      </c>
      <c r="H483">
        <v>0.04</v>
      </c>
      <c r="I483">
        <v>0.1124839751530273</v>
      </c>
      <c r="J483" t="s">
        <v>524</v>
      </c>
      <c r="K483" t="s">
        <v>524</v>
      </c>
      <c r="L483">
        <v>4.15</v>
      </c>
      <c r="M483">
        <v>1.36</v>
      </c>
      <c r="N483">
        <v>0.327710843373494</v>
      </c>
      <c r="O483">
        <v>0</v>
      </c>
      <c r="P483">
        <v>0.03941506521508265</v>
      </c>
      <c r="Q483">
        <v>0.024247584826424</v>
      </c>
      <c r="R483" t="s">
        <v>780</v>
      </c>
      <c r="S483" t="s">
        <v>791</v>
      </c>
      <c r="T483">
        <v>9364.243178999999</v>
      </c>
      <c r="U483" s="2">
        <v>44500</v>
      </c>
      <c r="V483" t="s">
        <v>799</v>
      </c>
    </row>
    <row r="484" spans="1:22">
      <c r="A484" s="1" t="s">
        <v>504</v>
      </c>
      <c r="B484">
        <f>HYPERLINK("https://www.suredividend.com/sure-analysis-UNIT/","Uniti Group Inc")</f>
        <v>0</v>
      </c>
      <c r="C484">
        <v>14.09</v>
      </c>
      <c r="D484">
        <v>16.3</v>
      </c>
      <c r="E484">
        <v>0.8644171779141104</v>
      </c>
      <c r="F484">
        <v>0.042583392476934</v>
      </c>
      <c r="G484">
        <v>0.02956867909784067</v>
      </c>
      <c r="H484">
        <v>0.042</v>
      </c>
      <c r="I484">
        <v>0.111230363022387</v>
      </c>
      <c r="J484" t="s">
        <v>524</v>
      </c>
      <c r="K484" t="s">
        <v>346</v>
      </c>
      <c r="L484">
        <v>1.63</v>
      </c>
      <c r="M484">
        <v>0.6</v>
      </c>
      <c r="N484">
        <v>0.3680981595092024</v>
      </c>
      <c r="O484">
        <v>0</v>
      </c>
      <c r="P484">
        <v>0.08447177119769855</v>
      </c>
      <c r="Q484">
        <v>0.244847038403124</v>
      </c>
      <c r="R484" t="s">
        <v>782</v>
      </c>
      <c r="S484" t="s">
        <v>794</v>
      </c>
      <c r="T484">
        <v>3250.697243</v>
      </c>
      <c r="U484" s="2">
        <v>44509</v>
      </c>
      <c r="V484" t="s">
        <v>805</v>
      </c>
    </row>
    <row r="485" spans="1:22">
      <c r="A485" s="1" t="s">
        <v>505</v>
      </c>
      <c r="B485">
        <f>HYPERLINK("https://www.suredividend.com/sure-analysis-BP/","BP plc")</f>
        <v>0</v>
      </c>
      <c r="C485">
        <v>26.69</v>
      </c>
      <c r="D485">
        <v>42</v>
      </c>
      <c r="E485">
        <v>0.6354761904761905</v>
      </c>
      <c r="F485">
        <v>0.04908205320344698</v>
      </c>
      <c r="G485">
        <v>0.09491433898766322</v>
      </c>
      <c r="H485">
        <v>-0.02</v>
      </c>
      <c r="I485">
        <v>0.1107787546462158</v>
      </c>
      <c r="J485" t="s">
        <v>524</v>
      </c>
      <c r="K485" t="s">
        <v>777</v>
      </c>
      <c r="L485">
        <v>3.5</v>
      </c>
      <c r="M485">
        <v>1.31</v>
      </c>
      <c r="N485">
        <v>0.3742857142857143</v>
      </c>
      <c r="O485">
        <v>0</v>
      </c>
      <c r="P485">
        <v>0.03018318869451253</v>
      </c>
      <c r="Q485">
        <v>0.346121235698396</v>
      </c>
      <c r="R485" t="s">
        <v>780</v>
      </c>
      <c r="S485" t="s">
        <v>793</v>
      </c>
      <c r="T485">
        <v>88667.957735</v>
      </c>
      <c r="U485" s="2">
        <v>44512</v>
      </c>
      <c r="V485" t="s">
        <v>803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30.17</v>
      </c>
      <c r="D486">
        <v>39</v>
      </c>
      <c r="E486">
        <v>0.7735897435897436</v>
      </c>
      <c r="F486">
        <v>0.03646005966191581</v>
      </c>
      <c r="G486">
        <v>0.05268360571113773</v>
      </c>
      <c r="H486">
        <v>0.03</v>
      </c>
      <c r="I486">
        <v>0.1094469814020276</v>
      </c>
      <c r="J486" t="s">
        <v>524</v>
      </c>
      <c r="K486" t="s">
        <v>346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0.21465463534235</v>
      </c>
      <c r="R486" t="s">
        <v>780</v>
      </c>
      <c r="S486" t="s">
        <v>789</v>
      </c>
      <c r="T486">
        <v>122868.355815</v>
      </c>
      <c r="U486" s="2">
        <v>44495</v>
      </c>
      <c r="V486" t="s">
        <v>798</v>
      </c>
    </row>
    <row r="487" spans="1:22">
      <c r="A487" s="1" t="s">
        <v>507</v>
      </c>
      <c r="B487">
        <f>HYPERLINK("https://www.suredividend.com/sure-analysis-DOW/","Dow Inc")</f>
        <v>0</v>
      </c>
      <c r="C487">
        <v>56.78</v>
      </c>
      <c r="D487">
        <v>117</v>
      </c>
      <c r="E487">
        <v>0.4852991452991453</v>
      </c>
      <c r="F487">
        <v>0.0493131384290243</v>
      </c>
      <c r="G487">
        <v>0.1555748857806301</v>
      </c>
      <c r="H487">
        <v>-0.07000000000000001</v>
      </c>
      <c r="I487">
        <v>0.1093447586462397</v>
      </c>
      <c r="J487" t="s">
        <v>524</v>
      </c>
      <c r="K487" t="s">
        <v>777</v>
      </c>
      <c r="L487">
        <v>9</v>
      </c>
      <c r="M487">
        <v>2.8</v>
      </c>
      <c r="N487">
        <v>0.3111111111111111</v>
      </c>
      <c r="O487">
        <v>0</v>
      </c>
      <c r="P487">
        <v>0</v>
      </c>
      <c r="Q487">
        <v>0.09766232167315601</v>
      </c>
      <c r="R487" t="s">
        <v>780</v>
      </c>
      <c r="S487" t="s">
        <v>790</v>
      </c>
      <c r="T487">
        <v>42202.398349</v>
      </c>
      <c r="U487" s="2">
        <v>44498</v>
      </c>
      <c r="V487" t="s">
        <v>800</v>
      </c>
    </row>
    <row r="488" spans="1:22">
      <c r="A488" s="1" t="s">
        <v>508</v>
      </c>
      <c r="B488">
        <f>HYPERLINK("https://www.suredividend.com/sure-analysis-PGRE/","Paramount Group Inc")</f>
        <v>0</v>
      </c>
      <c r="C488">
        <v>8.449999999999999</v>
      </c>
      <c r="D488">
        <v>11</v>
      </c>
      <c r="E488">
        <v>0.7681818181818181</v>
      </c>
      <c r="F488">
        <v>0.03313609467455622</v>
      </c>
      <c r="G488">
        <v>0.05416160762790256</v>
      </c>
      <c r="H488">
        <v>0.03</v>
      </c>
      <c r="I488">
        <v>0.1091119523722446</v>
      </c>
      <c r="J488" t="s">
        <v>524</v>
      </c>
      <c r="K488" t="s">
        <v>346</v>
      </c>
      <c r="L488">
        <v>0.91</v>
      </c>
      <c r="M488">
        <v>0.28</v>
      </c>
      <c r="N488">
        <v>0.3076923076923077</v>
      </c>
      <c r="O488">
        <v>0</v>
      </c>
      <c r="P488">
        <v>0.007042949693310208</v>
      </c>
      <c r="Q488">
        <v>-0.02652321500489</v>
      </c>
      <c r="R488" t="s">
        <v>782</v>
      </c>
      <c r="S488" t="s">
        <v>794</v>
      </c>
      <c r="T488">
        <v>1852.371195</v>
      </c>
      <c r="U488" s="2">
        <v>44498</v>
      </c>
      <c r="V488" t="s">
        <v>802</v>
      </c>
    </row>
    <row r="489" spans="1:22">
      <c r="A489" s="1" t="s">
        <v>509</v>
      </c>
      <c r="B489">
        <f>HYPERLINK("https://www.suredividend.com/sure-analysis-ITUB/","Itau Unibanco Holding S.A.")</f>
        <v>0</v>
      </c>
      <c r="C489">
        <v>3.74</v>
      </c>
      <c r="D489">
        <v>4.9</v>
      </c>
      <c r="E489">
        <v>0.7632653061224489</v>
      </c>
      <c r="F489">
        <v>0.0481283422459893</v>
      </c>
      <c r="G489">
        <v>0.05551618139478776</v>
      </c>
      <c r="H489">
        <v>0.015</v>
      </c>
      <c r="I489">
        <v>0.1056177019789648</v>
      </c>
      <c r="J489" t="s">
        <v>524</v>
      </c>
      <c r="K489" t="s">
        <v>777</v>
      </c>
      <c r="L489">
        <v>0.49</v>
      </c>
      <c r="M489">
        <v>0.18</v>
      </c>
      <c r="N489">
        <v>0.3673469387755102</v>
      </c>
      <c r="O489">
        <v>0</v>
      </c>
      <c r="P489">
        <v>0</v>
      </c>
      <c r="Q489">
        <v>-0.248651814748237</v>
      </c>
      <c r="R489" t="s">
        <v>780</v>
      </c>
      <c r="S489" t="s">
        <v>789</v>
      </c>
      <c r="T489">
        <v>18026.543359</v>
      </c>
      <c r="U489" s="2">
        <v>44529</v>
      </c>
      <c r="V489" t="s">
        <v>798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34.92</v>
      </c>
      <c r="D490">
        <v>41</v>
      </c>
      <c r="E490">
        <v>0.8517073170731708</v>
      </c>
      <c r="F490">
        <v>0.03780068728522337</v>
      </c>
      <c r="G490">
        <v>0.03262330984833439</v>
      </c>
      <c r="H490">
        <v>0.04</v>
      </c>
      <c r="I490">
        <v>0.1049970633312829</v>
      </c>
      <c r="J490" t="s">
        <v>524</v>
      </c>
      <c r="K490" t="s">
        <v>346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0.238182113890126</v>
      </c>
      <c r="R490" t="s">
        <v>780</v>
      </c>
      <c r="S490" t="s">
        <v>789</v>
      </c>
      <c r="T490">
        <v>2214.33162</v>
      </c>
      <c r="U490" s="2">
        <v>44498</v>
      </c>
      <c r="V490" t="s">
        <v>802</v>
      </c>
    </row>
    <row r="491" spans="1:22">
      <c r="A491" s="1" t="s">
        <v>511</v>
      </c>
      <c r="B491">
        <f>HYPERLINK("https://www.suredividend.com/sure-analysis-DRI/","Darden Restaurants, Inc.")</f>
        <v>0</v>
      </c>
      <c r="C491">
        <v>149.33</v>
      </c>
      <c r="D491">
        <v>148</v>
      </c>
      <c r="E491">
        <v>1.008986486486487</v>
      </c>
      <c r="F491">
        <v>0.02946494341391549</v>
      </c>
      <c r="G491">
        <v>-0.001787669872345909</v>
      </c>
      <c r="H491">
        <v>0.08</v>
      </c>
      <c r="I491">
        <v>0.1044054741762848</v>
      </c>
      <c r="J491" t="s">
        <v>524</v>
      </c>
      <c r="K491" t="s">
        <v>524</v>
      </c>
      <c r="L491">
        <v>7.42</v>
      </c>
      <c r="M491">
        <v>4.4</v>
      </c>
      <c r="N491">
        <v>0.5929919137466307</v>
      </c>
      <c r="O491">
        <v>1</v>
      </c>
      <c r="P491">
        <v>0.08016554685867416</v>
      </c>
      <c r="Q491">
        <v>0.277363190476435</v>
      </c>
      <c r="R491" t="s">
        <v>780</v>
      </c>
      <c r="S491" t="s">
        <v>788</v>
      </c>
      <c r="T491">
        <v>19340.561147</v>
      </c>
      <c r="U491" s="2">
        <v>44464</v>
      </c>
      <c r="V491" t="s">
        <v>798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33.18</v>
      </c>
      <c r="D492">
        <v>39</v>
      </c>
      <c r="E492">
        <v>0.8507692307692307</v>
      </c>
      <c r="F492">
        <v>0.04098854731766124</v>
      </c>
      <c r="G492">
        <v>0.03285093040341658</v>
      </c>
      <c r="H492">
        <v>0.04</v>
      </c>
      <c r="I492">
        <v>0.1041730771156402</v>
      </c>
      <c r="J492" t="s">
        <v>524</v>
      </c>
      <c r="K492" t="s">
        <v>346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0.06013688406142301</v>
      </c>
      <c r="R492" t="s">
        <v>780</v>
      </c>
      <c r="S492" t="s">
        <v>789</v>
      </c>
      <c r="T492">
        <v>641.513563</v>
      </c>
      <c r="U492" s="2">
        <v>44493</v>
      </c>
      <c r="V492" t="s">
        <v>802</v>
      </c>
    </row>
    <row r="493" spans="1:22">
      <c r="A493" s="1" t="s">
        <v>513</v>
      </c>
      <c r="B493">
        <f>HYPERLINK("https://www.suredividend.com/sure-analysis-NTR/","Nutrien Ltd")</f>
        <v>0</v>
      </c>
      <c r="C493">
        <v>74.63</v>
      </c>
      <c r="D493">
        <v>102</v>
      </c>
      <c r="E493">
        <v>0.7316666666666666</v>
      </c>
      <c r="F493">
        <v>0.02465496449149136</v>
      </c>
      <c r="G493">
        <v>0.06447960765057936</v>
      </c>
      <c r="H493">
        <v>0.02</v>
      </c>
      <c r="I493">
        <v>0.1039732028922944</v>
      </c>
      <c r="J493" t="s">
        <v>524</v>
      </c>
      <c r="K493" t="s">
        <v>524</v>
      </c>
      <c r="L493">
        <v>5.98</v>
      </c>
      <c r="M493">
        <v>1.84</v>
      </c>
      <c r="N493">
        <v>0.3076923076923077</v>
      </c>
      <c r="O493">
        <v>3</v>
      </c>
      <c r="P493">
        <v>0.01984845658885503</v>
      </c>
      <c r="Q493">
        <v>0.6662759335417731</v>
      </c>
      <c r="R493" t="s">
        <v>780</v>
      </c>
      <c r="S493" t="s">
        <v>790</v>
      </c>
      <c r="T493">
        <v>43244.644903</v>
      </c>
      <c r="U493" s="2">
        <v>44522</v>
      </c>
      <c r="V493" t="s">
        <v>798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43.42</v>
      </c>
      <c r="D494">
        <v>56</v>
      </c>
      <c r="E494">
        <v>0.7753571428571429</v>
      </c>
      <c r="F494">
        <v>0.04421925380009212</v>
      </c>
      <c r="G494">
        <v>0.05220325650346513</v>
      </c>
      <c r="H494">
        <v>0.01</v>
      </c>
      <c r="I494">
        <v>0.1033240433894562</v>
      </c>
      <c r="J494" t="s">
        <v>524</v>
      </c>
      <c r="K494" t="s">
        <v>346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0.32304833726233</v>
      </c>
      <c r="R494" t="s">
        <v>780</v>
      </c>
      <c r="S494" t="s">
        <v>793</v>
      </c>
      <c r="T494">
        <v>170588.249291</v>
      </c>
      <c r="U494" s="2">
        <v>44502</v>
      </c>
      <c r="V494" t="s">
        <v>803</v>
      </c>
    </row>
    <row r="495" spans="1:22">
      <c r="A495" s="1" t="s">
        <v>515</v>
      </c>
      <c r="B495">
        <f>HYPERLINK("https://www.suredividend.com/sure-analysis-MED/","Medifast Inc")</f>
        <v>0</v>
      </c>
      <c r="C495">
        <v>210.84</v>
      </c>
      <c r="D495">
        <v>208</v>
      </c>
      <c r="E495">
        <v>1.013653846153846</v>
      </c>
      <c r="F495">
        <v>0.02693985960918232</v>
      </c>
      <c r="G495">
        <v>-0.002708619509790511</v>
      </c>
      <c r="H495">
        <v>0.08</v>
      </c>
      <c r="I495">
        <v>0.1027149283219055</v>
      </c>
      <c r="J495" t="s">
        <v>524</v>
      </c>
      <c r="K495" t="s">
        <v>524</v>
      </c>
      <c r="L495">
        <v>13.9</v>
      </c>
      <c r="M495">
        <v>5.68</v>
      </c>
      <c r="N495">
        <v>0.4086330935251798</v>
      </c>
      <c r="O495">
        <v>6</v>
      </c>
      <c r="P495">
        <v>0.1000553858515176</v>
      </c>
      <c r="Q495">
        <v>0.129953382732692</v>
      </c>
      <c r="R495" t="s">
        <v>780</v>
      </c>
      <c r="S495" t="s">
        <v>788</v>
      </c>
      <c r="T495">
        <v>2476.929363</v>
      </c>
      <c r="U495" s="2">
        <v>44518</v>
      </c>
      <c r="V495" t="s">
        <v>806</v>
      </c>
    </row>
    <row r="496" spans="1:22">
      <c r="A496" s="1" t="s">
        <v>516</v>
      </c>
      <c r="B496">
        <f>HYPERLINK("https://www.suredividend.com/sure-analysis-RF/","Regions Financial Corp.")</f>
        <v>0</v>
      </c>
      <c r="C496">
        <v>21.87</v>
      </c>
      <c r="D496">
        <v>26</v>
      </c>
      <c r="E496">
        <v>0.8411538461538461</v>
      </c>
      <c r="F496">
        <v>0.03109282121627801</v>
      </c>
      <c r="G496">
        <v>0.03520154855897295</v>
      </c>
      <c r="H496">
        <v>0.04</v>
      </c>
      <c r="I496">
        <v>0.1022544286386247</v>
      </c>
      <c r="J496" t="s">
        <v>524</v>
      </c>
      <c r="K496" t="s">
        <v>346</v>
      </c>
      <c r="L496">
        <v>2.4</v>
      </c>
      <c r="M496">
        <v>0.68</v>
      </c>
      <c r="N496">
        <v>0.2833333333333334</v>
      </c>
      <c r="O496">
        <v>0</v>
      </c>
      <c r="P496">
        <v>0.0505145404837426</v>
      </c>
      <c r="Q496">
        <v>0.4299644635833531</v>
      </c>
      <c r="R496" t="s">
        <v>780</v>
      </c>
      <c r="S496" t="s">
        <v>789</v>
      </c>
      <c r="T496">
        <v>20829.225313</v>
      </c>
      <c r="U496" s="2">
        <v>44491</v>
      </c>
      <c r="V496" t="s">
        <v>797</v>
      </c>
    </row>
    <row r="497" spans="1:22">
      <c r="A497" s="1" t="s">
        <v>517</v>
      </c>
      <c r="B497">
        <f>HYPERLINK("https://www.suredividend.com/sure-analysis-BDN/","Brandywine Realty Trust")</f>
        <v>0</v>
      </c>
      <c r="C497">
        <v>13.52</v>
      </c>
      <c r="D497">
        <v>15</v>
      </c>
      <c r="E497">
        <v>0.9013333333333333</v>
      </c>
      <c r="F497">
        <v>0.05621301775147929</v>
      </c>
      <c r="G497">
        <v>0.02099335016181936</v>
      </c>
      <c r="H497">
        <v>0.03</v>
      </c>
      <c r="I497">
        <v>0.09764568767277604</v>
      </c>
      <c r="J497" t="s">
        <v>524</v>
      </c>
      <c r="K497" t="s">
        <v>346</v>
      </c>
      <c r="L497">
        <v>1.37</v>
      </c>
      <c r="M497">
        <v>0.76</v>
      </c>
      <c r="N497">
        <v>0.5547445255474452</v>
      </c>
      <c r="O497">
        <v>0</v>
      </c>
      <c r="P497">
        <v>0.02975477857041309</v>
      </c>
      <c r="Q497">
        <v>0.20599244244736</v>
      </c>
      <c r="R497" t="s">
        <v>782</v>
      </c>
      <c r="S497" t="s">
        <v>794</v>
      </c>
      <c r="T497">
        <v>2310.20447</v>
      </c>
      <c r="U497" s="2">
        <v>44537</v>
      </c>
      <c r="V497" t="s">
        <v>803</v>
      </c>
    </row>
    <row r="498" spans="1:22">
      <c r="A498" s="1" t="s">
        <v>518</v>
      </c>
      <c r="B498">
        <f>HYPERLINK("https://www.suredividend.com/sure-analysis-PETS/","Petmed Express, Inc.")</f>
        <v>0</v>
      </c>
      <c r="C498">
        <v>25.99</v>
      </c>
      <c r="D498">
        <v>23</v>
      </c>
      <c r="E498">
        <v>1.13</v>
      </c>
      <c r="F498">
        <v>0.0461716044632551</v>
      </c>
      <c r="G498">
        <v>-0.02414720285851069</v>
      </c>
      <c r="H498">
        <v>0.08</v>
      </c>
      <c r="I498">
        <v>0.09752816460866875</v>
      </c>
      <c r="J498" t="s">
        <v>524</v>
      </c>
      <c r="K498" t="s">
        <v>777</v>
      </c>
      <c r="L498">
        <v>1.25</v>
      </c>
      <c r="M498">
        <v>1.2</v>
      </c>
      <c r="N498">
        <v>0.96</v>
      </c>
      <c r="O498">
        <v>13</v>
      </c>
      <c r="P498">
        <v>0.0796084730466029</v>
      </c>
      <c r="Q498">
        <v>-0.185781239559768</v>
      </c>
      <c r="R498" t="s">
        <v>780</v>
      </c>
      <c r="S498" t="s">
        <v>785</v>
      </c>
      <c r="T498">
        <v>520.732932</v>
      </c>
      <c r="U498" s="2">
        <v>44499</v>
      </c>
      <c r="V498" t="s">
        <v>798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22</v>
      </c>
      <c r="D499">
        <v>22</v>
      </c>
      <c r="E499">
        <v>1</v>
      </c>
      <c r="F499">
        <v>0.08590909090909091</v>
      </c>
      <c r="G499">
        <v>0</v>
      </c>
      <c r="H499">
        <v>0.03</v>
      </c>
      <c r="I499">
        <v>0.09702093081425067</v>
      </c>
      <c r="J499" t="s">
        <v>524</v>
      </c>
      <c r="K499" t="s">
        <v>777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0.131994106443382</v>
      </c>
      <c r="R499" t="s">
        <v>780</v>
      </c>
      <c r="S499" t="s">
        <v>791</v>
      </c>
      <c r="T499">
        <v>20868.298627</v>
      </c>
      <c r="U499" s="2">
        <v>44516</v>
      </c>
      <c r="V499" t="s">
        <v>796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25.92</v>
      </c>
      <c r="D500">
        <v>25</v>
      </c>
      <c r="E500">
        <v>1.0368</v>
      </c>
      <c r="F500">
        <v>0.06327160493827159</v>
      </c>
      <c r="G500">
        <v>-0.007201751527423639</v>
      </c>
      <c r="H500">
        <v>0.05</v>
      </c>
      <c r="I500">
        <v>0.09689452688740818</v>
      </c>
      <c r="J500" t="s">
        <v>524</v>
      </c>
      <c r="K500" t="s">
        <v>777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0.381520308985187</v>
      </c>
      <c r="R500" t="s">
        <v>780</v>
      </c>
      <c r="S500" t="s">
        <v>793</v>
      </c>
      <c r="T500">
        <v>31639.375966</v>
      </c>
      <c r="U500" s="2">
        <v>44504</v>
      </c>
      <c r="V500" t="s">
        <v>803</v>
      </c>
    </row>
    <row r="501" spans="1:22">
      <c r="A501" s="1" t="s">
        <v>521</v>
      </c>
      <c r="B501">
        <f>HYPERLINK("https://www.suredividend.com/sure-analysis-DD/","DuPont de Nemours Inc")</f>
        <v>0</v>
      </c>
      <c r="C501">
        <v>80.13</v>
      </c>
      <c r="D501">
        <v>77</v>
      </c>
      <c r="E501">
        <v>1.040649350649351</v>
      </c>
      <c r="F501">
        <v>0.01497566454511419</v>
      </c>
      <c r="G501">
        <v>-0.007937310652534557</v>
      </c>
      <c r="H501">
        <v>0.09</v>
      </c>
      <c r="I501">
        <v>0.09415174862320197</v>
      </c>
      <c r="J501" t="s">
        <v>524</v>
      </c>
      <c r="K501" t="s">
        <v>778</v>
      </c>
      <c r="L501">
        <v>4.25</v>
      </c>
      <c r="M501">
        <v>1.2</v>
      </c>
      <c r="N501">
        <v>0.2823529411764706</v>
      </c>
      <c r="O501">
        <v>0</v>
      </c>
      <c r="P501">
        <v>0.06054457313435013</v>
      </c>
      <c r="Q501">
        <v>0.181337246204519</v>
      </c>
      <c r="R501" t="s">
        <v>780</v>
      </c>
      <c r="S501" t="s">
        <v>790</v>
      </c>
      <c r="T501">
        <v>42153.138808</v>
      </c>
      <c r="U501" s="2">
        <v>44520</v>
      </c>
      <c r="V501" t="s">
        <v>800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15.8</v>
      </c>
      <c r="D502">
        <v>20.3</v>
      </c>
      <c r="E502">
        <v>0.7783251231527094</v>
      </c>
      <c r="F502">
        <v>0.06835443037974684</v>
      </c>
      <c r="G502">
        <v>0.05139955820155362</v>
      </c>
      <c r="H502">
        <v>-0.012</v>
      </c>
      <c r="I502">
        <v>0.09364205274278881</v>
      </c>
      <c r="J502" t="s">
        <v>524</v>
      </c>
      <c r="K502" t="s">
        <v>777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0.24428164940026</v>
      </c>
      <c r="R502" t="s">
        <v>780</v>
      </c>
      <c r="S502" t="s">
        <v>793</v>
      </c>
      <c r="T502">
        <v>35879.024217</v>
      </c>
      <c r="U502" s="2">
        <v>44491</v>
      </c>
      <c r="V502" t="s">
        <v>805</v>
      </c>
    </row>
    <row r="503" spans="1:22">
      <c r="A503" s="1" t="s">
        <v>523</v>
      </c>
      <c r="B503">
        <f>HYPERLINK("https://www.suredividend.com/sure-analysis-HASI/","Hannon Armstrong Sustainable Infrastructure capital Inc")</f>
        <v>0</v>
      </c>
      <c r="C503">
        <v>53.64</v>
      </c>
      <c r="D503">
        <v>50</v>
      </c>
      <c r="E503">
        <v>1.0728</v>
      </c>
      <c r="F503">
        <v>0.02609992542878449</v>
      </c>
      <c r="G503">
        <v>-0.01395610843363626</v>
      </c>
      <c r="H503">
        <v>0.08500000000000001</v>
      </c>
      <c r="I503">
        <v>0.09139048197664068</v>
      </c>
      <c r="J503" t="s">
        <v>524</v>
      </c>
      <c r="K503" t="s">
        <v>524</v>
      </c>
      <c r="L503">
        <v>1.68</v>
      </c>
      <c r="M503">
        <v>1.4</v>
      </c>
      <c r="N503">
        <v>0.8333333333333333</v>
      </c>
      <c r="O503">
        <v>3</v>
      </c>
      <c r="P503">
        <v>0.03959498820755258</v>
      </c>
      <c r="Q503">
        <v>-0.127090749221229</v>
      </c>
      <c r="R503" t="s">
        <v>782</v>
      </c>
      <c r="S503" t="s">
        <v>794</v>
      </c>
      <c r="T503">
        <v>4198.944385</v>
      </c>
      <c r="U503" s="2">
        <v>44513</v>
      </c>
      <c r="V503" t="s">
        <v>795</v>
      </c>
    </row>
    <row r="504" spans="1:22">
      <c r="A504" s="1" t="s">
        <v>524</v>
      </c>
      <c r="B504">
        <f>HYPERLINK("https://www.suredividend.com/sure-analysis-D/","Dominion Energy Inc")</f>
        <v>0</v>
      </c>
      <c r="C504">
        <v>78.47</v>
      </c>
      <c r="D504">
        <v>77</v>
      </c>
      <c r="E504">
        <v>1.019090909090909</v>
      </c>
      <c r="F504">
        <v>0.03211418376449598</v>
      </c>
      <c r="G504">
        <v>-0.003775049374582728</v>
      </c>
      <c r="H504">
        <v>0.065</v>
      </c>
      <c r="I504">
        <v>0.08966065008291135</v>
      </c>
      <c r="J504" t="s">
        <v>524</v>
      </c>
      <c r="K504" t="s">
        <v>524</v>
      </c>
      <c r="L504">
        <v>3.85</v>
      </c>
      <c r="M504">
        <v>2.52</v>
      </c>
      <c r="N504">
        <v>0.6545454545454545</v>
      </c>
      <c r="O504">
        <v>16</v>
      </c>
      <c r="P504">
        <v>0.05985358218414349</v>
      </c>
      <c r="Q504">
        <v>0.09851010539645501</v>
      </c>
      <c r="R504" t="s">
        <v>780</v>
      </c>
      <c r="S504" t="s">
        <v>792</v>
      </c>
      <c r="T504">
        <v>63401.575948</v>
      </c>
      <c r="U504" s="2">
        <v>44517</v>
      </c>
      <c r="V504" t="s">
        <v>804</v>
      </c>
    </row>
    <row r="505" spans="1:22">
      <c r="A505" s="1" t="s">
        <v>525</v>
      </c>
      <c r="B505">
        <f>HYPERLINK("https://www.suredividend.com/sure-analysis-WEN/","Wendy`s Co")</f>
        <v>0</v>
      </c>
      <c r="C505">
        <v>23.87</v>
      </c>
      <c r="D505">
        <v>24</v>
      </c>
      <c r="E505">
        <v>0.9945833333333334</v>
      </c>
      <c r="F505">
        <v>0.02010892333472979</v>
      </c>
      <c r="G505">
        <v>0.001086868213080017</v>
      </c>
      <c r="H505">
        <v>0.07000000000000001</v>
      </c>
      <c r="I505">
        <v>0.08928077956545155</v>
      </c>
      <c r="J505" t="s">
        <v>524</v>
      </c>
      <c r="K505" t="s">
        <v>778</v>
      </c>
      <c r="L505">
        <v>0.8</v>
      </c>
      <c r="M505">
        <v>0.48</v>
      </c>
      <c r="N505">
        <v>0.6</v>
      </c>
      <c r="O505">
        <v>1</v>
      </c>
      <c r="P505">
        <v>0.06897294358221773</v>
      </c>
      <c r="Q505">
        <v>0.09237036120618901</v>
      </c>
      <c r="R505" t="s">
        <v>780</v>
      </c>
      <c r="S505" t="s">
        <v>788</v>
      </c>
      <c r="T505">
        <v>5259.924859</v>
      </c>
      <c r="U505" s="2">
        <v>44513</v>
      </c>
      <c r="V505" t="s">
        <v>802</v>
      </c>
    </row>
    <row r="506" spans="1:22">
      <c r="A506" s="1" t="s">
        <v>526</v>
      </c>
      <c r="B506">
        <f>HYPERLINK("https://www.suredividend.com/sure-analysis-SUUIF/","Superior Plus Corp.")</f>
        <v>0</v>
      </c>
      <c r="C506">
        <v>10.18</v>
      </c>
      <c r="D506">
        <v>12.6</v>
      </c>
      <c r="E506">
        <v>0.807936507936508</v>
      </c>
      <c r="F506">
        <v>0.05697445972495088</v>
      </c>
      <c r="G506">
        <v>0.04357713109924166</v>
      </c>
      <c r="H506">
        <v>0</v>
      </c>
      <c r="I506">
        <v>0.08771917353862912</v>
      </c>
      <c r="J506" t="s">
        <v>524</v>
      </c>
      <c r="K506" t="s">
        <v>777</v>
      </c>
      <c r="L506">
        <v>1.75</v>
      </c>
      <c r="M506">
        <v>0.58</v>
      </c>
      <c r="N506">
        <v>0.3314285714285714</v>
      </c>
      <c r="O506">
        <v>0</v>
      </c>
      <c r="P506">
        <v>0</v>
      </c>
      <c r="Q506">
        <v>0.06661930779436501</v>
      </c>
      <c r="R506" t="s">
        <v>780</v>
      </c>
      <c r="S506" t="s">
        <v>792</v>
      </c>
      <c r="T506">
        <v>1797.385624</v>
      </c>
      <c r="U506" s="2">
        <v>44516</v>
      </c>
      <c r="V506" t="s">
        <v>795</v>
      </c>
    </row>
    <row r="507" spans="1:22">
      <c r="A507" s="1" t="s">
        <v>527</v>
      </c>
      <c r="B507">
        <f>HYPERLINK("https://www.suredividend.com/sure-analysis-WASH/","Washington Trust Bancorp, Inc.")</f>
        <v>0</v>
      </c>
      <c r="C507">
        <v>56.73</v>
      </c>
      <c r="D507">
        <v>58</v>
      </c>
      <c r="E507">
        <v>0.978103448275862</v>
      </c>
      <c r="F507">
        <v>0.03807509254362772</v>
      </c>
      <c r="G507">
        <v>0.004437785777010372</v>
      </c>
      <c r="H507">
        <v>0.05</v>
      </c>
      <c r="I507">
        <v>0.08741064804733023</v>
      </c>
      <c r="J507" t="s">
        <v>524</v>
      </c>
      <c r="K507" t="s">
        <v>346</v>
      </c>
      <c r="L507">
        <v>4.14</v>
      </c>
      <c r="M507">
        <v>2.16</v>
      </c>
      <c r="N507">
        <v>0.5217391304347827</v>
      </c>
      <c r="O507">
        <v>11</v>
      </c>
      <c r="P507">
        <v>0.04173780361657564</v>
      </c>
      <c r="Q507">
        <v>0.335024317594768</v>
      </c>
      <c r="R507" t="s">
        <v>780</v>
      </c>
      <c r="S507" t="s">
        <v>789</v>
      </c>
      <c r="T507">
        <v>996.141528</v>
      </c>
      <c r="U507" s="2">
        <v>44495</v>
      </c>
      <c r="V507" t="s">
        <v>796</v>
      </c>
    </row>
    <row r="508" spans="1:22">
      <c r="A508" s="1" t="s">
        <v>528</v>
      </c>
      <c r="B508">
        <f>HYPERLINK("https://www.suredividend.com/sure-analysis-MKTX/","MarketAxess Holdings Inc.")</f>
        <v>0</v>
      </c>
      <c r="C508">
        <v>412.66</v>
      </c>
      <c r="D508">
        <v>300</v>
      </c>
      <c r="E508">
        <v>1.375533333333333</v>
      </c>
      <c r="F508">
        <v>0.006397518538263946</v>
      </c>
      <c r="G508">
        <v>-0.06177764604201574</v>
      </c>
      <c r="H508">
        <v>0.15</v>
      </c>
      <c r="I508">
        <v>0.08617881958675389</v>
      </c>
      <c r="J508" t="s">
        <v>524</v>
      </c>
      <c r="K508" t="s">
        <v>778</v>
      </c>
      <c r="L508">
        <v>7.15</v>
      </c>
      <c r="M508">
        <v>2.64</v>
      </c>
      <c r="N508">
        <v>0.3692307692307693</v>
      </c>
      <c r="O508">
        <v>11</v>
      </c>
      <c r="P508">
        <v>0.1500007374307972</v>
      </c>
      <c r="Q508">
        <v>-0.267564805219317</v>
      </c>
      <c r="R508" t="s">
        <v>780</v>
      </c>
      <c r="S508" t="s">
        <v>789</v>
      </c>
      <c r="T508">
        <v>15641.813517</v>
      </c>
      <c r="U508" s="2">
        <v>44494</v>
      </c>
      <c r="V508" t="s">
        <v>802</v>
      </c>
    </row>
    <row r="509" spans="1:22">
      <c r="A509" s="1" t="s">
        <v>529</v>
      </c>
      <c r="B509">
        <f>HYPERLINK("https://www.suredividend.com/sure-analysis-SAFE/","Safehold Inc")</f>
        <v>0</v>
      </c>
      <c r="C509">
        <v>78.67</v>
      </c>
      <c r="D509">
        <v>65</v>
      </c>
      <c r="E509">
        <v>1.210307692307692</v>
      </c>
      <c r="F509">
        <v>0.008643701538070422</v>
      </c>
      <c r="G509">
        <v>-0.0374554456801387</v>
      </c>
      <c r="H509">
        <v>0.12</v>
      </c>
      <c r="I509">
        <v>0.08554044401932437</v>
      </c>
      <c r="J509" t="s">
        <v>524</v>
      </c>
      <c r="K509" t="s">
        <v>778</v>
      </c>
      <c r="L509">
        <v>1.48</v>
      </c>
      <c r="M509">
        <v>0.68</v>
      </c>
      <c r="N509">
        <v>0.4594594594594595</v>
      </c>
      <c r="O509">
        <v>3</v>
      </c>
      <c r="P509">
        <v>0.0576615571948691</v>
      </c>
      <c r="Q509">
        <v>0.089214813321461</v>
      </c>
      <c r="R509" t="s">
        <v>782</v>
      </c>
      <c r="S509" t="s">
        <v>794</v>
      </c>
      <c r="T509">
        <v>4400.357964</v>
      </c>
      <c r="U509" s="2">
        <v>44492</v>
      </c>
      <c r="V509" t="s">
        <v>805</v>
      </c>
    </row>
    <row r="510" spans="1:22">
      <c r="A510" s="1" t="s">
        <v>530</v>
      </c>
      <c r="B510">
        <f>HYPERLINK("https://www.suredividend.com/sure-analysis-VALE/","Vale S.A.")</f>
        <v>0</v>
      </c>
      <c r="C510">
        <v>14.08</v>
      </c>
      <c r="D510">
        <v>21</v>
      </c>
      <c r="E510">
        <v>0.6704761904761904</v>
      </c>
      <c r="F510">
        <v>0.1612215909090909</v>
      </c>
      <c r="G510">
        <v>0.08323660652071241</v>
      </c>
      <c r="H510">
        <v>-0.07000000000000001</v>
      </c>
      <c r="I510">
        <v>0.08437243246718618</v>
      </c>
      <c r="J510" t="s">
        <v>524</v>
      </c>
      <c r="K510" t="s">
        <v>777</v>
      </c>
      <c r="L510">
        <v>4.2</v>
      </c>
      <c r="M510">
        <v>2.27</v>
      </c>
      <c r="N510">
        <v>0.5404761904761904</v>
      </c>
      <c r="O510">
        <v>1</v>
      </c>
      <c r="P510">
        <v>-0.1803080202371039</v>
      </c>
      <c r="Q510">
        <v>-0.062986945531355</v>
      </c>
      <c r="R510" t="s">
        <v>780</v>
      </c>
      <c r="S510" t="s">
        <v>790</v>
      </c>
      <c r="T510">
        <v>69442.162125</v>
      </c>
      <c r="U510" s="2">
        <v>44503</v>
      </c>
      <c r="V510" t="s">
        <v>797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160.04</v>
      </c>
      <c r="D511">
        <v>157</v>
      </c>
      <c r="E511">
        <v>1.019363057324841</v>
      </c>
      <c r="F511">
        <v>0.04123969007748063</v>
      </c>
      <c r="G511">
        <v>-0.00382824922658842</v>
      </c>
      <c r="H511">
        <v>0.05</v>
      </c>
      <c r="I511">
        <v>0.08320308332032167</v>
      </c>
      <c r="J511" t="s">
        <v>524</v>
      </c>
      <c r="K511" t="s">
        <v>346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0.9912603288163311</v>
      </c>
      <c r="R511" t="s">
        <v>782</v>
      </c>
      <c r="S511" t="s">
        <v>794</v>
      </c>
      <c r="T511">
        <v>52170.308238</v>
      </c>
      <c r="U511" s="2">
        <v>44502</v>
      </c>
      <c r="V511" t="s">
        <v>795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11.96</v>
      </c>
      <c r="D512">
        <v>12</v>
      </c>
      <c r="E512">
        <v>0.9966666666666667</v>
      </c>
      <c r="F512">
        <v>0.03929765886287625</v>
      </c>
      <c r="G512">
        <v>0.0006680032679751147</v>
      </c>
      <c r="H512">
        <v>0.05</v>
      </c>
      <c r="I512">
        <v>0.08293631951508051</v>
      </c>
      <c r="J512" t="s">
        <v>524</v>
      </c>
      <c r="K512" t="s">
        <v>346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0.06188241984787</v>
      </c>
      <c r="R512" t="s">
        <v>780</v>
      </c>
      <c r="S512" t="s">
        <v>790</v>
      </c>
      <c r="T512">
        <v>18321.368331</v>
      </c>
      <c r="U512" s="2">
        <v>44522</v>
      </c>
      <c r="V512" t="s">
        <v>798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46.68</v>
      </c>
      <c r="D513">
        <v>46</v>
      </c>
      <c r="E513">
        <v>1.014782608695652</v>
      </c>
      <c r="F513">
        <v>0.03963153384747215</v>
      </c>
      <c r="G513">
        <v>-0.002930579629324415</v>
      </c>
      <c r="H513">
        <v>0.05</v>
      </c>
      <c r="I513">
        <v>0.082137904475448</v>
      </c>
      <c r="J513" t="s">
        <v>524</v>
      </c>
      <c r="K513" t="s">
        <v>346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0.042936294272333</v>
      </c>
      <c r="R513" t="s">
        <v>780</v>
      </c>
      <c r="S513" t="s">
        <v>788</v>
      </c>
      <c r="T513">
        <v>18092.935256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44.9</v>
      </c>
      <c r="D514">
        <v>49</v>
      </c>
      <c r="E514">
        <v>0.9163265306122449</v>
      </c>
      <c r="F514">
        <v>0.044543429844098</v>
      </c>
      <c r="G514">
        <v>0.0176301082465784</v>
      </c>
      <c r="H514">
        <v>0.025</v>
      </c>
      <c r="I514">
        <v>0.08028726582909451</v>
      </c>
      <c r="J514" t="s">
        <v>524</v>
      </c>
      <c r="K514" t="s">
        <v>346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0.215531673011126</v>
      </c>
      <c r="R514" t="s">
        <v>782</v>
      </c>
      <c r="S514" t="s">
        <v>794</v>
      </c>
      <c r="T514">
        <v>4676.361178</v>
      </c>
      <c r="U514" s="2">
        <v>44496</v>
      </c>
      <c r="V514" t="s">
        <v>802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33.88</v>
      </c>
      <c r="D515">
        <v>35</v>
      </c>
      <c r="E515">
        <v>0.9680000000000001</v>
      </c>
      <c r="F515">
        <v>0.03689492325855962</v>
      </c>
      <c r="G515">
        <v>0.006525839444661896</v>
      </c>
      <c r="H515">
        <v>0.04</v>
      </c>
      <c r="I515">
        <v>0.07930881748583296</v>
      </c>
      <c r="J515" t="s">
        <v>524</v>
      </c>
      <c r="K515" t="s">
        <v>346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-0.037439839989999</v>
      </c>
      <c r="R515" t="s">
        <v>780</v>
      </c>
      <c r="S515" t="s">
        <v>791</v>
      </c>
      <c r="T515">
        <v>16251.88978</v>
      </c>
      <c r="U515" s="2">
        <v>44476</v>
      </c>
      <c r="V515" t="s">
        <v>799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44.11</v>
      </c>
      <c r="D516">
        <v>48</v>
      </c>
      <c r="E516">
        <v>0.9189583333333333</v>
      </c>
      <c r="F516">
        <v>0.03445930627975516</v>
      </c>
      <c r="G516">
        <v>0.01704656165658758</v>
      </c>
      <c r="H516">
        <v>0.03</v>
      </c>
      <c r="I516">
        <v>0.0771152491648337</v>
      </c>
      <c r="J516" t="s">
        <v>524</v>
      </c>
      <c r="K516" t="s">
        <v>346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0.216357802370506</v>
      </c>
      <c r="R516" t="s">
        <v>780</v>
      </c>
      <c r="S516" t="s">
        <v>789</v>
      </c>
      <c r="T516">
        <v>12097.223584</v>
      </c>
      <c r="U516" s="2">
        <v>44509</v>
      </c>
      <c r="V516" t="s">
        <v>799</v>
      </c>
    </row>
    <row r="517" spans="1:22">
      <c r="A517" s="1" t="s">
        <v>537</v>
      </c>
      <c r="B517">
        <f>HYPERLINK("https://www.suredividend.com/sure-analysis-ABEV/","Ambev S.A.")</f>
        <v>0</v>
      </c>
      <c r="C517">
        <v>2.76</v>
      </c>
      <c r="D517">
        <v>3.08</v>
      </c>
      <c r="E517">
        <v>0.8961038961038961</v>
      </c>
      <c r="F517">
        <v>0.02898550724637682</v>
      </c>
      <c r="G517">
        <v>0.02218223033109945</v>
      </c>
      <c r="H517">
        <v>0.03</v>
      </c>
      <c r="I517">
        <v>0.07704092090491677</v>
      </c>
      <c r="J517" t="s">
        <v>524</v>
      </c>
      <c r="K517" t="s">
        <v>524</v>
      </c>
      <c r="L517">
        <v>0.14</v>
      </c>
      <c r="M517">
        <v>0.08</v>
      </c>
      <c r="N517">
        <v>0.5714285714285714</v>
      </c>
      <c r="O517">
        <v>0</v>
      </c>
      <c r="P517">
        <v>0.02383625553960966</v>
      </c>
      <c r="Q517">
        <v>-0.100325343602682</v>
      </c>
      <c r="R517" t="s">
        <v>780</v>
      </c>
      <c r="S517" t="s">
        <v>791</v>
      </c>
      <c r="T517">
        <v>42661.423116</v>
      </c>
      <c r="U517" s="2">
        <v>44530</v>
      </c>
      <c r="V517" t="s">
        <v>801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21.6</v>
      </c>
      <c r="D518">
        <v>23</v>
      </c>
      <c r="E518">
        <v>0.9391304347826087</v>
      </c>
      <c r="F518">
        <v>0.04259259259259259</v>
      </c>
      <c r="G518">
        <v>0.01263939059641661</v>
      </c>
      <c r="H518">
        <v>0.03</v>
      </c>
      <c r="I518">
        <v>0.07675333035503917</v>
      </c>
      <c r="J518" t="s">
        <v>524</v>
      </c>
      <c r="K518" t="s">
        <v>346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0.07032807237079601</v>
      </c>
      <c r="R518" t="s">
        <v>780</v>
      </c>
      <c r="S518" t="s">
        <v>791</v>
      </c>
      <c r="T518">
        <v>9205.656000000001</v>
      </c>
      <c r="U518" s="2">
        <v>44519</v>
      </c>
      <c r="V518" t="s">
        <v>800</v>
      </c>
    </row>
    <row r="519" spans="1:22">
      <c r="A519" s="1" t="s">
        <v>539</v>
      </c>
      <c r="B519">
        <f>HYPERLINK("https://www.suredividend.com/sure-analysis-DTEGY/","Deutsche Telekom AG")</f>
        <v>0</v>
      </c>
      <c r="C519">
        <v>18.46</v>
      </c>
      <c r="D519">
        <v>18</v>
      </c>
      <c r="E519">
        <v>1.025555555555556</v>
      </c>
      <c r="F519">
        <v>0.0390032502708559</v>
      </c>
      <c r="G519">
        <v>-0.005034180063016036</v>
      </c>
      <c r="H519">
        <v>0.05</v>
      </c>
      <c r="I519">
        <v>0.07654092620683639</v>
      </c>
      <c r="J519" t="s">
        <v>524</v>
      </c>
      <c r="K519" t="s">
        <v>346</v>
      </c>
      <c r="L519">
        <v>1.2</v>
      </c>
      <c r="M519">
        <v>0.72</v>
      </c>
      <c r="N519">
        <v>0.6</v>
      </c>
      <c r="O519">
        <v>1</v>
      </c>
      <c r="P519">
        <v>0.01087212085035083</v>
      </c>
      <c r="Q519">
        <v>0.023029229406554</v>
      </c>
      <c r="R519" t="s">
        <v>780</v>
      </c>
      <c r="S519" t="s">
        <v>784</v>
      </c>
      <c r="T519">
        <v>92149.754854</v>
      </c>
      <c r="U519" s="2">
        <v>44517</v>
      </c>
      <c r="V519" t="s">
        <v>803</v>
      </c>
    </row>
    <row r="520" spans="1:22">
      <c r="A520" s="1" t="s">
        <v>540</v>
      </c>
      <c r="B520">
        <f>HYPERLINK("https://www.suredividend.com/sure-analysis-RIO/","Rio Tinto plc")</f>
        <v>0</v>
      </c>
      <c r="C520">
        <v>66.77</v>
      </c>
      <c r="D520">
        <v>73</v>
      </c>
      <c r="E520">
        <v>0.9146575342465753</v>
      </c>
      <c r="F520">
        <v>0.08401976935749589</v>
      </c>
      <c r="G520">
        <v>0.01800121602961102</v>
      </c>
      <c r="H520">
        <v>0</v>
      </c>
      <c r="I520">
        <v>0.07620700669500136</v>
      </c>
      <c r="J520" t="s">
        <v>524</v>
      </c>
      <c r="K520" t="s">
        <v>777</v>
      </c>
      <c r="L520">
        <v>14</v>
      </c>
      <c r="M520">
        <v>5.61</v>
      </c>
      <c r="N520">
        <v>0.4007142857142857</v>
      </c>
      <c r="O520">
        <v>5</v>
      </c>
      <c r="P520">
        <v>-0.05987225238578009</v>
      </c>
      <c r="Q520">
        <v>-0.05985263630857</v>
      </c>
      <c r="R520" t="s">
        <v>780</v>
      </c>
      <c r="S520" t="s">
        <v>790</v>
      </c>
      <c r="T520">
        <v>107782.209884</v>
      </c>
      <c r="U520" s="2">
        <v>44524</v>
      </c>
      <c r="V520" t="s">
        <v>803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18.45</v>
      </c>
      <c r="D521">
        <v>20</v>
      </c>
      <c r="E521">
        <v>0.9225</v>
      </c>
      <c r="F521">
        <v>0.04552845528455285</v>
      </c>
      <c r="G521">
        <v>0.01626442956546925</v>
      </c>
      <c r="H521">
        <v>0.022</v>
      </c>
      <c r="I521">
        <v>0.07533701042524066</v>
      </c>
      <c r="J521" t="s">
        <v>524</v>
      </c>
      <c r="K521" t="s">
        <v>346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0.202201527456921</v>
      </c>
      <c r="R521" t="s">
        <v>782</v>
      </c>
      <c r="S521" t="s">
        <v>794</v>
      </c>
      <c r="T521">
        <v>2280.39342</v>
      </c>
      <c r="U521" s="2">
        <v>44498</v>
      </c>
      <c r="V521" t="s">
        <v>802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10.6</v>
      </c>
      <c r="D522">
        <v>10</v>
      </c>
      <c r="E522">
        <v>1.06</v>
      </c>
      <c r="F522">
        <v>0.05660377358490566</v>
      </c>
      <c r="G522">
        <v>-0.011586139329545</v>
      </c>
      <c r="H522">
        <v>0.04</v>
      </c>
      <c r="I522">
        <v>0.07427647896114875</v>
      </c>
      <c r="J522" t="s">
        <v>524</v>
      </c>
      <c r="K522" t="s">
        <v>777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0.8166649640753221</v>
      </c>
      <c r="R522" t="s">
        <v>781</v>
      </c>
      <c r="S522" t="s">
        <v>793</v>
      </c>
      <c r="T522">
        <v>1307.493488</v>
      </c>
      <c r="U522" s="2">
        <v>44522</v>
      </c>
      <c r="V522" t="s">
        <v>803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74.79000000000001</v>
      </c>
      <c r="D523">
        <v>75</v>
      </c>
      <c r="E523">
        <v>0.9972000000000001</v>
      </c>
      <c r="F523">
        <v>0.03342692873378793</v>
      </c>
      <c r="G523">
        <v>0.0005609427361132902</v>
      </c>
      <c r="H523">
        <v>0.04</v>
      </c>
      <c r="I523">
        <v>0.07046830968632722</v>
      </c>
      <c r="J523" t="s">
        <v>524</v>
      </c>
      <c r="K523" t="s">
        <v>524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0.700404672965648</v>
      </c>
      <c r="R523" t="s">
        <v>782</v>
      </c>
      <c r="S523" t="s">
        <v>794</v>
      </c>
      <c r="T523">
        <v>12719.413993</v>
      </c>
      <c r="U523" s="2">
        <v>44513</v>
      </c>
      <c r="V523" t="s">
        <v>795</v>
      </c>
    </row>
    <row r="524" spans="1:22">
      <c r="A524" s="1" t="s">
        <v>544</v>
      </c>
      <c r="B524">
        <f>HYPERLINK("https://www.suredividend.com/sure-analysis-ING/","ING Groep N.V.")</f>
        <v>0</v>
      </c>
      <c r="C524">
        <v>13.88</v>
      </c>
      <c r="D524">
        <v>14.7</v>
      </c>
      <c r="E524">
        <v>0.94421768707483</v>
      </c>
      <c r="F524">
        <v>0.05043227665706052</v>
      </c>
      <c r="G524">
        <v>0.01154585245111273</v>
      </c>
      <c r="H524">
        <v>0.01</v>
      </c>
      <c r="I524">
        <v>0.07037565667084</v>
      </c>
      <c r="J524" t="s">
        <v>524</v>
      </c>
      <c r="K524" t="s">
        <v>346</v>
      </c>
      <c r="L524">
        <v>1.47</v>
      </c>
      <c r="M524">
        <v>0.7</v>
      </c>
      <c r="N524">
        <v>0.4761904761904762</v>
      </c>
      <c r="O524">
        <v>0</v>
      </c>
      <c r="P524">
        <v>0.04920026914708719</v>
      </c>
      <c r="Q524">
        <v>0.550811691936672</v>
      </c>
      <c r="R524" t="s">
        <v>780</v>
      </c>
      <c r="S524" t="s">
        <v>789</v>
      </c>
      <c r="T524">
        <v>54226.956546</v>
      </c>
      <c r="U524" s="2">
        <v>44515</v>
      </c>
      <c r="V524" t="s">
        <v>795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33.72</v>
      </c>
      <c r="D525">
        <v>29</v>
      </c>
      <c r="E525">
        <v>1.162758620689655</v>
      </c>
      <c r="F525">
        <v>0.03321470937129301</v>
      </c>
      <c r="G525">
        <v>-0.02970881385326862</v>
      </c>
      <c r="H525">
        <v>0.07000000000000001</v>
      </c>
      <c r="I525">
        <v>0.07034193784692788</v>
      </c>
      <c r="J525" t="s">
        <v>524</v>
      </c>
      <c r="K525" t="s">
        <v>524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0.211949484769033</v>
      </c>
      <c r="R525" t="s">
        <v>782</v>
      </c>
      <c r="S525" t="s">
        <v>794</v>
      </c>
      <c r="T525">
        <v>5929.664506</v>
      </c>
      <c r="U525" s="2">
        <v>44524</v>
      </c>
      <c r="V525" t="s">
        <v>803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15.21</v>
      </c>
      <c r="D526">
        <v>23.5</v>
      </c>
      <c r="E526">
        <v>0.6472340425531915</v>
      </c>
      <c r="F526">
        <v>0.09467455621301775</v>
      </c>
      <c r="G526">
        <v>0.09090700289598286</v>
      </c>
      <c r="H526">
        <v>-0.099</v>
      </c>
      <c r="I526">
        <v>0.0699998669014712</v>
      </c>
      <c r="J526" t="s">
        <v>524</v>
      </c>
      <c r="K526" t="s">
        <v>777</v>
      </c>
      <c r="L526">
        <v>2.94</v>
      </c>
      <c r="M526">
        <v>1.44</v>
      </c>
      <c r="N526">
        <v>0.4897959183673469</v>
      </c>
      <c r="O526">
        <v>0</v>
      </c>
      <c r="P526">
        <v>0.008197818497166498</v>
      </c>
      <c r="Q526">
        <v>0.077746186921385</v>
      </c>
      <c r="R526" t="s">
        <v>782</v>
      </c>
      <c r="S526" t="s">
        <v>794</v>
      </c>
      <c r="T526">
        <v>8078.339999</v>
      </c>
      <c r="U526" s="2">
        <v>44503</v>
      </c>
      <c r="V526" t="s">
        <v>805</v>
      </c>
    </row>
    <row r="527" spans="1:22">
      <c r="A527" s="1" t="s">
        <v>547</v>
      </c>
      <c r="B527">
        <f>HYPERLINK("https://www.suredividend.com/sure-analysis-BHP/","BHP Group Limited")</f>
        <v>0</v>
      </c>
      <c r="C527">
        <v>60.26</v>
      </c>
      <c r="D527">
        <v>87</v>
      </c>
      <c r="E527">
        <v>0.6926436781609195</v>
      </c>
      <c r="F527">
        <v>0.05974112180550947</v>
      </c>
      <c r="G527">
        <v>0.0762124828271955</v>
      </c>
      <c r="H527">
        <v>-0.05</v>
      </c>
      <c r="I527">
        <v>0.06894036679633331</v>
      </c>
      <c r="J527" t="s">
        <v>524</v>
      </c>
      <c r="K527" t="s">
        <v>346</v>
      </c>
      <c r="L527">
        <v>6.2</v>
      </c>
      <c r="M527">
        <v>3.6</v>
      </c>
      <c r="N527">
        <v>0.5806451612903226</v>
      </c>
      <c r="O527">
        <v>1</v>
      </c>
      <c r="P527">
        <v>-0.02328131613882611</v>
      </c>
      <c r="Q527">
        <v>0.027581369391694</v>
      </c>
      <c r="R527" t="s">
        <v>780</v>
      </c>
      <c r="S527" t="s">
        <v>790</v>
      </c>
      <c r="T527">
        <v>88817.318216</v>
      </c>
      <c r="U527" s="2">
        <v>44524</v>
      </c>
      <c r="V527" t="s">
        <v>803</v>
      </c>
    </row>
    <row r="528" spans="1:22">
      <c r="A528" s="1" t="s">
        <v>548</v>
      </c>
      <c r="B528">
        <f>HYPERLINK("https://www.suredividend.com/sure-analysis-PCAR/","Paccar Inc.")</f>
        <v>0</v>
      </c>
      <c r="C528">
        <v>87.42</v>
      </c>
      <c r="D528">
        <v>83</v>
      </c>
      <c r="E528">
        <v>1.053253012048193</v>
      </c>
      <c r="F528">
        <v>0.02699611072981011</v>
      </c>
      <c r="G528">
        <v>-0.01032304415218188</v>
      </c>
      <c r="H528">
        <v>0.05</v>
      </c>
      <c r="I528">
        <v>0.06717191628555774</v>
      </c>
      <c r="J528" t="s">
        <v>524</v>
      </c>
      <c r="K528" t="s">
        <v>524</v>
      </c>
      <c r="L528">
        <v>5.5</v>
      </c>
      <c r="M528">
        <v>2.36</v>
      </c>
      <c r="N528">
        <v>0.4290909090909091</v>
      </c>
      <c r="O528">
        <v>11</v>
      </c>
      <c r="P528">
        <v>0.08262742077275398</v>
      </c>
      <c r="Q528">
        <v>0.060515844201109</v>
      </c>
      <c r="R528" t="s">
        <v>780</v>
      </c>
      <c r="S528" t="s">
        <v>786</v>
      </c>
      <c r="T528">
        <v>30423.148814</v>
      </c>
      <c r="U528" s="2">
        <v>44497</v>
      </c>
      <c r="V528" t="s">
        <v>799</v>
      </c>
    </row>
    <row r="529" spans="1:22">
      <c r="A529" s="1" t="s">
        <v>549</v>
      </c>
      <c r="B529">
        <f>HYPERLINK("https://www.suredividend.com/sure-analysis-OFC/","Corporate Office Properties Trust")</f>
        <v>0</v>
      </c>
      <c r="C529">
        <v>28.36</v>
      </c>
      <c r="D529">
        <v>29</v>
      </c>
      <c r="E529">
        <v>0.9779310344827586</v>
      </c>
      <c r="F529">
        <v>0.03878702397743301</v>
      </c>
      <c r="G529">
        <v>0.004473200690918944</v>
      </c>
      <c r="H529">
        <v>0.03</v>
      </c>
      <c r="I529">
        <v>0.06643941616668969</v>
      </c>
      <c r="J529" t="s">
        <v>524</v>
      </c>
      <c r="K529" t="s">
        <v>346</v>
      </c>
      <c r="L529">
        <v>2.28</v>
      </c>
      <c r="M529">
        <v>1.1</v>
      </c>
      <c r="N529">
        <v>0.4824561403508772</v>
      </c>
      <c r="O529">
        <v>0</v>
      </c>
      <c r="P529">
        <v>0</v>
      </c>
      <c r="Q529">
        <v>0.13964020276401</v>
      </c>
      <c r="R529" t="s">
        <v>782</v>
      </c>
      <c r="S529" t="s">
        <v>794</v>
      </c>
      <c r="T529">
        <v>3174.300289</v>
      </c>
      <c r="U529" s="2">
        <v>44535</v>
      </c>
      <c r="V529" t="s">
        <v>798</v>
      </c>
    </row>
    <row r="530" spans="1:22">
      <c r="A530" s="1" t="s">
        <v>550</v>
      </c>
      <c r="B530">
        <f>HYPERLINK("https://www.suredividend.com/sure-analysis-BBD/","Banco Bradesco S.A.")</f>
        <v>0</v>
      </c>
      <c r="C530">
        <v>3.41</v>
      </c>
      <c r="D530">
        <v>3.5</v>
      </c>
      <c r="E530">
        <v>0.9742857142857143</v>
      </c>
      <c r="F530">
        <v>0.07038123167155425</v>
      </c>
      <c r="G530">
        <v>0.005223731798340348</v>
      </c>
      <c r="H530">
        <v>0</v>
      </c>
      <c r="I530">
        <v>0.06627369624117252</v>
      </c>
      <c r="J530" t="s">
        <v>524</v>
      </c>
      <c r="K530" t="s">
        <v>777</v>
      </c>
      <c r="L530">
        <v>0.5</v>
      </c>
      <c r="M530">
        <v>0.24</v>
      </c>
      <c r="N530">
        <v>0.48</v>
      </c>
      <c r="O530">
        <v>0</v>
      </c>
      <c r="P530">
        <v>0</v>
      </c>
      <c r="Q530">
        <v>-0.267718594717112</v>
      </c>
      <c r="R530" t="s">
        <v>780</v>
      </c>
      <c r="S530" t="s">
        <v>789</v>
      </c>
      <c r="T530">
        <v>30172.111946</v>
      </c>
      <c r="U530" s="2">
        <v>44506</v>
      </c>
      <c r="V530" t="s">
        <v>795</v>
      </c>
    </row>
    <row r="531" spans="1:22">
      <c r="A531" s="1" t="s">
        <v>551</v>
      </c>
      <c r="B531">
        <f>HYPERLINK("https://www.suredividend.com/sure-analysis-CUZ/","Cousins Properties Inc.")</f>
        <v>0</v>
      </c>
      <c r="C531">
        <v>40.35</v>
      </c>
      <c r="D531">
        <v>40</v>
      </c>
      <c r="E531">
        <v>1.00875</v>
      </c>
      <c r="F531">
        <v>0.03073110285006196</v>
      </c>
      <c r="G531">
        <v>-0.001740871043463432</v>
      </c>
      <c r="H531">
        <v>0.04</v>
      </c>
      <c r="I531">
        <v>0.06565865270056115</v>
      </c>
      <c r="J531" t="s">
        <v>524</v>
      </c>
      <c r="K531" t="s">
        <v>524</v>
      </c>
      <c r="L531">
        <v>2.75</v>
      </c>
      <c r="M531">
        <v>1.24</v>
      </c>
      <c r="N531">
        <v>0.4509090909090909</v>
      </c>
      <c r="O531">
        <v>3</v>
      </c>
      <c r="P531">
        <v>0.03035803310185115</v>
      </c>
      <c r="Q531">
        <v>0.240365458223887</v>
      </c>
      <c r="R531" t="s">
        <v>782</v>
      </c>
      <c r="S531" t="s">
        <v>794</v>
      </c>
      <c r="T531">
        <v>5989.15409</v>
      </c>
      <c r="U531" s="2">
        <v>44533</v>
      </c>
      <c r="V531" t="s">
        <v>803</v>
      </c>
    </row>
    <row r="532" spans="1:22">
      <c r="A532" s="1" t="s">
        <v>552</v>
      </c>
      <c r="B532">
        <f>HYPERLINK("https://www.suredividend.com/sure-analysis-AKR/","Acadia Realty Trust")</f>
        <v>0</v>
      </c>
      <c r="C532">
        <v>21.79</v>
      </c>
      <c r="D532">
        <v>20</v>
      </c>
      <c r="E532">
        <v>1.0895</v>
      </c>
      <c r="F532">
        <v>0.02753556677374943</v>
      </c>
      <c r="G532">
        <v>-0.01699765676657006</v>
      </c>
      <c r="H532">
        <v>0.05</v>
      </c>
      <c r="I532">
        <v>0.06292739727031682</v>
      </c>
      <c r="J532" t="s">
        <v>524</v>
      </c>
      <c r="K532" t="s">
        <v>524</v>
      </c>
      <c r="L532">
        <v>1.1</v>
      </c>
      <c r="M532">
        <v>0.6</v>
      </c>
      <c r="N532">
        <v>0.5454545454545454</v>
      </c>
      <c r="O532">
        <v>1</v>
      </c>
      <c r="P532">
        <v>0.1008397341583922</v>
      </c>
      <c r="Q532">
        <v>0.5875334083042451</v>
      </c>
      <c r="R532" t="s">
        <v>782</v>
      </c>
      <c r="S532" t="s">
        <v>794</v>
      </c>
      <c r="T532">
        <v>1922.98059</v>
      </c>
      <c r="U532" s="2">
        <v>44531</v>
      </c>
      <c r="V532" t="s">
        <v>795</v>
      </c>
    </row>
    <row r="533" spans="1:22">
      <c r="A533" s="1" t="s">
        <v>553</v>
      </c>
      <c r="B533">
        <f>HYPERLINK("https://www.suredividend.com/sure-analysis-CNP/","Centerpoint Energy Inc.")</f>
        <v>0</v>
      </c>
      <c r="C533">
        <v>27.83</v>
      </c>
      <c r="D533">
        <v>21.9</v>
      </c>
      <c r="E533">
        <v>1.270776255707763</v>
      </c>
      <c r="F533">
        <v>0.02443406395975566</v>
      </c>
      <c r="G533">
        <v>-0.04679528544733746</v>
      </c>
      <c r="H533">
        <v>0.083</v>
      </c>
      <c r="I533">
        <v>0.06274836223268587</v>
      </c>
      <c r="J533" t="s">
        <v>524</v>
      </c>
      <c r="K533" t="s">
        <v>524</v>
      </c>
      <c r="L533">
        <v>1.37</v>
      </c>
      <c r="M533">
        <v>0.68</v>
      </c>
      <c r="N533">
        <v>0.4963503649635037</v>
      </c>
      <c r="O533">
        <v>1</v>
      </c>
      <c r="P533">
        <v>0.1383790323022041</v>
      </c>
      <c r="Q533">
        <v>0.34717623185891</v>
      </c>
      <c r="R533" t="s">
        <v>780</v>
      </c>
      <c r="S533" t="s">
        <v>792</v>
      </c>
      <c r="T533">
        <v>17576.797265</v>
      </c>
      <c r="U533" s="2">
        <v>44509</v>
      </c>
      <c r="V533" t="s">
        <v>805</v>
      </c>
    </row>
    <row r="534" spans="1:22">
      <c r="A534" s="1" t="s">
        <v>554</v>
      </c>
      <c r="B534">
        <f>HYPERLINK("https://www.suredividend.com/sure-analysis-WSR/","Whitestone REIT")</f>
        <v>0</v>
      </c>
      <c r="C534">
        <v>10.09</v>
      </c>
      <c r="D534">
        <v>10</v>
      </c>
      <c r="E534">
        <v>1.009</v>
      </c>
      <c r="F534">
        <v>0.04261645193260654</v>
      </c>
      <c r="G534">
        <v>-0.001790343693570451</v>
      </c>
      <c r="H534">
        <v>0.02</v>
      </c>
      <c r="I534">
        <v>0.06274125975570288</v>
      </c>
      <c r="J534" t="s">
        <v>524</v>
      </c>
      <c r="K534" t="s">
        <v>346</v>
      </c>
      <c r="L534">
        <v>0.92</v>
      </c>
      <c r="M534">
        <v>0.43</v>
      </c>
      <c r="N534">
        <v>0.4673913043478261</v>
      </c>
      <c r="O534">
        <v>0</v>
      </c>
      <c r="P534">
        <v>0.06889872481155268</v>
      </c>
      <c r="Q534">
        <v>0.348215124156527</v>
      </c>
      <c r="R534" t="s">
        <v>782</v>
      </c>
      <c r="S534" t="s">
        <v>794</v>
      </c>
      <c r="T534">
        <v>493.586213</v>
      </c>
      <c r="U534" s="2">
        <v>44498</v>
      </c>
      <c r="V534" t="s">
        <v>804</v>
      </c>
    </row>
    <row r="535" spans="1:22">
      <c r="A535" s="1" t="s">
        <v>555</v>
      </c>
      <c r="B535">
        <f>HYPERLINK("https://www.suredividend.com/sure-analysis-LMRK/","Landmark Infrastructure Partners LP")</f>
        <v>0</v>
      </c>
      <c r="C535">
        <v>16.49</v>
      </c>
      <c r="D535">
        <v>16.4</v>
      </c>
      <c r="E535">
        <v>1.005487804878049</v>
      </c>
      <c r="F535">
        <v>0.04851425106124925</v>
      </c>
      <c r="G535">
        <v>-0.001093961535591714</v>
      </c>
      <c r="H535">
        <v>0.018</v>
      </c>
      <c r="I535">
        <v>0.06151405904167206</v>
      </c>
      <c r="J535" t="s">
        <v>524</v>
      </c>
      <c r="K535" t="s">
        <v>346</v>
      </c>
      <c r="L535">
        <v>1.49</v>
      </c>
      <c r="M535">
        <v>0.8</v>
      </c>
      <c r="N535">
        <v>0.5369127516778524</v>
      </c>
      <c r="O535">
        <v>0</v>
      </c>
      <c r="P535">
        <v>0.02383625553960966</v>
      </c>
      <c r="Q535">
        <v>0</v>
      </c>
      <c r="R535" t="s">
        <v>781</v>
      </c>
      <c r="S535" t="s">
        <v>794</v>
      </c>
      <c r="T535">
        <v>0</v>
      </c>
      <c r="U535" s="2">
        <v>44509</v>
      </c>
      <c r="V535" t="s">
        <v>805</v>
      </c>
    </row>
    <row r="536" spans="1:22">
      <c r="A536" s="1" t="s">
        <v>556</v>
      </c>
      <c r="B536">
        <f>HYPERLINK("https://www.suredividend.com/sure-analysis-EMRAF/","Emera, Inc.")</f>
        <v>0</v>
      </c>
      <c r="C536">
        <v>49.75</v>
      </c>
      <c r="D536">
        <v>42</v>
      </c>
      <c r="E536">
        <v>1.18452380952381</v>
      </c>
      <c r="F536">
        <v>0.04241206030150754</v>
      </c>
      <c r="G536">
        <v>-0.0333010629369811</v>
      </c>
      <c r="H536">
        <v>0.055</v>
      </c>
      <c r="I536">
        <v>0.06066574505410771</v>
      </c>
      <c r="J536" t="s">
        <v>524</v>
      </c>
      <c r="K536" t="s">
        <v>777</v>
      </c>
      <c r="L536">
        <v>2.26</v>
      </c>
      <c r="M536">
        <v>2.11</v>
      </c>
      <c r="N536">
        <v>0.9336283185840708</v>
      </c>
      <c r="O536">
        <v>14</v>
      </c>
      <c r="P536">
        <v>0.04023181804828235</v>
      </c>
      <c r="Q536">
        <v>0.169112295002287</v>
      </c>
      <c r="R536" t="s">
        <v>780</v>
      </c>
      <c r="S536" t="s">
        <v>792</v>
      </c>
      <c r="T536">
        <v>12816.189221</v>
      </c>
      <c r="U536" s="2">
        <v>44516</v>
      </c>
      <c r="V536" t="s">
        <v>802</v>
      </c>
    </row>
    <row r="537" spans="1:22">
      <c r="A537" s="1" t="s">
        <v>557</v>
      </c>
      <c r="B537">
        <f>HYPERLINK("https://www.suredividend.com/sure-analysis-GRMN/","Garmin Ltd")</f>
        <v>0</v>
      </c>
      <c r="C537">
        <v>136.71</v>
      </c>
      <c r="D537">
        <v>114</v>
      </c>
      <c r="E537">
        <v>1.19921052631579</v>
      </c>
      <c r="F537">
        <v>0.01960354034086753</v>
      </c>
      <c r="G537">
        <v>-0.03568057845921135</v>
      </c>
      <c r="H537">
        <v>0.08</v>
      </c>
      <c r="I537">
        <v>0.06011873179684191</v>
      </c>
      <c r="J537" t="s">
        <v>524</v>
      </c>
      <c r="K537" t="s">
        <v>778</v>
      </c>
      <c r="L537">
        <v>5.7</v>
      </c>
      <c r="M537">
        <v>2.68</v>
      </c>
      <c r="N537">
        <v>0.4701754385964912</v>
      </c>
      <c r="O537">
        <v>4</v>
      </c>
      <c r="P537">
        <v>0.04997331683701267</v>
      </c>
      <c r="Q537">
        <v>0.154695396244226</v>
      </c>
      <c r="R537" t="s">
        <v>780</v>
      </c>
      <c r="S537" t="s">
        <v>787</v>
      </c>
      <c r="T537">
        <v>26159.645105</v>
      </c>
      <c r="U537" s="2">
        <v>44514</v>
      </c>
      <c r="V537" t="s">
        <v>800</v>
      </c>
    </row>
    <row r="538" spans="1:22">
      <c r="A538" s="1" t="s">
        <v>558</v>
      </c>
      <c r="B538">
        <f>HYPERLINK("https://www.suredividend.com/sure-analysis-KHC/","Kraft Heinz Co")</f>
        <v>0</v>
      </c>
      <c r="C538">
        <v>35.66</v>
      </c>
      <c r="D538">
        <v>36</v>
      </c>
      <c r="E538">
        <v>0.9905555555555554</v>
      </c>
      <c r="F538">
        <v>0.04486819966348851</v>
      </c>
      <c r="G538">
        <v>0.001899667290248264</v>
      </c>
      <c r="H538">
        <v>0.02</v>
      </c>
      <c r="I538">
        <v>0.06011452371364601</v>
      </c>
      <c r="J538" t="s">
        <v>524</v>
      </c>
      <c r="K538" t="s">
        <v>346</v>
      </c>
      <c r="L538">
        <v>2.8</v>
      </c>
      <c r="M538">
        <v>1.6</v>
      </c>
      <c r="N538">
        <v>0.5714285714285715</v>
      </c>
      <c r="O538">
        <v>0</v>
      </c>
      <c r="P538">
        <v>0</v>
      </c>
      <c r="Q538">
        <v>0.06969922363912801</v>
      </c>
      <c r="R538" t="s">
        <v>780</v>
      </c>
      <c r="S538" t="s">
        <v>791</v>
      </c>
      <c r="T538">
        <v>43832.960528</v>
      </c>
      <c r="U538" s="2">
        <v>44508</v>
      </c>
      <c r="V538" t="s">
        <v>797</v>
      </c>
    </row>
    <row r="539" spans="1:22">
      <c r="A539" s="1" t="s">
        <v>559</v>
      </c>
      <c r="B539">
        <f>HYPERLINK("https://www.suredividend.com/sure-analysis-NXRT/","NexPoint Residential Trust Inc")</f>
        <v>0</v>
      </c>
      <c r="C539">
        <v>82.73999999999999</v>
      </c>
      <c r="D539">
        <v>65.04000000000001</v>
      </c>
      <c r="E539">
        <v>1.272140221402214</v>
      </c>
      <c r="F539">
        <v>0.01837080009668842</v>
      </c>
      <c r="G539">
        <v>-0.0469997749307326</v>
      </c>
      <c r="H539">
        <v>0.09</v>
      </c>
      <c r="I539">
        <v>0.05915703624934654</v>
      </c>
      <c r="J539" t="s">
        <v>524</v>
      </c>
      <c r="K539" t="s">
        <v>778</v>
      </c>
      <c r="L539">
        <v>2.71</v>
      </c>
      <c r="M539">
        <v>1.52</v>
      </c>
      <c r="N539">
        <v>0.5608856088560886</v>
      </c>
      <c r="O539">
        <v>6</v>
      </c>
      <c r="P539">
        <v>0.1001819089885529</v>
      </c>
      <c r="Q539">
        <v>1.073273424244328</v>
      </c>
      <c r="R539" t="s">
        <v>782</v>
      </c>
      <c r="S539" t="s">
        <v>794</v>
      </c>
      <c r="T539">
        <v>2082.75535</v>
      </c>
      <c r="U539" s="2">
        <v>44541</v>
      </c>
      <c r="V539" t="s">
        <v>795</v>
      </c>
    </row>
    <row r="540" spans="1:22">
      <c r="A540" s="1" t="s">
        <v>560</v>
      </c>
      <c r="B540">
        <f>HYPERLINK("https://www.suredividend.com/sure-analysis-HBAN/","Huntington Bancshares, Inc.")</f>
        <v>0</v>
      </c>
      <c r="C540">
        <v>15.43</v>
      </c>
      <c r="D540">
        <v>14</v>
      </c>
      <c r="E540">
        <v>1.102142857142857</v>
      </c>
      <c r="F540">
        <v>0.04018146467919637</v>
      </c>
      <c r="G540">
        <v>-0.01926331208004628</v>
      </c>
      <c r="H540">
        <v>0.04</v>
      </c>
      <c r="I540">
        <v>0.05860441960756502</v>
      </c>
      <c r="J540" t="s">
        <v>524</v>
      </c>
      <c r="K540" t="s">
        <v>346</v>
      </c>
      <c r="L540">
        <v>1.25</v>
      </c>
      <c r="M540">
        <v>0.62</v>
      </c>
      <c r="N540">
        <v>0.496</v>
      </c>
      <c r="O540">
        <v>1</v>
      </c>
      <c r="P540">
        <v>0.03880472124431766</v>
      </c>
      <c r="Q540">
        <v>0.303352564048417</v>
      </c>
      <c r="R540" t="s">
        <v>780</v>
      </c>
      <c r="S540" t="s">
        <v>789</v>
      </c>
      <c r="T540">
        <v>22318.897072</v>
      </c>
      <c r="U540" s="2">
        <v>44499</v>
      </c>
      <c r="V540" t="s">
        <v>799</v>
      </c>
    </row>
    <row r="541" spans="1:22">
      <c r="A541" s="1" t="s">
        <v>561</v>
      </c>
      <c r="B541">
        <f>HYPERLINK("https://www.suredividend.com/sure-analysis-KRG/","Kite Realty Group Trust")</f>
        <v>0</v>
      </c>
      <c r="C541">
        <v>21.71</v>
      </c>
      <c r="D541">
        <v>19</v>
      </c>
      <c r="E541">
        <v>1.142631578947368</v>
      </c>
      <c r="F541">
        <v>0.03500690925840626</v>
      </c>
      <c r="G541">
        <v>-0.02631438139150433</v>
      </c>
      <c r="H541">
        <v>0.055</v>
      </c>
      <c r="I541">
        <v>0.05779106303107606</v>
      </c>
      <c r="J541" t="s">
        <v>524</v>
      </c>
      <c r="K541" t="s">
        <v>524</v>
      </c>
      <c r="L541">
        <v>1.37</v>
      </c>
      <c r="M541">
        <v>0.76</v>
      </c>
      <c r="N541">
        <v>0.5547445255474452</v>
      </c>
      <c r="O541">
        <v>2</v>
      </c>
      <c r="P541">
        <v>0.01031145931793609</v>
      </c>
      <c r="Q541">
        <v>0.5043514008793381</v>
      </c>
      <c r="R541" t="s">
        <v>782</v>
      </c>
      <c r="S541" t="s">
        <v>794</v>
      </c>
      <c r="T541">
        <v>4728.597238</v>
      </c>
      <c r="U541" s="2">
        <v>44512</v>
      </c>
      <c r="V541" t="s">
        <v>802</v>
      </c>
    </row>
    <row r="542" spans="1:22">
      <c r="A542" s="1" t="s">
        <v>562</v>
      </c>
      <c r="B542">
        <f>HYPERLINK("https://www.suredividend.com/sure-analysis-MCY/","Mercury General Corp.")</f>
        <v>0</v>
      </c>
      <c r="C542">
        <v>52.9</v>
      </c>
      <c r="D542">
        <v>53</v>
      </c>
      <c r="E542">
        <v>0.9981132075471698</v>
      </c>
      <c r="F542">
        <v>0.04801512287334594</v>
      </c>
      <c r="G542">
        <v>0.0003777862808429511</v>
      </c>
      <c r="H542">
        <v>0.015</v>
      </c>
      <c r="I542">
        <v>0.0575430551085272</v>
      </c>
      <c r="J542" t="s">
        <v>524</v>
      </c>
      <c r="K542" t="s">
        <v>777</v>
      </c>
      <c r="L542">
        <v>3.5</v>
      </c>
      <c r="M542">
        <v>2.54</v>
      </c>
      <c r="N542">
        <v>0.7257142857142858</v>
      </c>
      <c r="O542">
        <v>33</v>
      </c>
      <c r="P542">
        <v>0.004680391776183512</v>
      </c>
      <c r="Q542">
        <v>0.07135531016497801</v>
      </c>
      <c r="R542" t="s">
        <v>780</v>
      </c>
      <c r="S542" t="s">
        <v>789</v>
      </c>
      <c r="T542">
        <v>2920.809067</v>
      </c>
      <c r="U542" s="2">
        <v>44510</v>
      </c>
      <c r="V542" t="s">
        <v>797</v>
      </c>
    </row>
    <row r="543" spans="1:22">
      <c r="A543" s="1" t="s">
        <v>563</v>
      </c>
      <c r="B543">
        <f>HYPERLINK("https://www.suredividend.com/sure-analysis-ADC/","Agree Realty Corp.")</f>
        <v>0</v>
      </c>
      <c r="C543">
        <v>71.28</v>
      </c>
      <c r="D543">
        <v>63</v>
      </c>
      <c r="E543">
        <v>1.131428571428571</v>
      </c>
      <c r="F543">
        <v>0.03338945005611672</v>
      </c>
      <c r="G543">
        <v>-0.02439375488522655</v>
      </c>
      <c r="H543">
        <v>0.05</v>
      </c>
      <c r="I543">
        <v>0.05732915474077904</v>
      </c>
      <c r="J543" t="s">
        <v>524</v>
      </c>
      <c r="K543" t="s">
        <v>524</v>
      </c>
      <c r="L543">
        <v>3.5</v>
      </c>
      <c r="M543">
        <v>2.38</v>
      </c>
      <c r="N543">
        <v>0.6799999999999999</v>
      </c>
      <c r="O543">
        <v>11</v>
      </c>
      <c r="P543">
        <v>0.04947750535151019</v>
      </c>
      <c r="Q543">
        <v>0.130669878489232</v>
      </c>
      <c r="R543" t="s">
        <v>782</v>
      </c>
      <c r="S543" t="s">
        <v>794</v>
      </c>
      <c r="T543">
        <v>4952.268716</v>
      </c>
      <c r="U543" s="2">
        <v>44507</v>
      </c>
      <c r="V543" t="s">
        <v>798</v>
      </c>
    </row>
    <row r="544" spans="1:22">
      <c r="A544" s="1" t="s">
        <v>564</v>
      </c>
      <c r="B544">
        <f>HYPERLINK("https://www.suredividend.com/sure-analysis-GLW/","Corning, Inc.")</f>
        <v>0</v>
      </c>
      <c r="C544">
        <v>37.21</v>
      </c>
      <c r="D544">
        <v>34</v>
      </c>
      <c r="E544">
        <v>1.094411764705882</v>
      </c>
      <c r="F544">
        <v>0.02579951625907014</v>
      </c>
      <c r="G544">
        <v>-0.01788159599055894</v>
      </c>
      <c r="H544">
        <v>0.05</v>
      </c>
      <c r="I544">
        <v>0.05661322032899507</v>
      </c>
      <c r="J544" t="s">
        <v>524</v>
      </c>
      <c r="K544" t="s">
        <v>524</v>
      </c>
      <c r="L544">
        <v>2.15</v>
      </c>
      <c r="M544">
        <v>0.96</v>
      </c>
      <c r="N544">
        <v>0.4465116279069767</v>
      </c>
      <c r="O544">
        <v>11</v>
      </c>
      <c r="P544">
        <v>0.05251935381426631</v>
      </c>
      <c r="Q544">
        <v>0.077963393501182</v>
      </c>
      <c r="R544" t="s">
        <v>780</v>
      </c>
      <c r="S544" t="s">
        <v>787</v>
      </c>
      <c r="T544">
        <v>32011.351297</v>
      </c>
      <c r="U544" s="2">
        <v>44497</v>
      </c>
      <c r="V544" t="s">
        <v>799</v>
      </c>
    </row>
    <row r="545" spans="1:22">
      <c r="A545" s="1" t="s">
        <v>565</v>
      </c>
      <c r="B545">
        <f>HYPERLINK("https://www.suredividend.com/sure-analysis-FRFHF/","Fairfax Financial Holdings Ltd.")</f>
        <v>0</v>
      </c>
      <c r="C545">
        <v>490.35</v>
      </c>
      <c r="D545">
        <v>565</v>
      </c>
      <c r="E545">
        <v>0.8678761061946904</v>
      </c>
      <c r="F545">
        <v>0.02039359641072703</v>
      </c>
      <c r="G545">
        <v>0.02874669653729267</v>
      </c>
      <c r="H545">
        <v>0.01</v>
      </c>
      <c r="I545">
        <v>0.0559704090213935</v>
      </c>
      <c r="J545" t="s">
        <v>524</v>
      </c>
      <c r="K545" t="s">
        <v>524</v>
      </c>
      <c r="L545">
        <v>32</v>
      </c>
      <c r="M545">
        <v>10</v>
      </c>
      <c r="N545">
        <v>0.3125</v>
      </c>
      <c r="O545">
        <v>0</v>
      </c>
      <c r="P545">
        <v>0</v>
      </c>
      <c r="Q545">
        <v>0.4720422535211261</v>
      </c>
      <c r="R545" t="s">
        <v>780</v>
      </c>
      <c r="S545" t="s">
        <v>789</v>
      </c>
      <c r="T545">
        <v>13256.15992</v>
      </c>
      <c r="U545" s="2">
        <v>44515</v>
      </c>
      <c r="V545" t="s">
        <v>803</v>
      </c>
    </row>
    <row r="546" spans="1:22">
      <c r="A546" s="1" t="s">
        <v>566</v>
      </c>
      <c r="B546">
        <f>HYPERLINK("https://www.suredividend.com/sure-analysis-NGG/","National Grid Plc")</f>
        <v>0</v>
      </c>
      <c r="C546">
        <v>72.95999999999999</v>
      </c>
      <c r="D546">
        <v>62</v>
      </c>
      <c r="E546">
        <v>1.176774193548387</v>
      </c>
      <c r="F546">
        <v>0.04920504385964913</v>
      </c>
      <c r="G546">
        <v>-0.03203116952276164</v>
      </c>
      <c r="H546">
        <v>0.04</v>
      </c>
      <c r="I546">
        <v>0.05567486226619844</v>
      </c>
      <c r="J546" t="s">
        <v>524</v>
      </c>
      <c r="K546" t="s">
        <v>777</v>
      </c>
      <c r="L546">
        <v>4.16</v>
      </c>
      <c r="M546">
        <v>3.59</v>
      </c>
      <c r="N546">
        <v>0.8629807692307692</v>
      </c>
      <c r="O546">
        <v>0</v>
      </c>
      <c r="P546">
        <v>0.0401055114467892</v>
      </c>
      <c r="Q546">
        <v>0.305743921996735</v>
      </c>
      <c r="R546" t="s">
        <v>780</v>
      </c>
      <c r="S546" t="s">
        <v>792</v>
      </c>
      <c r="T546">
        <v>53127.895693</v>
      </c>
      <c r="U546" s="2">
        <v>44528</v>
      </c>
      <c r="V546" t="s">
        <v>801</v>
      </c>
    </row>
    <row r="547" spans="1:22">
      <c r="A547" s="1" t="s">
        <v>567</v>
      </c>
      <c r="B547">
        <f>HYPERLINK("https://www.suredividend.com/sure-analysis-KTB/","Kontoor Brands Inc")</f>
        <v>0</v>
      </c>
      <c r="C547">
        <v>51.73</v>
      </c>
      <c r="D547">
        <v>50</v>
      </c>
      <c r="E547">
        <v>1.0346</v>
      </c>
      <c r="F547">
        <v>0.03556930214575682</v>
      </c>
      <c r="G547">
        <v>-0.006779887863187617</v>
      </c>
      <c r="H547">
        <v>0.03</v>
      </c>
      <c r="I547">
        <v>0.05536549963055903</v>
      </c>
      <c r="J547" t="s">
        <v>524</v>
      </c>
      <c r="K547" t="s">
        <v>346</v>
      </c>
      <c r="L547">
        <v>4.18</v>
      </c>
      <c r="M547">
        <v>1.84</v>
      </c>
      <c r="N547">
        <v>0.4401913875598087</v>
      </c>
      <c r="O547">
        <v>1</v>
      </c>
      <c r="P547">
        <v>0.01984845658885503</v>
      </c>
      <c r="Q547">
        <v>0.296893685871345</v>
      </c>
      <c r="R547" t="s">
        <v>780</v>
      </c>
      <c r="S547" t="s">
        <v>788</v>
      </c>
      <c r="T547">
        <v>2958.727956</v>
      </c>
      <c r="U547" s="2">
        <v>44511</v>
      </c>
      <c r="V547" t="s">
        <v>797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75.53</v>
      </c>
      <c r="D548">
        <v>55</v>
      </c>
      <c r="E548">
        <v>1.373272727272727</v>
      </c>
      <c r="F548">
        <v>0.01376936316695353</v>
      </c>
      <c r="G548">
        <v>-0.06146895922140516</v>
      </c>
      <c r="H548">
        <v>0.09</v>
      </c>
      <c r="I548">
        <v>0.05446391429208552</v>
      </c>
      <c r="J548" t="s">
        <v>524</v>
      </c>
      <c r="K548" t="s">
        <v>778</v>
      </c>
      <c r="L548">
        <v>2.88</v>
      </c>
      <c r="M548">
        <v>1.04</v>
      </c>
      <c r="N548">
        <v>0.3611111111111112</v>
      </c>
      <c r="O548">
        <v>0</v>
      </c>
      <c r="P548">
        <v>0.3463094632638744</v>
      </c>
      <c r="Q548">
        <v>0.126379613514167</v>
      </c>
      <c r="R548" t="s">
        <v>780</v>
      </c>
      <c r="S548" t="s">
        <v>788</v>
      </c>
      <c r="T548">
        <v>90014.603611</v>
      </c>
      <c r="U548" s="2">
        <v>44526</v>
      </c>
      <c r="V548" t="s">
        <v>804</v>
      </c>
    </row>
    <row r="549" spans="1:22">
      <c r="A549" s="1" t="s">
        <v>569</v>
      </c>
      <c r="B549">
        <f>HYPERLINK("https://www.suredividend.com/sure-analysis-NTAP/","Netapp Inc")</f>
        <v>0</v>
      </c>
      <c r="C549">
        <v>91.69</v>
      </c>
      <c r="D549">
        <v>80</v>
      </c>
      <c r="E549">
        <v>1.146125</v>
      </c>
      <c r="F549">
        <v>0.02181262951248773</v>
      </c>
      <c r="G549">
        <v>-0.02690867059706359</v>
      </c>
      <c r="H549">
        <v>0.06</v>
      </c>
      <c r="I549">
        <v>0.05355822588928727</v>
      </c>
      <c r="J549" t="s">
        <v>524</v>
      </c>
      <c r="K549" t="s">
        <v>524</v>
      </c>
      <c r="L549">
        <v>5</v>
      </c>
      <c r="M549">
        <v>2</v>
      </c>
      <c r="N549">
        <v>0.4</v>
      </c>
      <c r="O549">
        <v>7</v>
      </c>
      <c r="P549">
        <v>0.0602809527753625</v>
      </c>
      <c r="Q549">
        <v>0.460620614846351</v>
      </c>
      <c r="R549" t="s">
        <v>780</v>
      </c>
      <c r="S549" t="s">
        <v>787</v>
      </c>
      <c r="T549">
        <v>20711.839906</v>
      </c>
      <c r="U549" s="2">
        <v>44546</v>
      </c>
      <c r="V549" t="s">
        <v>802</v>
      </c>
    </row>
    <row r="550" spans="1:22">
      <c r="A550" s="1" t="s">
        <v>570</v>
      </c>
      <c r="B550">
        <f>HYPERLINK("https://www.suredividend.com/sure-analysis-NSP/","Insperity Inc")</f>
        <v>0</v>
      </c>
      <c r="C550">
        <v>117.43</v>
      </c>
      <c r="D550">
        <v>96</v>
      </c>
      <c r="E550">
        <v>1.223229166666667</v>
      </c>
      <c r="F550">
        <v>0.01532828067785063</v>
      </c>
      <c r="G550">
        <v>-0.03949764409068768</v>
      </c>
      <c r="H550">
        <v>0.08</v>
      </c>
      <c r="I550">
        <v>0.05227790981197011</v>
      </c>
      <c r="J550" t="s">
        <v>524</v>
      </c>
      <c r="K550" t="s">
        <v>778</v>
      </c>
      <c r="L550">
        <v>4.36</v>
      </c>
      <c r="M550">
        <v>1.8</v>
      </c>
      <c r="N550">
        <v>0.4128440366972477</v>
      </c>
      <c r="O550">
        <v>14</v>
      </c>
      <c r="P550">
        <v>0.05024607263868264</v>
      </c>
      <c r="Q550">
        <v>0.4968055747118431</v>
      </c>
      <c r="R550" t="s">
        <v>780</v>
      </c>
      <c r="S550" t="s">
        <v>789</v>
      </c>
      <c r="T550">
        <v>4554.371534</v>
      </c>
      <c r="U550" s="2">
        <v>44502</v>
      </c>
      <c r="V550" t="s">
        <v>802</v>
      </c>
    </row>
    <row r="551" spans="1:22">
      <c r="A551" s="1" t="s">
        <v>571</v>
      </c>
      <c r="B551">
        <f>HYPERLINK("https://www.suredividend.com/sure-analysis-INVH/","Invitation Homes Inc")</f>
        <v>0</v>
      </c>
      <c r="C551">
        <v>45.16</v>
      </c>
      <c r="D551">
        <v>35</v>
      </c>
      <c r="E551">
        <v>1.290285714285714</v>
      </c>
      <c r="F551">
        <v>0.01505757307351639</v>
      </c>
      <c r="G551">
        <v>-0.04969542029706775</v>
      </c>
      <c r="H551">
        <v>0.09</v>
      </c>
      <c r="I551">
        <v>0.0521046897138262</v>
      </c>
      <c r="J551" t="s">
        <v>524</v>
      </c>
      <c r="K551" t="s">
        <v>778</v>
      </c>
      <c r="L551">
        <v>1.28</v>
      </c>
      <c r="M551">
        <v>0.68</v>
      </c>
      <c r="N551">
        <v>0.53125</v>
      </c>
      <c r="O551">
        <v>4</v>
      </c>
      <c r="P551">
        <v>0.08447177119769855</v>
      </c>
      <c r="Q551">
        <v>0.581383299023932</v>
      </c>
      <c r="R551" t="s">
        <v>782</v>
      </c>
      <c r="S551" t="s">
        <v>794</v>
      </c>
      <c r="T551">
        <v>26956.041005</v>
      </c>
      <c r="U551" s="2">
        <v>44500</v>
      </c>
      <c r="V551" t="s">
        <v>795</v>
      </c>
    </row>
    <row r="552" spans="1:22">
      <c r="A552" s="1" t="s">
        <v>572</v>
      </c>
      <c r="B552">
        <f>HYPERLINK("https://www.suredividend.com/sure-analysis-SBS/","Companhia de Saneamento Basico do Estado de Sao Paulo.")</f>
        <v>0</v>
      </c>
      <c r="C552">
        <v>7.25</v>
      </c>
      <c r="D552">
        <v>6.6</v>
      </c>
      <c r="E552">
        <v>1.098484848484849</v>
      </c>
      <c r="F552">
        <v>0.02206896551724138</v>
      </c>
      <c r="G552">
        <v>-0.01861100009814509</v>
      </c>
      <c r="H552">
        <v>0.05</v>
      </c>
      <c r="I552">
        <v>0.05196371746150574</v>
      </c>
      <c r="J552" t="s">
        <v>524</v>
      </c>
      <c r="K552" t="s">
        <v>524</v>
      </c>
      <c r="L552">
        <v>0.57</v>
      </c>
      <c r="M552">
        <v>0.16</v>
      </c>
      <c r="N552">
        <v>0.280701754385965</v>
      </c>
      <c r="O552">
        <v>0</v>
      </c>
      <c r="P552">
        <v>0.04563955259127317</v>
      </c>
      <c r="Q552">
        <v>-0.173631107053398</v>
      </c>
      <c r="R552" t="s">
        <v>780</v>
      </c>
      <c r="S552" t="s">
        <v>792</v>
      </c>
      <c r="T552">
        <v>4825.579675</v>
      </c>
      <c r="U552" s="2">
        <v>44513</v>
      </c>
      <c r="V552" t="s">
        <v>795</v>
      </c>
    </row>
    <row r="553" spans="1:22">
      <c r="A553" s="1" t="s">
        <v>573</v>
      </c>
      <c r="B553">
        <f>HYPERLINK("https://www.suredividend.com/sure-analysis-BXP/","Boston Properties, Inc.")</f>
        <v>0</v>
      </c>
      <c r="C553">
        <v>115.72</v>
      </c>
      <c r="D553">
        <v>103</v>
      </c>
      <c r="E553">
        <v>1.123495145631068</v>
      </c>
      <c r="F553">
        <v>0.03387487037677152</v>
      </c>
      <c r="G553">
        <v>-0.02301980499253187</v>
      </c>
      <c r="H553">
        <v>0.044</v>
      </c>
      <c r="I553">
        <v>0.05035307750809404</v>
      </c>
      <c r="J553" t="s">
        <v>524</v>
      </c>
      <c r="K553" t="s">
        <v>524</v>
      </c>
      <c r="L553">
        <v>6.45</v>
      </c>
      <c r="M553">
        <v>3.92</v>
      </c>
      <c r="N553">
        <v>0.6077519379844961</v>
      </c>
      <c r="O553">
        <v>5</v>
      </c>
      <c r="P553">
        <v>0.01000199077119301</v>
      </c>
      <c r="Q553">
        <v>0.285963989002882</v>
      </c>
      <c r="R553" t="s">
        <v>782</v>
      </c>
      <c r="S553" t="s">
        <v>794</v>
      </c>
      <c r="T553">
        <v>18054.398588</v>
      </c>
      <c r="U553" s="2">
        <v>44503</v>
      </c>
      <c r="V553" t="s">
        <v>805</v>
      </c>
    </row>
    <row r="554" spans="1:22">
      <c r="A554" s="1" t="s">
        <v>574</v>
      </c>
      <c r="B554">
        <f>HYPERLINK("https://www.suredividend.com/sure-analysis-MPW/","Medical Properties Trust Inc")</f>
        <v>0</v>
      </c>
      <c r="C554">
        <v>23.46</v>
      </c>
      <c r="D554">
        <v>21.9</v>
      </c>
      <c r="E554">
        <v>1.071232876712329</v>
      </c>
      <c r="F554">
        <v>0.04774083546462064</v>
      </c>
      <c r="G554">
        <v>-0.01366777730749513</v>
      </c>
      <c r="H554">
        <v>0.014</v>
      </c>
      <c r="I554">
        <v>0.04905024437551031</v>
      </c>
      <c r="J554" t="s">
        <v>524</v>
      </c>
      <c r="K554" t="s">
        <v>346</v>
      </c>
      <c r="L554">
        <v>1.75</v>
      </c>
      <c r="M554">
        <v>1.12</v>
      </c>
      <c r="N554">
        <v>0.64</v>
      </c>
      <c r="O554">
        <v>9</v>
      </c>
      <c r="P554">
        <v>0.04111932758460823</v>
      </c>
      <c r="Q554">
        <v>0.134177854630943</v>
      </c>
      <c r="R554" t="s">
        <v>782</v>
      </c>
      <c r="S554" t="s">
        <v>794</v>
      </c>
      <c r="T554">
        <v>13923.605</v>
      </c>
      <c r="U554" s="2">
        <v>44503</v>
      </c>
      <c r="V554" t="s">
        <v>805</v>
      </c>
    </row>
    <row r="555" spans="1:22">
      <c r="A555" s="1" t="s">
        <v>575</v>
      </c>
      <c r="B555">
        <f>HYPERLINK("https://www.suredividend.com/sure-analysis-UE/","Urban Edge Properties")</f>
        <v>0</v>
      </c>
      <c r="C555">
        <v>18.86</v>
      </c>
      <c r="D555">
        <v>18</v>
      </c>
      <c r="E555">
        <v>1.047777777777778</v>
      </c>
      <c r="F555">
        <v>0.03181336161187698</v>
      </c>
      <c r="G555">
        <v>-0.009290874480263001</v>
      </c>
      <c r="H555">
        <v>0.03</v>
      </c>
      <c r="I555">
        <v>0.04900071575945941</v>
      </c>
      <c r="J555" t="s">
        <v>524</v>
      </c>
      <c r="K555" t="s">
        <v>524</v>
      </c>
      <c r="L555">
        <v>1.08</v>
      </c>
      <c r="M555">
        <v>0.6</v>
      </c>
      <c r="N555">
        <v>0.5555555555555555</v>
      </c>
      <c r="O555">
        <v>0</v>
      </c>
      <c r="P555">
        <v>0.009805797673485328</v>
      </c>
      <c r="Q555">
        <v>0.477906444019652</v>
      </c>
      <c r="R555" t="s">
        <v>782</v>
      </c>
      <c r="S555" t="s">
        <v>794</v>
      </c>
      <c r="T555">
        <v>2191.648013</v>
      </c>
      <c r="U555" s="2">
        <v>44512</v>
      </c>
      <c r="V555" t="s">
        <v>802</v>
      </c>
    </row>
    <row r="556" spans="1:22">
      <c r="A556" s="1" t="s">
        <v>576</v>
      </c>
      <c r="B556">
        <f>HYPERLINK("https://www.suredividend.com/sure-analysis-DEA/","Easterly Government Properties Inc")</f>
        <v>0</v>
      </c>
      <c r="C556">
        <v>22.93</v>
      </c>
      <c r="D556">
        <v>20.8</v>
      </c>
      <c r="E556">
        <v>1.102403846153846</v>
      </c>
      <c r="F556">
        <v>0.04622764936764065</v>
      </c>
      <c r="G556">
        <v>-0.01930975345298558</v>
      </c>
      <c r="H556">
        <v>0.021</v>
      </c>
      <c r="I556">
        <v>0.0486543941345976</v>
      </c>
      <c r="J556" t="s">
        <v>524</v>
      </c>
      <c r="K556" t="s">
        <v>777</v>
      </c>
      <c r="L556">
        <v>1.31</v>
      </c>
      <c r="M556">
        <v>1.06</v>
      </c>
      <c r="N556">
        <v>0.8091603053435115</v>
      </c>
      <c r="O556">
        <v>1</v>
      </c>
      <c r="P556">
        <v>0.04166362161741732</v>
      </c>
      <c r="Q556">
        <v>0.071783244954936</v>
      </c>
      <c r="R556" t="s">
        <v>782</v>
      </c>
      <c r="S556" t="s">
        <v>794</v>
      </c>
      <c r="T556">
        <v>1970.838309</v>
      </c>
      <c r="U556" s="2">
        <v>44506</v>
      </c>
      <c r="V556" t="s">
        <v>805</v>
      </c>
    </row>
    <row r="557" spans="1:22">
      <c r="A557" s="1" t="s">
        <v>577</v>
      </c>
      <c r="B557">
        <f>HYPERLINK("https://www.suredividend.com/sure-analysis-RPT/","RPT Realty")</f>
        <v>0</v>
      </c>
      <c r="C557">
        <v>13.24</v>
      </c>
      <c r="D557">
        <v>11.96</v>
      </c>
      <c r="E557">
        <v>1.107023411371237</v>
      </c>
      <c r="F557">
        <v>0.03625377643504531</v>
      </c>
      <c r="G557">
        <v>-0.02012959944800874</v>
      </c>
      <c r="H557">
        <v>0.025</v>
      </c>
      <c r="I557">
        <v>0.04811749215585781</v>
      </c>
      <c r="J557" t="s">
        <v>524</v>
      </c>
      <c r="K557" t="s">
        <v>524</v>
      </c>
      <c r="L557">
        <v>0.92</v>
      </c>
      <c r="M557">
        <v>0.48</v>
      </c>
      <c r="N557">
        <v>0.5217391304347826</v>
      </c>
      <c r="O557">
        <v>1</v>
      </c>
      <c r="P557">
        <v>0.09913211517808418</v>
      </c>
      <c r="Q557">
        <v>0.5976646721093041</v>
      </c>
      <c r="R557" t="s">
        <v>782</v>
      </c>
      <c r="S557" t="s">
        <v>794</v>
      </c>
      <c r="T557">
        <v>1111.780866</v>
      </c>
      <c r="U557" s="2">
        <v>44535</v>
      </c>
      <c r="V557" t="s">
        <v>795</v>
      </c>
    </row>
    <row r="558" spans="1:22">
      <c r="A558" s="1" t="s">
        <v>578</v>
      </c>
      <c r="B558">
        <f>HYPERLINK("https://www.suredividend.com/sure-analysis-ALV/","Autoliv Inc.")</f>
        <v>0</v>
      </c>
      <c r="C558">
        <v>103.09</v>
      </c>
      <c r="D558">
        <v>71</v>
      </c>
      <c r="E558">
        <v>1.451971830985916</v>
      </c>
      <c r="F558">
        <v>0.02483267048210301</v>
      </c>
      <c r="G558">
        <v>-0.07187095914129704</v>
      </c>
      <c r="H558">
        <v>0.1</v>
      </c>
      <c r="I558">
        <v>0.0473245632299073</v>
      </c>
      <c r="J558" t="s">
        <v>524</v>
      </c>
      <c r="K558" t="s">
        <v>524</v>
      </c>
      <c r="L558">
        <v>5.1</v>
      </c>
      <c r="M558">
        <v>2.56</v>
      </c>
      <c r="N558">
        <v>0.5019607843137255</v>
      </c>
      <c r="O558">
        <v>1</v>
      </c>
      <c r="P558">
        <v>0.06576275663547415</v>
      </c>
      <c r="Q558">
        <v>0.122953898053444</v>
      </c>
      <c r="R558" t="s">
        <v>780</v>
      </c>
      <c r="S558" t="s">
        <v>788</v>
      </c>
      <c r="T558">
        <v>8944.888663</v>
      </c>
      <c r="U558" s="2">
        <v>44493</v>
      </c>
      <c r="V558" t="s">
        <v>800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24.17</v>
      </c>
      <c r="D559">
        <v>19</v>
      </c>
      <c r="E559">
        <v>1.272105263157895</v>
      </c>
      <c r="F559">
        <v>0.02606537029375259</v>
      </c>
      <c r="G559">
        <v>-0.0469945371804511</v>
      </c>
      <c r="H559">
        <v>0.07000000000000001</v>
      </c>
      <c r="I559">
        <v>0.04560323196896565</v>
      </c>
      <c r="J559" t="s">
        <v>524</v>
      </c>
      <c r="K559" t="s">
        <v>524</v>
      </c>
      <c r="L559">
        <v>1.54</v>
      </c>
      <c r="M559">
        <v>0.63</v>
      </c>
      <c r="N559">
        <v>0.4090909090909091</v>
      </c>
      <c r="O559">
        <v>11</v>
      </c>
      <c r="P559">
        <v>0.04095039696925684</v>
      </c>
      <c r="Q559">
        <v>0.045150685413159</v>
      </c>
      <c r="R559" t="s">
        <v>780</v>
      </c>
      <c r="S559" t="s">
        <v>793</v>
      </c>
      <c r="T559">
        <v>15854.454854</v>
      </c>
      <c r="U559" s="2">
        <v>44513</v>
      </c>
      <c r="V559" t="s">
        <v>802</v>
      </c>
    </row>
    <row r="560" spans="1:22">
      <c r="A560" s="1" t="s">
        <v>580</v>
      </c>
      <c r="B560">
        <f>HYPERLINK("https://www.suredividend.com/sure-analysis-WPP/","WPP Plc.")</f>
        <v>0</v>
      </c>
      <c r="C560">
        <v>75.7</v>
      </c>
      <c r="D560">
        <v>72</v>
      </c>
      <c r="E560">
        <v>1.051388888888889</v>
      </c>
      <c r="F560">
        <v>0.02272126816380449</v>
      </c>
      <c r="G560">
        <v>-0.009972351321570039</v>
      </c>
      <c r="H560">
        <v>0.03</v>
      </c>
      <c r="I560">
        <v>0.04235675494616076</v>
      </c>
      <c r="J560" t="s">
        <v>524</v>
      </c>
      <c r="K560" t="s">
        <v>524</v>
      </c>
      <c r="L560">
        <v>5.15</v>
      </c>
      <c r="M560">
        <v>1.72</v>
      </c>
      <c r="N560">
        <v>0.3339805825242718</v>
      </c>
      <c r="O560">
        <v>0</v>
      </c>
      <c r="P560">
        <v>0.03973716477033884</v>
      </c>
      <c r="Q560">
        <v>0.421498580366903</v>
      </c>
      <c r="R560" t="s">
        <v>780</v>
      </c>
      <c r="S560" t="s">
        <v>784</v>
      </c>
      <c r="T560">
        <v>17618.094329</v>
      </c>
      <c r="U560" s="2">
        <v>44526</v>
      </c>
      <c r="V560" t="s">
        <v>800</v>
      </c>
    </row>
    <row r="561" spans="1:22">
      <c r="A561" s="1" t="s">
        <v>581</v>
      </c>
      <c r="B561">
        <f>HYPERLINK("https://www.suredividend.com/sure-analysis-MPWR/","Monolithic Power System Inc")</f>
        <v>0</v>
      </c>
      <c r="C561">
        <v>491.5</v>
      </c>
      <c r="D561">
        <v>266</v>
      </c>
      <c r="E561">
        <v>1.847744360902256</v>
      </c>
      <c r="F561">
        <v>0.004883011190233977</v>
      </c>
      <c r="G561">
        <v>-0.1155533874975835</v>
      </c>
      <c r="H561">
        <v>0.17</v>
      </c>
      <c r="I561">
        <v>0.04229713620656561</v>
      </c>
      <c r="J561" t="s">
        <v>524</v>
      </c>
      <c r="K561" t="s">
        <v>778</v>
      </c>
      <c r="L561">
        <v>7.2</v>
      </c>
      <c r="M561">
        <v>2.4</v>
      </c>
      <c r="N561">
        <v>0.3333333333333333</v>
      </c>
      <c r="O561">
        <v>4</v>
      </c>
      <c r="P561">
        <v>0.1999209000665154</v>
      </c>
      <c r="Q561">
        <v>0.423450948757822</v>
      </c>
      <c r="R561" t="s">
        <v>780</v>
      </c>
      <c r="S561" t="s">
        <v>787</v>
      </c>
      <c r="T561">
        <v>22969.06376</v>
      </c>
      <c r="U561" s="2">
        <v>44500</v>
      </c>
      <c r="V561" t="s">
        <v>795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73.04000000000001</v>
      </c>
      <c r="D562">
        <v>60</v>
      </c>
      <c r="E562">
        <v>1.217333333333333</v>
      </c>
      <c r="F562">
        <v>0.0287513691128149</v>
      </c>
      <c r="G562">
        <v>-0.03856905327676197</v>
      </c>
      <c r="H562">
        <v>0.05</v>
      </c>
      <c r="I562">
        <v>0.03975656172767872</v>
      </c>
      <c r="J562" t="s">
        <v>524</v>
      </c>
      <c r="K562" t="s">
        <v>524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0.569476273528669</v>
      </c>
      <c r="R562" t="s">
        <v>780</v>
      </c>
      <c r="S562" t="s">
        <v>789</v>
      </c>
      <c r="T562">
        <v>17950.98629</v>
      </c>
      <c r="U562" s="2">
        <v>44522</v>
      </c>
      <c r="V562" t="s">
        <v>800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28.24</v>
      </c>
      <c r="D563">
        <v>25</v>
      </c>
      <c r="E563">
        <v>1.1296</v>
      </c>
      <c r="F563">
        <v>0.03541076487252125</v>
      </c>
      <c r="G563">
        <v>-0.02407810125768017</v>
      </c>
      <c r="H563">
        <v>0.029</v>
      </c>
      <c r="I563">
        <v>0.03954420148169846</v>
      </c>
      <c r="J563" t="s">
        <v>524</v>
      </c>
      <c r="K563" t="s">
        <v>346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0.030999498768873</v>
      </c>
      <c r="R563" t="s">
        <v>780</v>
      </c>
      <c r="S563" t="s">
        <v>788</v>
      </c>
      <c r="T563">
        <v>51046.053157</v>
      </c>
      <c r="U563" s="2">
        <v>44507</v>
      </c>
      <c r="V563" t="s">
        <v>796</v>
      </c>
    </row>
    <row r="564" spans="1:22">
      <c r="A564" s="1" t="s">
        <v>584</v>
      </c>
      <c r="B564">
        <f>HYPERLINK("https://www.suredividend.com/sure-analysis-MAC/","Macerich Co.")</f>
        <v>0</v>
      </c>
      <c r="C564">
        <v>17.54</v>
      </c>
      <c r="D564">
        <v>15</v>
      </c>
      <c r="E564">
        <v>1.169333333333333</v>
      </c>
      <c r="F564">
        <v>0.03420752565564424</v>
      </c>
      <c r="G564">
        <v>-0.03080239113808847</v>
      </c>
      <c r="H564">
        <v>0.03</v>
      </c>
      <c r="I564">
        <v>0.03849690566299335</v>
      </c>
      <c r="J564" t="s">
        <v>524</v>
      </c>
      <c r="K564" t="s">
        <v>346</v>
      </c>
      <c r="L564">
        <v>1.93</v>
      </c>
      <c r="M564">
        <v>0.6</v>
      </c>
      <c r="N564">
        <v>0.310880829015544</v>
      </c>
      <c r="O564">
        <v>0</v>
      </c>
      <c r="P564">
        <v>0.0796084730466029</v>
      </c>
      <c r="Q564">
        <v>0.687656445556946</v>
      </c>
      <c r="R564" t="s">
        <v>782</v>
      </c>
      <c r="S564" t="s">
        <v>794</v>
      </c>
      <c r="T564">
        <v>3677.030012</v>
      </c>
      <c r="U564" s="2">
        <v>44509</v>
      </c>
      <c r="V564" t="s">
        <v>803</v>
      </c>
    </row>
    <row r="565" spans="1:22">
      <c r="A565" s="1" t="s">
        <v>585</v>
      </c>
      <c r="B565">
        <f>HYPERLINK("https://www.suredividend.com/sure-analysis-CAJ/","Canon Inc")</f>
        <v>0</v>
      </c>
      <c r="C565">
        <v>24.41</v>
      </c>
      <c r="D565">
        <v>22</v>
      </c>
      <c r="E565">
        <v>1.109545454545455</v>
      </c>
      <c r="F565">
        <v>0.03154444899631299</v>
      </c>
      <c r="G565">
        <v>-0.0205754622902089</v>
      </c>
      <c r="H565">
        <v>0.03</v>
      </c>
      <c r="I565">
        <v>0.03757617246243883</v>
      </c>
      <c r="J565" t="s">
        <v>524</v>
      </c>
      <c r="K565" t="s">
        <v>524</v>
      </c>
      <c r="L565">
        <v>1.8</v>
      </c>
      <c r="M565">
        <v>0.77</v>
      </c>
      <c r="N565">
        <v>0.4277777777777778</v>
      </c>
      <c r="O565">
        <v>0</v>
      </c>
      <c r="P565">
        <v>0</v>
      </c>
      <c r="Q565">
        <v>0.288980419624282</v>
      </c>
      <c r="R565" t="s">
        <v>780</v>
      </c>
      <c r="S565" t="s">
        <v>787</v>
      </c>
      <c r="T565">
        <v>32890.607022</v>
      </c>
      <c r="U565" s="2">
        <v>44505</v>
      </c>
      <c r="V565" t="s">
        <v>797</v>
      </c>
    </row>
    <row r="566" spans="1:22">
      <c r="A566" s="1" t="s">
        <v>586</v>
      </c>
      <c r="B566">
        <f>HYPERLINK("https://www.suredividend.com/sure-analysis-SKT/","Tanger Factory Outlet Centers, Inc.")</f>
        <v>0</v>
      </c>
      <c r="C566">
        <v>19.35</v>
      </c>
      <c r="D566">
        <v>18</v>
      </c>
      <c r="E566">
        <v>1.075</v>
      </c>
      <c r="F566">
        <v>0.03772609819121447</v>
      </c>
      <c r="G566">
        <v>-0.01436002927853708</v>
      </c>
      <c r="H566">
        <v>0.015</v>
      </c>
      <c r="I566">
        <v>0.0366030608936454</v>
      </c>
      <c r="J566" t="s">
        <v>524</v>
      </c>
      <c r="K566" t="s">
        <v>346</v>
      </c>
      <c r="L566">
        <v>1.69</v>
      </c>
      <c r="M566">
        <v>0.73</v>
      </c>
      <c r="N566">
        <v>0.4319526627218935</v>
      </c>
      <c r="O566">
        <v>1</v>
      </c>
      <c r="P566">
        <v>0.01072631497080168</v>
      </c>
      <c r="Q566">
        <v>0.9880776481377691</v>
      </c>
      <c r="R566" t="s">
        <v>782</v>
      </c>
      <c r="S566" t="s">
        <v>794</v>
      </c>
      <c r="T566">
        <v>2028.738258</v>
      </c>
      <c r="U566" s="2">
        <v>44511</v>
      </c>
      <c r="V566" t="s">
        <v>802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23.38</v>
      </c>
      <c r="D567">
        <v>15</v>
      </c>
      <c r="E567">
        <v>1.558666666666667</v>
      </c>
      <c r="F567">
        <v>0.04491017964071857</v>
      </c>
      <c r="G567">
        <v>-0.0849404656760685</v>
      </c>
      <c r="H567">
        <v>0.08</v>
      </c>
      <c r="I567">
        <v>0.0351610822740156</v>
      </c>
      <c r="J567" t="s">
        <v>524</v>
      </c>
      <c r="K567" t="s">
        <v>346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0.224125718183487</v>
      </c>
      <c r="R567" t="s">
        <v>780</v>
      </c>
      <c r="S567" t="s">
        <v>784</v>
      </c>
      <c r="T567">
        <v>31747.109734</v>
      </c>
      <c r="U567" s="2">
        <v>44522</v>
      </c>
      <c r="V567" t="s">
        <v>803</v>
      </c>
    </row>
    <row r="568" spans="1:22">
      <c r="A568" s="1" t="s">
        <v>588</v>
      </c>
      <c r="B568">
        <f>HYPERLINK("https://www.suredividend.com/sure-analysis-DOC/","Physicians Realty Trust")</f>
        <v>0</v>
      </c>
      <c r="C568">
        <v>18.9</v>
      </c>
      <c r="D568">
        <v>16</v>
      </c>
      <c r="E568">
        <v>1.18125</v>
      </c>
      <c r="F568">
        <v>0.04867724867724868</v>
      </c>
      <c r="G568">
        <v>-0.03276581882233354</v>
      </c>
      <c r="H568">
        <v>0.017</v>
      </c>
      <c r="I568">
        <v>0.03090806509740873</v>
      </c>
      <c r="J568" t="s">
        <v>524</v>
      </c>
      <c r="K568" t="s">
        <v>777</v>
      </c>
      <c r="L568">
        <v>1.06</v>
      </c>
      <c r="M568">
        <v>0.92</v>
      </c>
      <c r="N568">
        <v>0.8679245283018868</v>
      </c>
      <c r="O568">
        <v>0</v>
      </c>
      <c r="P568">
        <v>0</v>
      </c>
      <c r="Q568">
        <v>0.110044578448057</v>
      </c>
      <c r="R568" t="s">
        <v>782</v>
      </c>
      <c r="S568" t="s">
        <v>794</v>
      </c>
      <c r="T568">
        <v>4152.456773</v>
      </c>
      <c r="U568" s="2">
        <v>44506</v>
      </c>
      <c r="V568" t="s">
        <v>796</v>
      </c>
    </row>
    <row r="569" spans="1:22">
      <c r="A569" s="1" t="s">
        <v>589</v>
      </c>
      <c r="B569">
        <f>HYPERLINK("https://www.suredividend.com/sure-analysis-JNPR/","Juniper Networks Inc")</f>
        <v>0</v>
      </c>
      <c r="C569">
        <v>35.38</v>
      </c>
      <c r="D569">
        <v>26</v>
      </c>
      <c r="E569">
        <v>1.360769230769231</v>
      </c>
      <c r="F569">
        <v>0.02261164499717355</v>
      </c>
      <c r="G569">
        <v>-0.05975051573670587</v>
      </c>
      <c r="H569">
        <v>0.07000000000000001</v>
      </c>
      <c r="I569">
        <v>0.03045098458449469</v>
      </c>
      <c r="J569" t="s">
        <v>524</v>
      </c>
      <c r="K569" t="s">
        <v>524</v>
      </c>
      <c r="L569">
        <v>1.8</v>
      </c>
      <c r="M569">
        <v>0.8</v>
      </c>
      <c r="N569">
        <v>0.4444444444444445</v>
      </c>
      <c r="O569">
        <v>3</v>
      </c>
      <c r="P569">
        <v>0.04978904632428516</v>
      </c>
      <c r="Q569">
        <v>0.659699054848483</v>
      </c>
      <c r="R569" t="s">
        <v>780</v>
      </c>
      <c r="S569" t="s">
        <v>787</v>
      </c>
      <c r="T569">
        <v>11631.728412</v>
      </c>
      <c r="U569" s="2">
        <v>44498</v>
      </c>
      <c r="V569" t="s">
        <v>802</v>
      </c>
    </row>
    <row r="570" spans="1:22">
      <c r="A570" s="1" t="s">
        <v>590</v>
      </c>
      <c r="B570">
        <f>HYPERLINK("https://www.suredividend.com/sure-analysis-TSM/","Taiwan Semiconductor Manufacturing")</f>
        <v>0</v>
      </c>
      <c r="C570">
        <v>120.42</v>
      </c>
      <c r="D570">
        <v>72</v>
      </c>
      <c r="E570">
        <v>1.6725</v>
      </c>
      <c r="F570">
        <v>0.01660853678790898</v>
      </c>
      <c r="G570">
        <v>-0.09775024103137275</v>
      </c>
      <c r="H570">
        <v>0.12</v>
      </c>
      <c r="I570">
        <v>0.02994735809892646</v>
      </c>
      <c r="J570" t="s">
        <v>524</v>
      </c>
      <c r="K570" t="s">
        <v>778</v>
      </c>
      <c r="L570">
        <v>4.05</v>
      </c>
      <c r="M570">
        <v>2</v>
      </c>
      <c r="N570">
        <v>0.4938271604938272</v>
      </c>
      <c r="O570">
        <v>7</v>
      </c>
      <c r="P570">
        <v>0.08009875865888949</v>
      </c>
      <c r="Q570">
        <v>0.168490317439388</v>
      </c>
      <c r="R570" t="s">
        <v>780</v>
      </c>
      <c r="S570" t="s">
        <v>787</v>
      </c>
      <c r="T570">
        <v>629641.49833</v>
      </c>
      <c r="U570" s="2">
        <v>44490</v>
      </c>
      <c r="V570" t="s">
        <v>803</v>
      </c>
    </row>
    <row r="571" spans="1:22">
      <c r="A571" s="1" t="s">
        <v>591</v>
      </c>
      <c r="B571">
        <f>HYPERLINK("https://www.suredividend.com/sure-analysis-UBS/","UBS Group AG")</f>
        <v>0</v>
      </c>
      <c r="C571">
        <v>17.92</v>
      </c>
      <c r="D571">
        <v>16</v>
      </c>
      <c r="E571">
        <v>1.12</v>
      </c>
      <c r="F571">
        <v>0.02064732142857143</v>
      </c>
      <c r="G571">
        <v>-0.02241079899542509</v>
      </c>
      <c r="H571">
        <v>0.02</v>
      </c>
      <c r="I571">
        <v>0.01962756263669774</v>
      </c>
      <c r="J571" t="s">
        <v>524</v>
      </c>
      <c r="K571" t="s">
        <v>524</v>
      </c>
      <c r="L571">
        <v>1.35</v>
      </c>
      <c r="M571">
        <v>0.37</v>
      </c>
      <c r="N571">
        <v>0.274074074074074</v>
      </c>
      <c r="O571">
        <v>0</v>
      </c>
      <c r="P571">
        <v>0.03992533304330625</v>
      </c>
      <c r="Q571">
        <v>0.293319759689144</v>
      </c>
      <c r="R571" t="s">
        <v>780</v>
      </c>
      <c r="S571" t="s">
        <v>789</v>
      </c>
      <c r="T571">
        <v>66791.71083</v>
      </c>
      <c r="U571" s="2">
        <v>44498</v>
      </c>
      <c r="V571" t="s">
        <v>803</v>
      </c>
    </row>
    <row r="572" spans="1:22">
      <c r="A572" s="1" t="s">
        <v>592</v>
      </c>
      <c r="B572">
        <f>HYPERLINK("https://www.suredividend.com/sure-analysis-CCI/","Crown Castle International Corp")</f>
        <v>0</v>
      </c>
      <c r="C572">
        <v>207.92</v>
      </c>
      <c r="D572">
        <v>152</v>
      </c>
      <c r="E572">
        <v>1.367894736842105</v>
      </c>
      <c r="F572">
        <v>0.02828010773374375</v>
      </c>
      <c r="G572">
        <v>-0.06073213470274186</v>
      </c>
      <c r="H572">
        <v>0.05</v>
      </c>
      <c r="I572">
        <v>0.01869638376049143</v>
      </c>
      <c r="J572" t="s">
        <v>524</v>
      </c>
      <c r="K572" t="s">
        <v>524</v>
      </c>
      <c r="L572">
        <v>6.35</v>
      </c>
      <c r="M572">
        <v>5.88</v>
      </c>
      <c r="N572">
        <v>0.925984251968504</v>
      </c>
      <c r="O572">
        <v>7</v>
      </c>
      <c r="P572">
        <v>0.04987304960985517</v>
      </c>
      <c r="Q572">
        <v>0.370573981573614</v>
      </c>
      <c r="R572" t="s">
        <v>782</v>
      </c>
      <c r="S572" t="s">
        <v>794</v>
      </c>
      <c r="T572">
        <v>89595.73331</v>
      </c>
      <c r="U572" s="2">
        <v>44493</v>
      </c>
      <c r="V572" t="s">
        <v>800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110</v>
      </c>
      <c r="D573">
        <v>50</v>
      </c>
      <c r="E573">
        <v>2.2</v>
      </c>
      <c r="F573">
        <v>0.02654545454545455</v>
      </c>
      <c r="G573">
        <v>-0.1458867408852547</v>
      </c>
      <c r="H573">
        <v>0.15</v>
      </c>
      <c r="I573">
        <v>0.01688977788908508</v>
      </c>
      <c r="J573" t="s">
        <v>524</v>
      </c>
      <c r="K573" t="s">
        <v>524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-0.015805440855855</v>
      </c>
      <c r="R573" t="s">
        <v>780</v>
      </c>
      <c r="S573" t="s">
        <v>789</v>
      </c>
      <c r="T573">
        <v>7482.660714</v>
      </c>
      <c r="U573" s="2">
        <v>44511</v>
      </c>
      <c r="V573" t="s">
        <v>802</v>
      </c>
    </row>
    <row r="574" spans="1:22">
      <c r="A574" s="1" t="s">
        <v>594</v>
      </c>
      <c r="B574">
        <f>HYPERLINK("https://www.suredividend.com/sure-analysis-CNQ/","Canadian Natural Resources Ltd.")</f>
        <v>0</v>
      </c>
      <c r="C574">
        <v>41.85</v>
      </c>
      <c r="D574">
        <v>50</v>
      </c>
      <c r="E574">
        <v>0.8370000000000001</v>
      </c>
      <c r="F574">
        <v>0.04516129032258064</v>
      </c>
      <c r="G574">
        <v>0.03622701025206787</v>
      </c>
      <c r="H574">
        <v>-0.07000000000000001</v>
      </c>
      <c r="I574">
        <v>0.01317210157443416</v>
      </c>
      <c r="J574" t="s">
        <v>524</v>
      </c>
      <c r="K574" t="s">
        <v>346</v>
      </c>
      <c r="L574">
        <v>4.2</v>
      </c>
      <c r="M574">
        <v>1.89</v>
      </c>
      <c r="N574">
        <v>0.45</v>
      </c>
      <c r="O574">
        <v>5</v>
      </c>
      <c r="P574">
        <v>0.01539184863075338</v>
      </c>
      <c r="Q574">
        <v>0.8401890256221061</v>
      </c>
      <c r="R574" t="s">
        <v>780</v>
      </c>
      <c r="S574" t="s">
        <v>793</v>
      </c>
      <c r="T574">
        <v>49321.264061</v>
      </c>
      <c r="U574" s="2">
        <v>44522</v>
      </c>
      <c r="V574" t="s">
        <v>803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184.08</v>
      </c>
      <c r="D575">
        <v>150</v>
      </c>
      <c r="E575">
        <v>1.2272</v>
      </c>
      <c r="F575">
        <v>0.02390265102129509</v>
      </c>
      <c r="G575">
        <v>-0.04012002686969462</v>
      </c>
      <c r="H575">
        <v>0.03</v>
      </c>
      <c r="I575">
        <v>0.01251537062602259</v>
      </c>
      <c r="J575" t="s">
        <v>524</v>
      </c>
      <c r="K575" t="s">
        <v>524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0.231082693261484</v>
      </c>
      <c r="R575" t="s">
        <v>780</v>
      </c>
      <c r="S575" t="s">
        <v>788</v>
      </c>
      <c r="T575">
        <v>299673.689665</v>
      </c>
      <c r="U575" s="2">
        <v>44529</v>
      </c>
      <c r="V575" t="s">
        <v>797</v>
      </c>
    </row>
    <row r="576" spans="1:22">
      <c r="A576" s="1" t="s">
        <v>596</v>
      </c>
      <c r="B576">
        <f>HYPERLINK("https://www.suredividend.com/sure-analysis-AVGO/","Broadcom Inc")</f>
        <v>0</v>
      </c>
      <c r="C576">
        <v>665.08</v>
      </c>
      <c r="D576">
        <v>420</v>
      </c>
      <c r="E576">
        <v>1.58352380952381</v>
      </c>
      <c r="F576">
        <v>0.02465868767667047</v>
      </c>
      <c r="G576">
        <v>-0.08783147936426472</v>
      </c>
      <c r="H576">
        <v>0.075</v>
      </c>
      <c r="I576">
        <v>0.009928871376645887</v>
      </c>
      <c r="J576" t="s">
        <v>524</v>
      </c>
      <c r="K576" t="s">
        <v>524</v>
      </c>
      <c r="L576">
        <v>28</v>
      </c>
      <c r="M576">
        <v>16.4</v>
      </c>
      <c r="N576">
        <v>0.5857142857142856</v>
      </c>
      <c r="O576">
        <v>11</v>
      </c>
      <c r="P576">
        <v>0.05228738264860588</v>
      </c>
      <c r="Q576">
        <v>0.614261546322449</v>
      </c>
      <c r="R576" t="s">
        <v>780</v>
      </c>
      <c r="S576" t="s">
        <v>787</v>
      </c>
      <c r="T576">
        <v>277703.159616</v>
      </c>
      <c r="U576" s="2">
        <v>44453</v>
      </c>
      <c r="V576" t="s">
        <v>797</v>
      </c>
    </row>
    <row r="577" spans="1:22">
      <c r="A577" s="1" t="s">
        <v>597</v>
      </c>
      <c r="B577">
        <f>HYPERLINK("https://www.suredividend.com/sure-analysis-SLB/","Schlumberger Ltd.")</f>
        <v>0</v>
      </c>
      <c r="C577">
        <v>29.82</v>
      </c>
      <c r="D577">
        <v>20</v>
      </c>
      <c r="E577">
        <v>1.491</v>
      </c>
      <c r="F577">
        <v>0.01676727028839705</v>
      </c>
      <c r="G577">
        <v>-0.07678155790633145</v>
      </c>
      <c r="H577">
        <v>0.07000000000000001</v>
      </c>
      <c r="I577">
        <v>0.008597823353965861</v>
      </c>
      <c r="J577" t="s">
        <v>524</v>
      </c>
      <c r="K577" t="s">
        <v>778</v>
      </c>
      <c r="L577">
        <v>1.1</v>
      </c>
      <c r="M577">
        <v>0.5</v>
      </c>
      <c r="N577">
        <v>0.4545454545454545</v>
      </c>
      <c r="O577">
        <v>0</v>
      </c>
      <c r="P577">
        <v>0.06961037572506878</v>
      </c>
      <c r="Q577">
        <v>0.398862038705781</v>
      </c>
      <c r="R577" t="s">
        <v>780</v>
      </c>
      <c r="S577" t="s">
        <v>793</v>
      </c>
      <c r="T577">
        <v>41588.056175</v>
      </c>
      <c r="U577" s="2">
        <v>44493</v>
      </c>
      <c r="V577" t="s">
        <v>803</v>
      </c>
    </row>
    <row r="578" spans="1:22">
      <c r="A578" s="1" t="s">
        <v>598</v>
      </c>
      <c r="B578">
        <f>HYPERLINK("https://www.suredividend.com/sure-analysis-STX/","Seagate Technology Holdings Plc")</f>
        <v>0</v>
      </c>
      <c r="C578">
        <v>113.78</v>
      </c>
      <c r="D578">
        <v>89</v>
      </c>
      <c r="E578">
        <v>1.278426966292135</v>
      </c>
      <c r="F578">
        <v>0.02460889435753208</v>
      </c>
      <c r="G578">
        <v>-0.04793891174850839</v>
      </c>
      <c r="H578">
        <v>0.03</v>
      </c>
      <c r="I578">
        <v>0.007765650546648573</v>
      </c>
      <c r="J578" t="s">
        <v>524</v>
      </c>
      <c r="K578" t="s">
        <v>524</v>
      </c>
      <c r="L578">
        <v>8.9</v>
      </c>
      <c r="M578">
        <v>2.8</v>
      </c>
      <c r="N578">
        <v>0.3146067415730337</v>
      </c>
      <c r="O578">
        <v>3</v>
      </c>
      <c r="P578">
        <v>0.02513307572787737</v>
      </c>
      <c r="Q578">
        <v>0.172293505595917</v>
      </c>
      <c r="R578" t="s">
        <v>780</v>
      </c>
      <c r="S578" t="s">
        <v>787</v>
      </c>
      <c r="T578">
        <v>25603.133675</v>
      </c>
      <c r="U578" s="2">
        <v>44507</v>
      </c>
      <c r="V578" t="s">
        <v>797</v>
      </c>
    </row>
    <row r="579" spans="1:22">
      <c r="A579" s="1" t="s">
        <v>599</v>
      </c>
      <c r="B579">
        <f>HYPERLINK("https://www.suredividend.com/sure-analysis-BRX/","Brixmor Property Group Inc")</f>
        <v>0</v>
      </c>
      <c r="C579">
        <v>25.31</v>
      </c>
      <c r="D579">
        <v>20</v>
      </c>
      <c r="E579">
        <v>1.2655</v>
      </c>
      <c r="F579">
        <v>0.03792967206637693</v>
      </c>
      <c r="G579">
        <v>-0.04600176744244966</v>
      </c>
      <c r="H579">
        <v>0.006</v>
      </c>
      <c r="I579">
        <v>0.004443788675579485</v>
      </c>
      <c r="J579" t="s">
        <v>524</v>
      </c>
      <c r="K579" t="s">
        <v>346</v>
      </c>
      <c r="L579">
        <v>1.73</v>
      </c>
      <c r="M579">
        <v>0.96</v>
      </c>
      <c r="N579">
        <v>0.5549132947976878</v>
      </c>
      <c r="O579">
        <v>1</v>
      </c>
      <c r="P579">
        <v>0.03131030647754507</v>
      </c>
      <c r="Q579">
        <v>0.6136091551562111</v>
      </c>
      <c r="R579" t="s">
        <v>782</v>
      </c>
      <c r="S579" t="s">
        <v>794</v>
      </c>
      <c r="T579">
        <v>7445.500316</v>
      </c>
      <c r="U579" s="2">
        <v>44516</v>
      </c>
      <c r="V579" t="s">
        <v>804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167.97</v>
      </c>
      <c r="D580">
        <v>99</v>
      </c>
      <c r="E580">
        <v>1.696666666666667</v>
      </c>
      <c r="F580">
        <v>0.01500267904983033</v>
      </c>
      <c r="G580">
        <v>-0.1003352709852912</v>
      </c>
      <c r="H580">
        <v>0.09</v>
      </c>
      <c r="I580">
        <v>0.0003723493174172532</v>
      </c>
      <c r="J580" t="s">
        <v>524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0.750415473138304</v>
      </c>
      <c r="R580" t="s">
        <v>782</v>
      </c>
      <c r="S580" t="s">
        <v>794</v>
      </c>
      <c r="T580">
        <v>123970.35136</v>
      </c>
      <c r="U580" s="2">
        <v>44486</v>
      </c>
      <c r="V580" t="s">
        <v>795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116.01</v>
      </c>
      <c r="D581">
        <v>72</v>
      </c>
      <c r="E581">
        <v>1.61125</v>
      </c>
      <c r="F581">
        <v>0.006895957245065081</v>
      </c>
      <c r="G581">
        <v>-0.09099261002684156</v>
      </c>
      <c r="H581">
        <v>0.09</v>
      </c>
      <c r="I581">
        <v>-2.211307103938687e-05</v>
      </c>
      <c r="J581" t="s">
        <v>524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0.334495176236762</v>
      </c>
      <c r="R581" t="s">
        <v>780</v>
      </c>
      <c r="S581" t="s">
        <v>786</v>
      </c>
      <c r="T581">
        <v>6137.172297</v>
      </c>
      <c r="U581" s="2">
        <v>44501</v>
      </c>
      <c r="V581" t="s">
        <v>802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223.16</v>
      </c>
      <c r="D582">
        <v>140</v>
      </c>
      <c r="E582">
        <v>1.594</v>
      </c>
      <c r="F582">
        <v>0.02061301308478222</v>
      </c>
      <c r="G582">
        <v>-0.08903364657278801</v>
      </c>
      <c r="H582">
        <v>0.06</v>
      </c>
      <c r="I582">
        <v>-0.007974379895243966</v>
      </c>
      <c r="J582" t="s">
        <v>524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0.308247806957231</v>
      </c>
      <c r="R582" t="s">
        <v>782</v>
      </c>
      <c r="S582" t="s">
        <v>794</v>
      </c>
      <c r="T582">
        <v>34645.379059</v>
      </c>
      <c r="U582" s="2">
        <v>44496</v>
      </c>
      <c r="V582" t="s">
        <v>799</v>
      </c>
    </row>
    <row r="583" spans="1:22">
      <c r="A583" s="1" t="s">
        <v>603</v>
      </c>
      <c r="B583">
        <f>HYPERLINK("https://www.suredividend.com/sure-analysis-TRGP/","Targa Resources Corp")</f>
        <v>0</v>
      </c>
      <c r="C583">
        <v>51.5</v>
      </c>
      <c r="D583">
        <v>36</v>
      </c>
      <c r="E583">
        <v>1.430555555555556</v>
      </c>
      <c r="F583">
        <v>0.02718446601941748</v>
      </c>
      <c r="G583">
        <v>-0.06910852233468534</v>
      </c>
      <c r="H583">
        <v>0.03</v>
      </c>
      <c r="I583">
        <v>-0.008600304611255716</v>
      </c>
      <c r="J583" t="s">
        <v>524</v>
      </c>
      <c r="K583" t="s">
        <v>524</v>
      </c>
      <c r="L583">
        <v>5.2</v>
      </c>
      <c r="M583">
        <v>1.4</v>
      </c>
      <c r="N583">
        <v>0.2692307692307692</v>
      </c>
      <c r="O583">
        <v>0</v>
      </c>
      <c r="P583">
        <v>0.02706608708935176</v>
      </c>
      <c r="Q583">
        <v>1.009774142247433</v>
      </c>
      <c r="R583" t="s">
        <v>780</v>
      </c>
      <c r="S583" t="s">
        <v>793</v>
      </c>
      <c r="T583">
        <v>11892.791656</v>
      </c>
      <c r="U583" s="2">
        <v>44515</v>
      </c>
      <c r="V583" t="s">
        <v>803</v>
      </c>
    </row>
    <row r="584" spans="1:22">
      <c r="A584" s="1" t="s">
        <v>604</v>
      </c>
      <c r="B584">
        <f>HYPERLINK("https://www.suredividend.com/sure-analysis-ELS/","Equity Lifestyle Properties Inc.")</f>
        <v>0</v>
      </c>
      <c r="C584">
        <v>87.15000000000001</v>
      </c>
      <c r="D584">
        <v>53</v>
      </c>
      <c r="E584">
        <v>1.644339622641509</v>
      </c>
      <c r="F584">
        <v>0.01663798049340218</v>
      </c>
      <c r="G584">
        <v>-0.09468087368966183</v>
      </c>
      <c r="H584">
        <v>0.07000000000000001</v>
      </c>
      <c r="I584">
        <v>-0.009121084299015259</v>
      </c>
      <c r="J584" t="s">
        <v>524</v>
      </c>
      <c r="K584" t="s">
        <v>778</v>
      </c>
      <c r="L584">
        <v>2.51</v>
      </c>
      <c r="M584">
        <v>1.45</v>
      </c>
      <c r="N584">
        <v>0.5776892430278885</v>
      </c>
      <c r="O584">
        <v>17</v>
      </c>
      <c r="P584">
        <v>0.06961037572506878</v>
      </c>
      <c r="Q584">
        <v>0.432130941428005</v>
      </c>
      <c r="R584" t="s">
        <v>782</v>
      </c>
      <c r="S584" t="s">
        <v>794</v>
      </c>
      <c r="T584">
        <v>16081.108628</v>
      </c>
      <c r="U584" s="2">
        <v>44493</v>
      </c>
      <c r="V584" t="s">
        <v>798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9.109999999999999</v>
      </c>
      <c r="D585">
        <v>6.5</v>
      </c>
      <c r="E585">
        <v>1.401538461538461</v>
      </c>
      <c r="F585">
        <v>0.03732162458836444</v>
      </c>
      <c r="G585">
        <v>-0.06528546537719615</v>
      </c>
      <c r="H585">
        <v>0</v>
      </c>
      <c r="I585">
        <v>-0.01018606735436212</v>
      </c>
      <c r="J585" t="s">
        <v>524</v>
      </c>
      <c r="K585" t="s">
        <v>346</v>
      </c>
      <c r="L585">
        <v>1.3</v>
      </c>
      <c r="M585">
        <v>0.34</v>
      </c>
      <c r="N585">
        <v>0.2615384615384616</v>
      </c>
      <c r="O585">
        <v>0</v>
      </c>
      <c r="P585">
        <v>0.0801851873035635</v>
      </c>
      <c r="Q585">
        <v>0.635062611806797</v>
      </c>
      <c r="R585" t="s">
        <v>780</v>
      </c>
      <c r="S585" t="s">
        <v>793</v>
      </c>
      <c r="T585">
        <v>108187.953953</v>
      </c>
      <c r="U585" s="2">
        <v>44530</v>
      </c>
      <c r="V585" t="s">
        <v>803</v>
      </c>
    </row>
    <row r="586" spans="1:22">
      <c r="A586" s="1" t="s">
        <v>606</v>
      </c>
      <c r="B586">
        <f>HYPERLINK("https://www.suredividend.com/sure-analysis-JCI/","Johnson Controls International plc")</f>
        <v>0</v>
      </c>
      <c r="C586">
        <v>81</v>
      </c>
      <c r="D586">
        <v>52</v>
      </c>
      <c r="E586">
        <v>1.557692307692308</v>
      </c>
      <c r="F586">
        <v>0.01679012345679012</v>
      </c>
      <c r="G586">
        <v>-0.0848260177243062</v>
      </c>
      <c r="H586">
        <v>0.06</v>
      </c>
      <c r="I586">
        <v>-0.01096519849405542</v>
      </c>
      <c r="J586" t="s">
        <v>524</v>
      </c>
      <c r="K586" t="s">
        <v>778</v>
      </c>
      <c r="L586">
        <v>3.27</v>
      </c>
      <c r="M586">
        <v>1.36</v>
      </c>
      <c r="N586">
        <v>0.4159021406727829</v>
      </c>
      <c r="O586">
        <v>2</v>
      </c>
      <c r="P586">
        <v>0.01289824528018912</v>
      </c>
      <c r="Q586">
        <v>0.7860647693817461</v>
      </c>
      <c r="R586" t="s">
        <v>780</v>
      </c>
      <c r="S586" t="s">
        <v>786</v>
      </c>
      <c r="T586">
        <v>57043.880671</v>
      </c>
      <c r="U586" s="2">
        <v>44511</v>
      </c>
      <c r="V586" t="s">
        <v>799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14.66</v>
      </c>
      <c r="D587">
        <v>9</v>
      </c>
      <c r="E587">
        <v>1.628888888888889</v>
      </c>
      <c r="F587">
        <v>0.05184174624829468</v>
      </c>
      <c r="G587">
        <v>-0.09296988252639005</v>
      </c>
      <c r="H587">
        <v>0.02</v>
      </c>
      <c r="I587">
        <v>-0.01206786246961222</v>
      </c>
      <c r="J587" t="s">
        <v>524</v>
      </c>
      <c r="K587" t="s">
        <v>777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-0.153937850347731</v>
      </c>
      <c r="R587" t="s">
        <v>780</v>
      </c>
      <c r="S587" t="s">
        <v>792</v>
      </c>
      <c r="T587">
        <v>3882.840745</v>
      </c>
      <c r="U587" s="2">
        <v>44515</v>
      </c>
      <c r="V587" t="s">
        <v>802</v>
      </c>
    </row>
    <row r="588" spans="1:22">
      <c r="A588" s="1" t="s">
        <v>608</v>
      </c>
      <c r="B588">
        <f>HYPERLINK("https://www.suredividend.com/sure-analysis-COR/","CoreSite Realty Corporation")</f>
        <v>0</v>
      </c>
      <c r="C588">
        <v>169.41</v>
      </c>
      <c r="D588">
        <v>106</v>
      </c>
      <c r="E588">
        <v>1.598207547169811</v>
      </c>
      <c r="F588">
        <v>0.02998642346968892</v>
      </c>
      <c r="G588">
        <v>-0.08951380656588803</v>
      </c>
      <c r="H588">
        <v>0.046</v>
      </c>
      <c r="I588">
        <v>-0.01213787886154716</v>
      </c>
      <c r="J588" t="s">
        <v>524</v>
      </c>
      <c r="K588" t="s">
        <v>524</v>
      </c>
      <c r="L588">
        <v>5.58</v>
      </c>
      <c r="M588">
        <v>5.08</v>
      </c>
      <c r="N588">
        <v>0.910394265232975</v>
      </c>
      <c r="O588">
        <v>10</v>
      </c>
      <c r="P588">
        <v>0.01601424134469998</v>
      </c>
      <c r="Q588">
        <v>0.415599250294759</v>
      </c>
      <c r="R588" t="s">
        <v>782</v>
      </c>
      <c r="S588" t="s">
        <v>794</v>
      </c>
      <c r="T588">
        <v>7487.535915</v>
      </c>
      <c r="U588" s="2">
        <v>44503</v>
      </c>
      <c r="V588" t="s">
        <v>805</v>
      </c>
    </row>
    <row r="589" spans="1:22">
      <c r="A589" s="1" t="s">
        <v>609</v>
      </c>
      <c r="B589">
        <f>HYPERLINK("https://www.suredividend.com/sure-analysis-CWEN/","Clearway Energy Inc")</f>
        <v>0</v>
      </c>
      <c r="C589">
        <v>35.71</v>
      </c>
      <c r="D589">
        <v>22</v>
      </c>
      <c r="E589">
        <v>1.623181818181818</v>
      </c>
      <c r="F589">
        <v>0.03808457014841781</v>
      </c>
      <c r="G589">
        <v>-0.09233295817022535</v>
      </c>
      <c r="H589">
        <v>0.03</v>
      </c>
      <c r="I589">
        <v>-0.01324683674246219</v>
      </c>
      <c r="J589" t="s">
        <v>524</v>
      </c>
      <c r="K589" t="s">
        <v>346</v>
      </c>
      <c r="L589">
        <v>2.8</v>
      </c>
      <c r="M589">
        <v>1.36</v>
      </c>
      <c r="N589">
        <v>0.4857142857142858</v>
      </c>
      <c r="O589">
        <v>2</v>
      </c>
      <c r="P589">
        <v>0.0505145404837426</v>
      </c>
      <c r="Q589">
        <v>0.170438298082137</v>
      </c>
      <c r="R589" t="s">
        <v>780</v>
      </c>
      <c r="S589" t="s">
        <v>792</v>
      </c>
      <c r="T589">
        <v>4057.355636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HYPERLINK("https://www.suredividend.com/sure-analysis-DRE/","Duke Realty Corp")</f>
        <v>0</v>
      </c>
      <c r="C590">
        <v>65.15000000000001</v>
      </c>
      <c r="D590">
        <v>38</v>
      </c>
      <c r="E590">
        <v>1.714473684210526</v>
      </c>
      <c r="F590">
        <v>0.01719109746738296</v>
      </c>
      <c r="G590">
        <v>-0.1022119192345126</v>
      </c>
      <c r="H590">
        <v>0.07000000000000001</v>
      </c>
      <c r="I590">
        <v>-0.01635884452009151</v>
      </c>
      <c r="J590" t="s">
        <v>524</v>
      </c>
      <c r="K590" t="s">
        <v>778</v>
      </c>
      <c r="L590">
        <v>1.72</v>
      </c>
      <c r="M590">
        <v>1.12</v>
      </c>
      <c r="N590">
        <v>0.6511627906976745</v>
      </c>
      <c r="O590">
        <v>7</v>
      </c>
      <c r="P590">
        <v>0.06016789231717423</v>
      </c>
      <c r="Q590">
        <v>0.6879102199672981</v>
      </c>
      <c r="R590" t="s">
        <v>782</v>
      </c>
      <c r="S590" t="s">
        <v>794</v>
      </c>
      <c r="T590">
        <v>24808.588542</v>
      </c>
      <c r="U590" s="2">
        <v>44499</v>
      </c>
      <c r="V590" t="s">
        <v>798</v>
      </c>
    </row>
    <row r="591" spans="1:22">
      <c r="A591" s="1" t="s">
        <v>611</v>
      </c>
      <c r="B591">
        <f>HYPERLINK("https://www.suredividend.com/sure-analysis-CMP/","Compass Minerals International Inc")</f>
        <v>0</v>
      </c>
      <c r="C591">
        <v>50.64</v>
      </c>
      <c r="D591">
        <v>33</v>
      </c>
      <c r="E591">
        <v>1.534545454545455</v>
      </c>
      <c r="F591">
        <v>0.01184834123222749</v>
      </c>
      <c r="G591">
        <v>-0.08208165697748926</v>
      </c>
      <c r="H591">
        <v>0.05</v>
      </c>
      <c r="I591">
        <v>-0.02283058624912304</v>
      </c>
      <c r="J591" t="s">
        <v>524</v>
      </c>
      <c r="K591" t="s">
        <v>778</v>
      </c>
      <c r="L591">
        <v>1.45</v>
      </c>
      <c r="M591">
        <v>0.6</v>
      </c>
      <c r="N591">
        <v>0.4137931034482759</v>
      </c>
      <c r="O591">
        <v>0</v>
      </c>
      <c r="P591">
        <v>0</v>
      </c>
      <c r="Q591">
        <v>-0.113158197533535</v>
      </c>
      <c r="R591" t="s">
        <v>780</v>
      </c>
      <c r="S591" t="s">
        <v>790</v>
      </c>
      <c r="T591">
        <v>1757.759552</v>
      </c>
      <c r="U591" s="2">
        <v>44520</v>
      </c>
      <c r="V591" t="s">
        <v>795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42.78</v>
      </c>
      <c r="D592">
        <v>38</v>
      </c>
      <c r="E592">
        <v>1.12578947368421</v>
      </c>
      <c r="F592">
        <v>0.01402524544179523</v>
      </c>
      <c r="G592">
        <v>-0.02341834177326929</v>
      </c>
      <c r="H592">
        <v>-0.02</v>
      </c>
      <c r="I592">
        <v>-0.0258632529207401</v>
      </c>
      <c r="J592" t="s">
        <v>524</v>
      </c>
      <c r="K592" t="s">
        <v>778</v>
      </c>
      <c r="L592">
        <v>1.35</v>
      </c>
      <c r="M592">
        <v>0.6</v>
      </c>
      <c r="N592">
        <v>0.4444444444444444</v>
      </c>
      <c r="O592">
        <v>2</v>
      </c>
      <c r="P592">
        <v>0.01924487649145656</v>
      </c>
      <c r="Q592">
        <v>0.032053214560094</v>
      </c>
      <c r="R592" t="s">
        <v>780</v>
      </c>
      <c r="S592" t="s">
        <v>790</v>
      </c>
      <c r="T592">
        <v>19124.035394</v>
      </c>
      <c r="U592" s="2">
        <v>44528</v>
      </c>
      <c r="V592" t="s">
        <v>800</v>
      </c>
    </row>
    <row r="593" spans="1:22">
      <c r="A593" s="1" t="s">
        <v>613</v>
      </c>
      <c r="B593">
        <f>HYPERLINK("https://www.suredividend.com/sure-analysis-EXC/","Exelon Corp.")</f>
        <v>0</v>
      </c>
      <c r="C593">
        <v>57.35</v>
      </c>
      <c r="D593">
        <v>38</v>
      </c>
      <c r="E593">
        <v>1.50921052631579</v>
      </c>
      <c r="F593">
        <v>0.02667829119442023</v>
      </c>
      <c r="G593">
        <v>-0.07902034838878413</v>
      </c>
      <c r="H593">
        <v>0.02</v>
      </c>
      <c r="I593">
        <v>-0.02675106879933142</v>
      </c>
      <c r="J593" t="s">
        <v>524</v>
      </c>
      <c r="K593" t="s">
        <v>524</v>
      </c>
      <c r="L593">
        <v>2.8</v>
      </c>
      <c r="M593">
        <v>1.53</v>
      </c>
      <c r="N593">
        <v>0.5464285714285715</v>
      </c>
      <c r="O593">
        <v>5</v>
      </c>
      <c r="P593">
        <v>0.02009132612636422</v>
      </c>
      <c r="Q593">
        <v>0.4005152115977</v>
      </c>
      <c r="R593" t="s">
        <v>780</v>
      </c>
      <c r="S593" t="s">
        <v>792</v>
      </c>
      <c r="T593">
        <v>55394.220189</v>
      </c>
      <c r="U593" s="2">
        <v>44504</v>
      </c>
      <c r="V593" t="s">
        <v>796</v>
      </c>
    </row>
    <row r="594" spans="1:22">
      <c r="A594" s="1" t="s">
        <v>614</v>
      </c>
      <c r="B594">
        <f>HYPERLINK("https://www.suredividend.com/sure-analysis-FR/","First Industrial Realty Trust, Inc.")</f>
        <v>0</v>
      </c>
      <c r="C594">
        <v>66.02</v>
      </c>
      <c r="D594">
        <v>36</v>
      </c>
      <c r="E594">
        <v>1.833888888888889</v>
      </c>
      <c r="F594">
        <v>0.01635867918812481</v>
      </c>
      <c r="G594">
        <v>-0.1142209667270995</v>
      </c>
      <c r="H594">
        <v>0.07000000000000001</v>
      </c>
      <c r="I594">
        <v>-0.02909588830991194</v>
      </c>
      <c r="J594" t="s">
        <v>524</v>
      </c>
      <c r="K594" t="s">
        <v>778</v>
      </c>
      <c r="L594">
        <v>1.95</v>
      </c>
      <c r="M594">
        <v>1.08</v>
      </c>
      <c r="N594">
        <v>0.5538461538461539</v>
      </c>
      <c r="O594">
        <v>9</v>
      </c>
      <c r="P594">
        <v>0.06069091570555463</v>
      </c>
      <c r="Q594">
        <v>0.6349939868226561</v>
      </c>
      <c r="R594" t="s">
        <v>782</v>
      </c>
      <c r="S594" t="s">
        <v>794</v>
      </c>
      <c r="T594">
        <v>8584.658396999999</v>
      </c>
      <c r="U594" s="2">
        <v>44492</v>
      </c>
      <c r="V594" t="s">
        <v>798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228.66</v>
      </c>
      <c r="D595">
        <v>133</v>
      </c>
      <c r="E595">
        <v>1.719248120300752</v>
      </c>
      <c r="F595">
        <v>0.01574389923904487</v>
      </c>
      <c r="G595">
        <v>-0.1027111143378753</v>
      </c>
      <c r="H595">
        <v>0.054</v>
      </c>
      <c r="I595">
        <v>-0.0330296192022097</v>
      </c>
      <c r="J595" t="s">
        <v>524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0.302779159855</v>
      </c>
      <c r="R595" t="s">
        <v>780</v>
      </c>
      <c r="S595" t="s">
        <v>789</v>
      </c>
      <c r="T595">
        <v>82341.25628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43.55</v>
      </c>
      <c r="D596">
        <v>29</v>
      </c>
      <c r="E596">
        <v>1.501724137931034</v>
      </c>
      <c r="F596">
        <v>0.00918484500574053</v>
      </c>
      <c r="G596">
        <v>-0.0781039212793152</v>
      </c>
      <c r="H596">
        <v>0.03</v>
      </c>
      <c r="I596">
        <v>-0.0394088387747149</v>
      </c>
      <c r="J596" t="s">
        <v>524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0.480052793425313</v>
      </c>
      <c r="R596" t="s">
        <v>782</v>
      </c>
      <c r="S596" t="s">
        <v>794</v>
      </c>
      <c r="T596">
        <v>14521.921879</v>
      </c>
      <c r="U596" s="2">
        <v>44506</v>
      </c>
      <c r="V596" t="s">
        <v>796</v>
      </c>
    </row>
    <row r="597" spans="1:22">
      <c r="A597" s="1" t="s">
        <v>617</v>
      </c>
      <c r="B597">
        <f>HYPERLINK("https://www.suredividend.com/sure-analysis-ETN/","Eaton Corporation plc")</f>
        <v>0</v>
      </c>
      <c r="C597">
        <v>171.42</v>
      </c>
      <c r="D597">
        <v>100</v>
      </c>
      <c r="E597">
        <v>1.7142</v>
      </c>
      <c r="F597">
        <v>0.01773422004433555</v>
      </c>
      <c r="G597">
        <v>-0.1021832534158401</v>
      </c>
      <c r="H597">
        <v>0.04</v>
      </c>
      <c r="I597">
        <v>-0.04206114820222218</v>
      </c>
      <c r="J597" t="s">
        <v>524</v>
      </c>
      <c r="K597" t="s">
        <v>778</v>
      </c>
      <c r="L597">
        <v>6.64</v>
      </c>
      <c r="M597">
        <v>3.04</v>
      </c>
      <c r="N597">
        <v>0.4578313253012049</v>
      </c>
      <c r="O597">
        <v>12</v>
      </c>
      <c r="P597">
        <v>0.02975477857041309</v>
      </c>
      <c r="Q597">
        <v>0.494673197465558</v>
      </c>
      <c r="R597" t="s">
        <v>780</v>
      </c>
      <c r="S597" t="s">
        <v>786</v>
      </c>
      <c r="T597">
        <v>68443.606</v>
      </c>
      <c r="U597" s="2">
        <v>44502</v>
      </c>
      <c r="V597" t="s">
        <v>796</v>
      </c>
    </row>
    <row r="598" spans="1:22">
      <c r="A598" s="1" t="s">
        <v>618</v>
      </c>
      <c r="B598">
        <f>HYPERLINK("https://www.suredividend.com/sure-analysis-MAA/","Mid-America Apartment Communities, Inc.")</f>
        <v>0</v>
      </c>
      <c r="C598">
        <v>228.94</v>
      </c>
      <c r="D598">
        <v>118</v>
      </c>
      <c r="E598">
        <v>1.940169491525424</v>
      </c>
      <c r="F598">
        <v>0.01900061151393378</v>
      </c>
      <c r="G598">
        <v>-0.1241452980921524</v>
      </c>
      <c r="H598">
        <v>0.06</v>
      </c>
      <c r="I598">
        <v>-0.04469624699370978</v>
      </c>
      <c r="J598" t="s">
        <v>524</v>
      </c>
      <c r="K598" t="s">
        <v>778</v>
      </c>
      <c r="L598">
        <v>6.98</v>
      </c>
      <c r="M598">
        <v>4.35</v>
      </c>
      <c r="N598">
        <v>0.6232091690544411</v>
      </c>
      <c r="O598">
        <v>11</v>
      </c>
      <c r="P598">
        <v>0.03634132731704387</v>
      </c>
      <c r="Q598">
        <v>0.8858916209119121</v>
      </c>
      <c r="R598" t="s">
        <v>782</v>
      </c>
      <c r="S598" t="s">
        <v>794</v>
      </c>
      <c r="T598">
        <v>26287.230524</v>
      </c>
      <c r="U598" s="2">
        <v>44509</v>
      </c>
      <c r="V598" t="s">
        <v>803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24.52</v>
      </c>
      <c r="D599">
        <v>12.6</v>
      </c>
      <c r="E599">
        <v>1.946031746031746</v>
      </c>
      <c r="F599">
        <v>0.02773246329526917</v>
      </c>
      <c r="G599">
        <v>-0.1246736225931908</v>
      </c>
      <c r="H599">
        <v>0.035</v>
      </c>
      <c r="I599">
        <v>-0.04972871259771827</v>
      </c>
      <c r="J599" t="s">
        <v>524</v>
      </c>
      <c r="K599" t="s">
        <v>524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0.725917227144941</v>
      </c>
      <c r="R599" t="s">
        <v>782</v>
      </c>
      <c r="S599" t="s">
        <v>794</v>
      </c>
      <c r="T599">
        <v>14948.380407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178.18</v>
      </c>
      <c r="D600">
        <v>97</v>
      </c>
      <c r="E600">
        <v>1.836907216494845</v>
      </c>
      <c r="F600">
        <v>0.01863284319227747</v>
      </c>
      <c r="G600">
        <v>-0.1145122531087605</v>
      </c>
      <c r="H600">
        <v>0.04</v>
      </c>
      <c r="I600">
        <v>-0.05159489615842772</v>
      </c>
      <c r="J600" t="s">
        <v>524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0.84705210857747</v>
      </c>
      <c r="R600" t="s">
        <v>782</v>
      </c>
      <c r="S600" t="s">
        <v>794</v>
      </c>
      <c r="T600">
        <v>18156.369298</v>
      </c>
      <c r="U600" s="2">
        <v>44505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413.83</v>
      </c>
      <c r="D601">
        <v>201</v>
      </c>
      <c r="E601">
        <v>2.058855721393035</v>
      </c>
      <c r="F601">
        <v>0.00937583065509992</v>
      </c>
      <c r="G601">
        <v>-0.1344845648100385</v>
      </c>
      <c r="H601">
        <v>0.075</v>
      </c>
      <c r="I601">
        <v>-0.05423350367693569</v>
      </c>
      <c r="J601" t="s">
        <v>524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0.631575474603005</v>
      </c>
      <c r="R601" t="s">
        <v>780</v>
      </c>
      <c r="S601" t="s">
        <v>787</v>
      </c>
      <c r="T601">
        <v>273484.603052</v>
      </c>
      <c r="U601" s="2">
        <v>44476</v>
      </c>
      <c r="V601" t="s">
        <v>797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71.88</v>
      </c>
      <c r="D602">
        <v>48</v>
      </c>
      <c r="E602">
        <v>1.4975</v>
      </c>
      <c r="F602">
        <v>0.01669449081803005</v>
      </c>
      <c r="G602">
        <v>-0.077584411468966</v>
      </c>
      <c r="H602">
        <v>0</v>
      </c>
      <c r="I602">
        <v>-0.05559747778702084</v>
      </c>
      <c r="J602" t="s">
        <v>524</v>
      </c>
      <c r="K602" t="s">
        <v>524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1.043530298328826</v>
      </c>
      <c r="R602" t="s">
        <v>780</v>
      </c>
      <c r="S602" t="s">
        <v>790</v>
      </c>
      <c r="T602">
        <v>15819.708454</v>
      </c>
      <c r="U602" s="2">
        <v>44526</v>
      </c>
      <c r="V602" t="s">
        <v>800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40.57</v>
      </c>
      <c r="D603">
        <v>20</v>
      </c>
      <c r="E603">
        <v>2.0285</v>
      </c>
      <c r="F603">
        <v>0.01478925314271629</v>
      </c>
      <c r="G603">
        <v>-0.1319095118484999</v>
      </c>
      <c r="H603">
        <v>0.05</v>
      </c>
      <c r="I603">
        <v>-0.06802116184896734</v>
      </c>
      <c r="J603" t="s">
        <v>524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0.6933827236627731</v>
      </c>
      <c r="R603" t="s">
        <v>780</v>
      </c>
      <c r="S603" t="s">
        <v>784</v>
      </c>
      <c r="T603">
        <v>1337.07567</v>
      </c>
      <c r="U603" s="2">
        <v>44491</v>
      </c>
      <c r="V603" t="s">
        <v>797</v>
      </c>
    </row>
    <row r="604" spans="1:22">
      <c r="A604" s="1" t="s">
        <v>624</v>
      </c>
      <c r="B604">
        <f>HYPERLINK("https://www.suredividend.com/sure-analysis-VGR/","Vector Group Ltd")</f>
        <v>0</v>
      </c>
      <c r="C604">
        <v>11.3</v>
      </c>
      <c r="D604">
        <v>19</v>
      </c>
      <c r="E604">
        <v>0.5947368421052632</v>
      </c>
      <c r="F604">
        <v>0.07079646017699115</v>
      </c>
      <c r="G604">
        <v>0.1095197351838881</v>
      </c>
      <c r="H604">
        <v>0.03</v>
      </c>
      <c r="I604">
        <v>0.1815891342532201</v>
      </c>
      <c r="J604" t="s">
        <v>778</v>
      </c>
      <c r="K604" t="s">
        <v>346</v>
      </c>
      <c r="L604">
        <v>1.25</v>
      </c>
      <c r="M604">
        <v>0.8</v>
      </c>
      <c r="N604">
        <v>0.64</v>
      </c>
      <c r="O604">
        <v>0</v>
      </c>
      <c r="P604">
        <v>0</v>
      </c>
      <c r="Q604">
        <v>0.5395105146056121</v>
      </c>
      <c r="R604" t="s">
        <v>780</v>
      </c>
      <c r="S604" t="s">
        <v>791</v>
      </c>
      <c r="T604">
        <v>2641.943767</v>
      </c>
      <c r="U604" s="2">
        <v>44558</v>
      </c>
      <c r="V604" t="s">
        <v>801</v>
      </c>
    </row>
    <row r="605" spans="1:22">
      <c r="A605" s="1" t="s">
        <v>625</v>
      </c>
      <c r="B605">
        <f>HYPERLINK("https://www.suredividend.com/sure-analysis-KNOP/","KNOT Offshore Partners LP")</f>
        <v>0</v>
      </c>
      <c r="C605">
        <v>13.18</v>
      </c>
      <c r="D605">
        <v>17.29</v>
      </c>
      <c r="E605">
        <v>0.7622903412377097</v>
      </c>
      <c r="F605">
        <v>0.157814871016692</v>
      </c>
      <c r="G605">
        <v>0.05578604317303548</v>
      </c>
      <c r="H605">
        <v>0</v>
      </c>
      <c r="I605">
        <v>0.1600628232451053</v>
      </c>
      <c r="J605" t="s">
        <v>778</v>
      </c>
      <c r="K605" t="s">
        <v>346</v>
      </c>
      <c r="L605">
        <v>2.47</v>
      </c>
      <c r="M605">
        <v>2.08</v>
      </c>
      <c r="N605">
        <v>0.8421052631578947</v>
      </c>
      <c r="O605">
        <v>0</v>
      </c>
      <c r="P605">
        <v>0</v>
      </c>
      <c r="Q605">
        <v>-0.000541278178865</v>
      </c>
      <c r="R605" t="s">
        <v>781</v>
      </c>
      <c r="S605" t="s">
        <v>786</v>
      </c>
      <c r="T605">
        <v>431.44205</v>
      </c>
      <c r="U605" s="2">
        <v>44520</v>
      </c>
      <c r="V605" t="s">
        <v>795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10.65</v>
      </c>
      <c r="D606">
        <v>15</v>
      </c>
      <c r="E606">
        <v>0.7100000000000001</v>
      </c>
      <c r="F606">
        <v>0.1014084507042254</v>
      </c>
      <c r="G606">
        <v>0.07089854932200002</v>
      </c>
      <c r="H606">
        <v>0.02</v>
      </c>
      <c r="I606">
        <v>0.1576179873158652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-0.041892487034989</v>
      </c>
      <c r="R606" t="s">
        <v>780</v>
      </c>
      <c r="S606" t="s">
        <v>784</v>
      </c>
      <c r="T606">
        <v>28349.349871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HYPERLINK("https://www.suredividend.com/sure-analysis-DHT/","DHT Holdings Inc")</f>
        <v>0</v>
      </c>
      <c r="C607">
        <v>5.17</v>
      </c>
      <c r="D607">
        <v>6</v>
      </c>
      <c r="E607">
        <v>0.8616666666666667</v>
      </c>
      <c r="F607">
        <v>0.02514506769825919</v>
      </c>
      <c r="G607">
        <v>0.03022513511818192</v>
      </c>
      <c r="H607">
        <v>0.1</v>
      </c>
      <c r="I607">
        <v>0.1569657217130591</v>
      </c>
      <c r="J607" t="s">
        <v>778</v>
      </c>
      <c r="K607" t="s">
        <v>778</v>
      </c>
      <c r="L607">
        <v>-0.1</v>
      </c>
      <c r="M607">
        <v>0.13</v>
      </c>
      <c r="N607">
        <v>9.99</v>
      </c>
      <c r="O607">
        <v>0</v>
      </c>
      <c r="P607">
        <v>0.1658506946484593</v>
      </c>
      <c r="Q607">
        <v>-0.005352798053527</v>
      </c>
      <c r="R607" t="s">
        <v>780</v>
      </c>
      <c r="S607" t="s">
        <v>793</v>
      </c>
      <c r="T607">
        <v>872.779456</v>
      </c>
      <c r="U607" s="2">
        <v>44509</v>
      </c>
      <c r="V607" t="s">
        <v>803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261.1</v>
      </c>
      <c r="D608">
        <v>158</v>
      </c>
      <c r="E608">
        <v>1.65253164556962</v>
      </c>
      <c r="F608">
        <v>0.02297970126388357</v>
      </c>
      <c r="G608">
        <v>-0.09558023860549014</v>
      </c>
      <c r="H608">
        <v>0.25</v>
      </c>
      <c r="I608">
        <v>0.1546019030095698</v>
      </c>
      <c r="J608" t="s">
        <v>778</v>
      </c>
      <c r="K608" t="s">
        <v>778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0.4879257092411841</v>
      </c>
      <c r="R608" t="s">
        <v>782</v>
      </c>
      <c r="S608" t="s">
        <v>794</v>
      </c>
      <c r="T608">
        <v>6275.437007</v>
      </c>
      <c r="U608" s="2">
        <v>44509</v>
      </c>
      <c r="V608" t="s">
        <v>795</v>
      </c>
    </row>
    <row r="609" spans="1:22">
      <c r="A609" s="1" t="s">
        <v>629</v>
      </c>
      <c r="B609">
        <f>HYPERLINK("https://www.suredividend.com/sure-analysis-CORR/","CorEnergy Infrastructure Trust Inc")</f>
        <v>0</v>
      </c>
      <c r="C609">
        <v>3.05</v>
      </c>
      <c r="D609">
        <v>4.69</v>
      </c>
      <c r="E609">
        <v>0.650319829424307</v>
      </c>
      <c r="F609">
        <v>0.06557377049180328</v>
      </c>
      <c r="G609">
        <v>0.08986975510027539</v>
      </c>
      <c r="H609">
        <v>0.02</v>
      </c>
      <c r="I609">
        <v>0.1516262795113013</v>
      </c>
      <c r="J609" t="s">
        <v>778</v>
      </c>
      <c r="K609" t="s">
        <v>524</v>
      </c>
      <c r="L609">
        <v>-1.19</v>
      </c>
      <c r="M609">
        <v>0.2</v>
      </c>
      <c r="N609">
        <v>9.99</v>
      </c>
      <c r="O609">
        <v>0</v>
      </c>
      <c r="P609">
        <v>0</v>
      </c>
      <c r="Q609">
        <v>-0.5535249207506731</v>
      </c>
      <c r="R609" t="s">
        <v>780</v>
      </c>
      <c r="S609" t="s">
        <v>794</v>
      </c>
      <c r="T609">
        <v>44.600397</v>
      </c>
      <c r="U609" s="2">
        <v>44514</v>
      </c>
      <c r="V609" t="s">
        <v>796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3.14</v>
      </c>
      <c r="D610">
        <v>3.5</v>
      </c>
      <c r="E610">
        <v>0.8971428571428571</v>
      </c>
      <c r="F610">
        <v>0.1273885350318471</v>
      </c>
      <c r="G610">
        <v>0.02194536731635788</v>
      </c>
      <c r="H610">
        <v>0.042</v>
      </c>
      <c r="I610">
        <v>0.1494067468115501</v>
      </c>
      <c r="J610" t="s">
        <v>778</v>
      </c>
      <c r="K610" t="s">
        <v>346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-0.08898554131891301</v>
      </c>
      <c r="R610" t="s">
        <v>783</v>
      </c>
      <c r="S610" t="s">
        <v>789</v>
      </c>
      <c r="T610">
        <v>83.407571</v>
      </c>
      <c r="U610" s="2">
        <v>44509</v>
      </c>
      <c r="V610" t="s">
        <v>805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61.23</v>
      </c>
      <c r="D611">
        <v>80</v>
      </c>
      <c r="E611">
        <v>0.7653749999999999</v>
      </c>
      <c r="F611">
        <v>0.05226196308998857</v>
      </c>
      <c r="G611">
        <v>0.05493364987526062</v>
      </c>
      <c r="H611">
        <v>0.05</v>
      </c>
      <c r="I611">
        <v>0.1452959403289349</v>
      </c>
      <c r="J611" t="s">
        <v>778</v>
      </c>
      <c r="K611" t="s">
        <v>346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-0.00662467774043</v>
      </c>
      <c r="R611" t="s">
        <v>780</v>
      </c>
      <c r="S611" t="s">
        <v>790</v>
      </c>
      <c r="T611">
        <v>47065.187657</v>
      </c>
      <c r="U611" s="2">
        <v>44498</v>
      </c>
      <c r="V611" t="s">
        <v>802</v>
      </c>
    </row>
    <row r="612" spans="1:22">
      <c r="A612" s="1" t="s">
        <v>632</v>
      </c>
      <c r="B612">
        <f>HYPERLINK("https://www.suredividend.com/sure-analysis-PSXP/","Phillips 66 Partners LP")</f>
        <v>0</v>
      </c>
      <c r="C612">
        <v>36.23</v>
      </c>
      <c r="D612">
        <v>44</v>
      </c>
      <c r="E612">
        <v>0.8234090909090909</v>
      </c>
      <c r="F612">
        <v>0.09660502346121999</v>
      </c>
      <c r="G612">
        <v>0.03962536864645427</v>
      </c>
      <c r="H612">
        <v>0.04</v>
      </c>
      <c r="I612">
        <v>0.1441370032874449</v>
      </c>
      <c r="J612" t="s">
        <v>778</v>
      </c>
      <c r="K612" t="s">
        <v>777</v>
      </c>
      <c r="L612">
        <v>4.4</v>
      </c>
      <c r="M612">
        <v>3.5</v>
      </c>
      <c r="N612">
        <v>0.7954545454545454</v>
      </c>
      <c r="O612">
        <v>7</v>
      </c>
      <c r="P612">
        <v>0</v>
      </c>
      <c r="Q612">
        <v>0.5311819258173111</v>
      </c>
      <c r="R612" t="s">
        <v>781</v>
      </c>
      <c r="S612" t="s">
        <v>793</v>
      </c>
      <c r="T612">
        <v>8297.880906</v>
      </c>
      <c r="U612" s="2">
        <v>44501</v>
      </c>
      <c r="V612" t="s">
        <v>803</v>
      </c>
    </row>
    <row r="613" spans="1:22">
      <c r="A613" s="1" t="s">
        <v>633</v>
      </c>
      <c r="B613">
        <f>HYPERLINK("https://www.suredividend.com/sure-analysis-OHI/","Omega Healthcare Investors, Inc.")</f>
        <v>0</v>
      </c>
      <c r="C613">
        <v>29.65</v>
      </c>
      <c r="D613">
        <v>40</v>
      </c>
      <c r="E613">
        <v>0.74125</v>
      </c>
      <c r="F613">
        <v>0.09038785834738618</v>
      </c>
      <c r="G613">
        <v>0.06171281341255375</v>
      </c>
      <c r="H613">
        <v>0.02</v>
      </c>
      <c r="I613">
        <v>0.1435397698418406</v>
      </c>
      <c r="J613" t="s">
        <v>778</v>
      </c>
      <c r="K613" t="s">
        <v>346</v>
      </c>
      <c r="L613">
        <v>3.3</v>
      </c>
      <c r="M613">
        <v>2.68</v>
      </c>
      <c r="N613">
        <v>0.8121212121212122</v>
      </c>
      <c r="O613">
        <v>0</v>
      </c>
      <c r="P613">
        <v>0.01023605168466424</v>
      </c>
      <c r="Q613">
        <v>-0.139103386898275</v>
      </c>
      <c r="R613" t="s">
        <v>782</v>
      </c>
      <c r="S613" t="s">
        <v>794</v>
      </c>
      <c r="T613">
        <v>7004.331516</v>
      </c>
      <c r="U613" s="2">
        <v>44520</v>
      </c>
      <c r="V613" t="s">
        <v>800</v>
      </c>
    </row>
    <row r="614" spans="1:22">
      <c r="A614" s="1" t="s">
        <v>634</v>
      </c>
      <c r="B614">
        <f>HYPERLINK("https://www.suredividend.com/sure-analysis-IEP/","Icahn Enterprises L P")</f>
        <v>0</v>
      </c>
      <c r="C614">
        <v>49.79</v>
      </c>
      <c r="D614">
        <v>57</v>
      </c>
      <c r="E614">
        <v>0.8735087719298246</v>
      </c>
      <c r="F614">
        <v>0.1606748343040771</v>
      </c>
      <c r="G614">
        <v>0.02741652317527765</v>
      </c>
      <c r="H614">
        <v>0</v>
      </c>
      <c r="I614">
        <v>0.142683408572762</v>
      </c>
      <c r="J614" t="s">
        <v>778</v>
      </c>
      <c r="K614" t="s">
        <v>346</v>
      </c>
      <c r="L614">
        <v>8</v>
      </c>
      <c r="M614">
        <v>8</v>
      </c>
      <c r="N614">
        <v>1</v>
      </c>
      <c r="O614">
        <v>0</v>
      </c>
      <c r="P614">
        <v>0</v>
      </c>
      <c r="Q614">
        <v>0.1365736673611</v>
      </c>
      <c r="R614" t="s">
        <v>781</v>
      </c>
      <c r="S614" t="s">
        <v>786</v>
      </c>
      <c r="T614">
        <v>13877.342844</v>
      </c>
      <c r="U614" s="2">
        <v>44513</v>
      </c>
      <c r="V614" t="s">
        <v>795</v>
      </c>
    </row>
    <row r="615" spans="1:22">
      <c r="A615" s="1" t="s">
        <v>635</v>
      </c>
      <c r="B615">
        <f>HYPERLINK("https://www.suredividend.com/sure-analysis-NEWT/","Newtek Business Services Corp")</f>
        <v>0</v>
      </c>
      <c r="C615">
        <v>27.39</v>
      </c>
      <c r="D615">
        <v>30</v>
      </c>
      <c r="E615">
        <v>0.913</v>
      </c>
      <c r="F615">
        <v>0.1150054764512596</v>
      </c>
      <c r="G615">
        <v>0.01837058029138428</v>
      </c>
      <c r="H615">
        <v>0.03</v>
      </c>
      <c r="I615">
        <v>0.1365372006181345</v>
      </c>
      <c r="J615" t="s">
        <v>778</v>
      </c>
      <c r="K615" t="s">
        <v>346</v>
      </c>
      <c r="L615">
        <v>3.3</v>
      </c>
      <c r="M615">
        <v>3.15</v>
      </c>
      <c r="N615">
        <v>0.9545454545454546</v>
      </c>
      <c r="O615">
        <v>0</v>
      </c>
      <c r="P615">
        <v>0.02877218634269907</v>
      </c>
      <c r="Q615">
        <v>0.678531653981282</v>
      </c>
      <c r="R615" t="s">
        <v>783</v>
      </c>
      <c r="S615" t="s">
        <v>789</v>
      </c>
      <c r="T615">
        <v>615.091653</v>
      </c>
      <c r="U615" s="2">
        <v>44516</v>
      </c>
      <c r="V615" t="s">
        <v>795</v>
      </c>
    </row>
    <row r="616" spans="1:22">
      <c r="A616" s="1" t="s">
        <v>636</v>
      </c>
      <c r="B616">
        <f>HYPERLINK("https://www.suredividend.com/sure-analysis-APAM/","Artisan Partners Asset Management Inc")</f>
        <v>0</v>
      </c>
      <c r="C616">
        <v>47.49</v>
      </c>
      <c r="D616">
        <v>55</v>
      </c>
      <c r="E616">
        <v>0.8634545454545455</v>
      </c>
      <c r="F616">
        <v>0.09012423668140661</v>
      </c>
      <c r="G616">
        <v>0.02979814214401078</v>
      </c>
      <c r="H616">
        <v>0.04</v>
      </c>
      <c r="I616">
        <v>0.135501225888893</v>
      </c>
      <c r="J616" t="s">
        <v>778</v>
      </c>
      <c r="K616" t="s">
        <v>346</v>
      </c>
      <c r="L616">
        <v>5</v>
      </c>
      <c r="M616">
        <v>4.28</v>
      </c>
      <c r="N616">
        <v>0.8560000000000001</v>
      </c>
      <c r="O616">
        <v>2</v>
      </c>
      <c r="P616">
        <v>0.02019566627646463</v>
      </c>
      <c r="Q616">
        <v>0.028493478293715</v>
      </c>
      <c r="R616" t="s">
        <v>780</v>
      </c>
      <c r="S616" t="s">
        <v>789</v>
      </c>
      <c r="T616">
        <v>3107.537206</v>
      </c>
      <c r="U616" s="2">
        <v>44520</v>
      </c>
      <c r="V616" t="s">
        <v>800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24.7</v>
      </c>
      <c r="D617">
        <v>29</v>
      </c>
      <c r="E617">
        <v>0.8517241379310344</v>
      </c>
      <c r="F617">
        <v>0.05506072874493928</v>
      </c>
      <c r="G617">
        <v>0.03261923112228593</v>
      </c>
      <c r="H617">
        <v>0.05</v>
      </c>
      <c r="I617">
        <v>0.1270376131026014</v>
      </c>
      <c r="J617" t="s">
        <v>778</v>
      </c>
      <c r="K617" t="s">
        <v>524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0.5237531667807011</v>
      </c>
      <c r="R617" t="s">
        <v>780</v>
      </c>
      <c r="S617" t="s">
        <v>793</v>
      </c>
      <c r="T617">
        <v>35975.459081</v>
      </c>
      <c r="U617" s="2">
        <v>44502</v>
      </c>
      <c r="V617" t="s">
        <v>803</v>
      </c>
    </row>
    <row r="618" spans="1:22">
      <c r="A618" s="1" t="s">
        <v>638</v>
      </c>
      <c r="B618">
        <f>HYPERLINK("https://www.suredividend.com/sure-analysis-TEF/","Telefonica S.A")</f>
        <v>0</v>
      </c>
      <c r="C618">
        <v>4.28</v>
      </c>
      <c r="D618">
        <v>4.95</v>
      </c>
      <c r="E618">
        <v>0.8646464646464647</v>
      </c>
      <c r="F618">
        <v>0.1051401869158878</v>
      </c>
      <c r="G618">
        <v>0.02951406915219956</v>
      </c>
      <c r="H618">
        <v>0.02</v>
      </c>
      <c r="I618">
        <v>0.1250729514146531</v>
      </c>
      <c r="J618" t="s">
        <v>778</v>
      </c>
      <c r="K618" t="s">
        <v>346</v>
      </c>
      <c r="L618">
        <v>0.55</v>
      </c>
      <c r="M618">
        <v>0.45</v>
      </c>
      <c r="N618">
        <v>0.8181818181818181</v>
      </c>
      <c r="O618">
        <v>0</v>
      </c>
      <c r="P618">
        <v>0</v>
      </c>
      <c r="Q618">
        <v>0.119755133273816</v>
      </c>
      <c r="R618" t="s">
        <v>780</v>
      </c>
      <c r="S618" t="s">
        <v>784</v>
      </c>
      <c r="T618">
        <v>24751.054896</v>
      </c>
      <c r="U618" s="2">
        <v>44529</v>
      </c>
      <c r="V618" t="s">
        <v>797</v>
      </c>
    </row>
    <row r="619" spans="1:22">
      <c r="A619" s="1" t="s">
        <v>639</v>
      </c>
      <c r="B619">
        <f>HYPERLINK("https://www.suredividend.com/sure-analysis-EIFZF/","Exchange Income Corp.")</f>
        <v>0</v>
      </c>
      <c r="C619">
        <v>33.474</v>
      </c>
      <c r="D619">
        <v>35</v>
      </c>
      <c r="E619">
        <v>0.9563999999999999</v>
      </c>
      <c r="F619">
        <v>0.05496803489275259</v>
      </c>
      <c r="G619">
        <v>0.008955672887606569</v>
      </c>
      <c r="H619">
        <v>0.07000000000000001</v>
      </c>
      <c r="I619">
        <v>0.1217609809856353</v>
      </c>
      <c r="J619" t="s">
        <v>778</v>
      </c>
      <c r="K619" t="s">
        <v>346</v>
      </c>
      <c r="L619">
        <v>2.3</v>
      </c>
      <c r="M619">
        <v>1.84</v>
      </c>
      <c r="N619">
        <v>0.8</v>
      </c>
      <c r="O619">
        <v>0</v>
      </c>
      <c r="P619">
        <v>0.04012620718096094</v>
      </c>
      <c r="Q619">
        <v>0.173262485673327</v>
      </c>
      <c r="R619" t="s">
        <v>780</v>
      </c>
      <c r="S619" t="s">
        <v>786</v>
      </c>
      <c r="T619">
        <v>1555.819501</v>
      </c>
      <c r="U619" s="2">
        <v>44516</v>
      </c>
      <c r="V619" t="s">
        <v>795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5.83</v>
      </c>
      <c r="D620">
        <v>6.3</v>
      </c>
      <c r="E620">
        <v>0.9253968253968254</v>
      </c>
      <c r="F620">
        <v>0.1166380789022299</v>
      </c>
      <c r="G620">
        <v>0.01562737663744285</v>
      </c>
      <c r="H620">
        <v>0.018</v>
      </c>
      <c r="I620">
        <v>0.121589158850762</v>
      </c>
      <c r="J620" t="s">
        <v>778</v>
      </c>
      <c r="K620" t="s">
        <v>346</v>
      </c>
      <c r="L620">
        <v>0.75</v>
      </c>
      <c r="M620">
        <v>0.68</v>
      </c>
      <c r="N620">
        <v>0.9066666666666667</v>
      </c>
      <c r="O620">
        <v>0</v>
      </c>
      <c r="P620">
        <v>0.005814345444414393</v>
      </c>
      <c r="Q620">
        <v>0.03863361977132301</v>
      </c>
      <c r="R620" t="s">
        <v>782</v>
      </c>
      <c r="S620" t="s">
        <v>794</v>
      </c>
      <c r="T620">
        <v>2011.844993</v>
      </c>
      <c r="U620" s="2">
        <v>44511</v>
      </c>
      <c r="V620" t="s">
        <v>805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13.62</v>
      </c>
      <c r="D621">
        <v>14.5</v>
      </c>
      <c r="E621">
        <v>0.9393103448275861</v>
      </c>
      <c r="F621">
        <v>0.0881057268722467</v>
      </c>
      <c r="G621">
        <v>0.0126005966112972</v>
      </c>
      <c r="H621">
        <v>0.038</v>
      </c>
      <c r="I621">
        <v>0.1178095376300823</v>
      </c>
      <c r="J621" t="s">
        <v>778</v>
      </c>
      <c r="K621" t="s">
        <v>346</v>
      </c>
      <c r="L621">
        <v>1.58</v>
      </c>
      <c r="M621">
        <v>1.2</v>
      </c>
      <c r="N621">
        <v>0.7594936708860759</v>
      </c>
      <c r="O621">
        <v>0</v>
      </c>
      <c r="P621">
        <v>0.01613736474159566</v>
      </c>
      <c r="Q621">
        <v>-0.16800924844117</v>
      </c>
      <c r="R621" t="s">
        <v>782</v>
      </c>
      <c r="S621" t="s">
        <v>794</v>
      </c>
      <c r="T621">
        <v>3094.014585</v>
      </c>
      <c r="U621" s="2">
        <v>44509</v>
      </c>
      <c r="V621" t="s">
        <v>805</v>
      </c>
    </row>
    <row r="622" spans="1:22">
      <c r="A622" s="1" t="s">
        <v>642</v>
      </c>
      <c r="B622">
        <f>HYPERLINK("https://www.suredividend.com/sure-analysis-SFL/","SFL Corporation Ltd")</f>
        <v>0</v>
      </c>
      <c r="C622">
        <v>8.039999999999999</v>
      </c>
      <c r="D622">
        <v>8.640000000000001</v>
      </c>
      <c r="E622">
        <v>0.9305555555555554</v>
      </c>
      <c r="F622">
        <v>0.08955223880597016</v>
      </c>
      <c r="G622">
        <v>0.01449880252679092</v>
      </c>
      <c r="H622">
        <v>0.03</v>
      </c>
      <c r="I622">
        <v>0.116350479139586</v>
      </c>
      <c r="J622" t="s">
        <v>778</v>
      </c>
      <c r="K622" t="s">
        <v>346</v>
      </c>
      <c r="L622">
        <v>0.96</v>
      </c>
      <c r="M622">
        <v>0.72</v>
      </c>
      <c r="N622">
        <v>0.75</v>
      </c>
      <c r="O622">
        <v>1</v>
      </c>
      <c r="P622">
        <v>0.02884302866442456</v>
      </c>
      <c r="Q622">
        <v>0.42425320056899</v>
      </c>
      <c r="R622" t="s">
        <v>780</v>
      </c>
      <c r="S622" t="s">
        <v>786</v>
      </c>
      <c r="T622">
        <v>1026.281851</v>
      </c>
      <c r="U622" s="2">
        <v>44517</v>
      </c>
      <c r="V622" t="s">
        <v>795</v>
      </c>
    </row>
    <row r="623" spans="1:22">
      <c r="A623" s="1" t="s">
        <v>643</v>
      </c>
      <c r="B623">
        <f>HYPERLINK("https://www.suredividend.com/sure-analysis-TRP/","TC Energy Corporation")</f>
        <v>0</v>
      </c>
      <c r="C623">
        <v>46.21</v>
      </c>
      <c r="D623">
        <v>53</v>
      </c>
      <c r="E623">
        <v>0.8718867924528302</v>
      </c>
      <c r="F623">
        <v>0.05972733174637524</v>
      </c>
      <c r="G623">
        <v>0.02779850163108177</v>
      </c>
      <c r="H623">
        <v>0.04</v>
      </c>
      <c r="I623">
        <v>0.1148331139170677</v>
      </c>
      <c r="J623" t="s">
        <v>778</v>
      </c>
      <c r="K623" t="s">
        <v>346</v>
      </c>
      <c r="L623">
        <v>3.3</v>
      </c>
      <c r="M623">
        <v>2.76</v>
      </c>
      <c r="N623">
        <v>0.8363636363636363</v>
      </c>
      <c r="O623">
        <v>6</v>
      </c>
      <c r="P623">
        <v>0.03002598081465924</v>
      </c>
      <c r="Q623">
        <v>0.218372887654716</v>
      </c>
      <c r="R623" t="s">
        <v>780</v>
      </c>
      <c r="S623" t="s">
        <v>793</v>
      </c>
      <c r="T623">
        <v>46230.837643</v>
      </c>
      <c r="U623" s="2">
        <v>44510</v>
      </c>
      <c r="V623" t="s">
        <v>803</v>
      </c>
    </row>
    <row r="624" spans="1:22">
      <c r="A624" s="1" t="s">
        <v>644</v>
      </c>
      <c r="B624">
        <f>HYPERLINK("https://www.suredividend.com/sure-analysis-CLPR/","Clipper Realty Inc")</f>
        <v>0</v>
      </c>
      <c r="C624">
        <v>10.02</v>
      </c>
      <c r="D624">
        <v>11.7</v>
      </c>
      <c r="E624">
        <v>0.8564102564102565</v>
      </c>
      <c r="F624">
        <v>0.03792415169660679</v>
      </c>
      <c r="G624">
        <v>0.03148668930066889</v>
      </c>
      <c r="H624">
        <v>0.055</v>
      </c>
      <c r="I624">
        <v>0.1140094292370566</v>
      </c>
      <c r="J624" t="s">
        <v>778</v>
      </c>
      <c r="K624" t="s">
        <v>524</v>
      </c>
      <c r="L624">
        <v>0.35</v>
      </c>
      <c r="M624">
        <v>0.38</v>
      </c>
      <c r="N624">
        <v>1.085714285714286</v>
      </c>
      <c r="O624">
        <v>0</v>
      </c>
      <c r="P624">
        <v>0</v>
      </c>
      <c r="Q624">
        <v>0.5154758991925611</v>
      </c>
      <c r="R624" t="s">
        <v>782</v>
      </c>
      <c r="S624" t="s">
        <v>794</v>
      </c>
      <c r="T624">
        <v>159.186589</v>
      </c>
      <c r="U624" s="2">
        <v>44511</v>
      </c>
      <c r="V624" t="s">
        <v>805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16.99</v>
      </c>
      <c r="D625">
        <v>18.8</v>
      </c>
      <c r="E625">
        <v>0.9037234042553191</v>
      </c>
      <c r="F625">
        <v>0.1059446733372572</v>
      </c>
      <c r="G625">
        <v>0.02045273517026214</v>
      </c>
      <c r="H625">
        <v>0.01</v>
      </c>
      <c r="I625">
        <v>0.1130699311597161</v>
      </c>
      <c r="J625" t="s">
        <v>778</v>
      </c>
      <c r="K625" t="s">
        <v>346</v>
      </c>
      <c r="L625">
        <v>1.88</v>
      </c>
      <c r="M625">
        <v>1.8</v>
      </c>
      <c r="N625">
        <v>0.9574468085106383</v>
      </c>
      <c r="O625">
        <v>1</v>
      </c>
      <c r="P625">
        <v>0.009805797673485328</v>
      </c>
      <c r="Q625">
        <v>0.260281632112534</v>
      </c>
      <c r="R625" t="s">
        <v>782</v>
      </c>
      <c r="S625" t="s">
        <v>789</v>
      </c>
      <c r="T625">
        <v>983.735936</v>
      </c>
      <c r="U625" s="2">
        <v>44509</v>
      </c>
      <c r="V625" t="s">
        <v>795</v>
      </c>
    </row>
    <row r="626" spans="1:22">
      <c r="A626" s="1" t="s">
        <v>646</v>
      </c>
      <c r="B626">
        <f>HYPERLINK("https://www.suredividend.com/sure-analysis-NYMT/","New York Mortgage Trust Inc")</f>
        <v>0</v>
      </c>
      <c r="C626">
        <v>3.74</v>
      </c>
      <c r="D626">
        <v>3.9</v>
      </c>
      <c r="E626">
        <v>0.958974358974359</v>
      </c>
      <c r="F626">
        <v>0.106951871657754</v>
      </c>
      <c r="G626">
        <v>0.008413383583903311</v>
      </c>
      <c r="H626">
        <v>0.02</v>
      </c>
      <c r="I626">
        <v>0.1101337441350745</v>
      </c>
      <c r="J626" t="s">
        <v>778</v>
      </c>
      <c r="K626" t="s">
        <v>346</v>
      </c>
      <c r="L626">
        <v>0.43</v>
      </c>
      <c r="M626">
        <v>0.4</v>
      </c>
      <c r="N626">
        <v>0.930232558139535</v>
      </c>
      <c r="O626">
        <v>0</v>
      </c>
      <c r="P626">
        <v>0</v>
      </c>
      <c r="Q626">
        <v>0.143533123028391</v>
      </c>
      <c r="R626" t="s">
        <v>780</v>
      </c>
      <c r="S626" t="s">
        <v>794</v>
      </c>
      <c r="T626">
        <v>1429.910011</v>
      </c>
      <c r="U626" s="2">
        <v>44526</v>
      </c>
      <c r="V626" t="s">
        <v>800</v>
      </c>
    </row>
    <row r="627" spans="1:22">
      <c r="A627" s="1" t="s">
        <v>647</v>
      </c>
      <c r="B627">
        <f>HYPERLINK("https://www.suredividend.com/sure-analysis-LTC/","LTC Properties, Inc.")</f>
        <v>0</v>
      </c>
      <c r="C627">
        <v>34.24</v>
      </c>
      <c r="D627">
        <v>36</v>
      </c>
      <c r="E627">
        <v>0.9511111111111111</v>
      </c>
      <c r="F627">
        <v>0.06658878504672897</v>
      </c>
      <c r="G627">
        <v>0.0100752948556313</v>
      </c>
      <c r="H627">
        <v>0.05</v>
      </c>
      <c r="I627">
        <v>0.1086490297197626</v>
      </c>
      <c r="J627" t="s">
        <v>778</v>
      </c>
      <c r="K627" t="s">
        <v>346</v>
      </c>
      <c r="L627">
        <v>2.4</v>
      </c>
      <c r="M627">
        <v>2.28</v>
      </c>
      <c r="N627">
        <v>0.95</v>
      </c>
      <c r="O627">
        <v>0</v>
      </c>
      <c r="P627">
        <v>0</v>
      </c>
      <c r="Q627">
        <v>-0.076034805679164</v>
      </c>
      <c r="R627" t="s">
        <v>782</v>
      </c>
      <c r="S627" t="s">
        <v>794</v>
      </c>
      <c r="T627">
        <v>1338.323756</v>
      </c>
      <c r="U627" s="2">
        <v>44510</v>
      </c>
      <c r="V627" t="s">
        <v>803</v>
      </c>
    </row>
    <row r="628" spans="1:22">
      <c r="A628" s="1" t="s">
        <v>648</v>
      </c>
      <c r="B628">
        <f>HYPERLINK("https://www.suredividend.com/sure-analysis-VICI/","VICI Properties Inc")</f>
        <v>0</v>
      </c>
      <c r="C628">
        <v>29.94</v>
      </c>
      <c r="D628">
        <v>31</v>
      </c>
      <c r="E628">
        <v>0.9658064516129032</v>
      </c>
      <c r="F628">
        <v>0.04809619238476954</v>
      </c>
      <c r="G628">
        <v>0.006982630771641851</v>
      </c>
      <c r="H628">
        <v>0.06</v>
      </c>
      <c r="I628">
        <v>0.1084424602957268</v>
      </c>
      <c r="J628" t="s">
        <v>778</v>
      </c>
      <c r="K628" t="s">
        <v>346</v>
      </c>
      <c r="L628">
        <v>2</v>
      </c>
      <c r="M628">
        <v>1.44</v>
      </c>
      <c r="N628">
        <v>0.72</v>
      </c>
      <c r="O628">
        <v>3</v>
      </c>
      <c r="P628">
        <v>0.06032490771095733</v>
      </c>
      <c r="Q628">
        <v>0.222113405484363</v>
      </c>
      <c r="R628" t="s">
        <v>782</v>
      </c>
      <c r="S628" t="s">
        <v>794</v>
      </c>
      <c r="T628">
        <v>18522.460672</v>
      </c>
      <c r="U628" s="2">
        <v>44509</v>
      </c>
      <c r="V628" t="s">
        <v>803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4.6</v>
      </c>
      <c r="D629">
        <v>3.6</v>
      </c>
      <c r="E629">
        <v>1.277777777777778</v>
      </c>
      <c r="F629">
        <v>0.1695652173913044</v>
      </c>
      <c r="G629">
        <v>-0.04784219046155758</v>
      </c>
      <c r="H629">
        <v>0.003</v>
      </c>
      <c r="I629">
        <v>0.1060440017252713</v>
      </c>
      <c r="J629" t="s">
        <v>778</v>
      </c>
      <c r="K629" t="s">
        <v>777</v>
      </c>
      <c r="L629">
        <v>0.96</v>
      </c>
      <c r="M629">
        <v>0.78</v>
      </c>
      <c r="N629">
        <v>0.8125000000000001</v>
      </c>
      <c r="O629">
        <v>0</v>
      </c>
      <c r="P629">
        <v>0.005076403090295889</v>
      </c>
      <c r="Q629">
        <v>0.03794790427079101</v>
      </c>
      <c r="R629" t="s">
        <v>782</v>
      </c>
      <c r="S629" t="s">
        <v>794</v>
      </c>
      <c r="T629">
        <v>833.637261</v>
      </c>
      <c r="U629" s="2">
        <v>44506</v>
      </c>
      <c r="V629" t="s">
        <v>805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47.52</v>
      </c>
      <c r="D630">
        <v>42</v>
      </c>
      <c r="E630">
        <v>1.131428571428571</v>
      </c>
      <c r="F630">
        <v>0.06313131313131312</v>
      </c>
      <c r="G630">
        <v>-0.02439375488522655</v>
      </c>
      <c r="H630">
        <v>0.08</v>
      </c>
      <c r="I630">
        <v>0.1045384084751642</v>
      </c>
      <c r="J630" t="s">
        <v>778</v>
      </c>
      <c r="K630" t="s">
        <v>346</v>
      </c>
      <c r="L630">
        <v>3</v>
      </c>
      <c r="M630">
        <v>3</v>
      </c>
      <c r="N630">
        <v>1</v>
      </c>
      <c r="O630">
        <v>0</v>
      </c>
      <c r="P630">
        <v>0.03012896281839894</v>
      </c>
      <c r="Q630">
        <v>0.570637727426179</v>
      </c>
      <c r="R630" t="s">
        <v>782</v>
      </c>
      <c r="S630" t="s">
        <v>794</v>
      </c>
      <c r="T630">
        <v>3584.676349</v>
      </c>
      <c r="U630" s="2">
        <v>44522</v>
      </c>
      <c r="V630" t="s">
        <v>800</v>
      </c>
    </row>
    <row r="631" spans="1:22">
      <c r="A631" s="1" t="s">
        <v>651</v>
      </c>
      <c r="B631">
        <f>HYPERLINK("https://www.suredividend.com/sure-analysis-CQP/","Cheniere Energy Partners LP")</f>
        <v>0</v>
      </c>
      <c r="C631">
        <v>42.14</v>
      </c>
      <c r="D631">
        <v>45</v>
      </c>
      <c r="E631">
        <v>0.9364444444444444</v>
      </c>
      <c r="F631">
        <v>0.06312292358803986</v>
      </c>
      <c r="G631">
        <v>0.01321963310185015</v>
      </c>
      <c r="H631">
        <v>0.04</v>
      </c>
      <c r="I631">
        <v>0.1038184183124142</v>
      </c>
      <c r="J631" t="s">
        <v>778</v>
      </c>
      <c r="K631" t="s">
        <v>346</v>
      </c>
      <c r="L631">
        <v>2.9</v>
      </c>
      <c r="M631">
        <v>2.66</v>
      </c>
      <c r="N631">
        <v>0.9172413793103449</v>
      </c>
      <c r="O631">
        <v>5</v>
      </c>
      <c r="P631">
        <v>0.02434894295516754</v>
      </c>
      <c r="Q631">
        <v>0.3473251161071561</v>
      </c>
      <c r="R631" t="s">
        <v>781</v>
      </c>
      <c r="S631" t="s">
        <v>793</v>
      </c>
      <c r="T631">
        <v>20290.354116</v>
      </c>
      <c r="U631" s="2">
        <v>44509</v>
      </c>
      <c r="V631" t="s">
        <v>803</v>
      </c>
    </row>
    <row r="632" spans="1:22">
      <c r="A632" s="1" t="s">
        <v>652</v>
      </c>
      <c r="B632">
        <f>HYPERLINK("https://www.suredividend.com/sure-analysis-PINE/","Alpine Income Property Trust Inc")</f>
        <v>0</v>
      </c>
      <c r="C632">
        <v>20.47</v>
      </c>
      <c r="D632">
        <v>18.88</v>
      </c>
      <c r="E632">
        <v>1.084216101694915</v>
      </c>
      <c r="F632">
        <v>0.05276013678553982</v>
      </c>
      <c r="G632">
        <v>-0.01604139193690468</v>
      </c>
      <c r="H632">
        <v>0.07000000000000001</v>
      </c>
      <c r="I632">
        <v>0.1009692795096344</v>
      </c>
      <c r="J632" t="s">
        <v>778</v>
      </c>
      <c r="K632" t="s">
        <v>346</v>
      </c>
      <c r="L632">
        <v>1.51</v>
      </c>
      <c r="M632">
        <v>1.08</v>
      </c>
      <c r="N632">
        <v>0.7152317880794702</v>
      </c>
      <c r="O632">
        <v>3</v>
      </c>
      <c r="P632">
        <v>0.06932726018096602</v>
      </c>
      <c r="Q632">
        <v>0.480913801912268</v>
      </c>
      <c r="R632" t="s">
        <v>782</v>
      </c>
      <c r="S632" t="s">
        <v>794</v>
      </c>
      <c r="T632">
        <v>229.340751</v>
      </c>
      <c r="U632" s="2">
        <v>44494</v>
      </c>
      <c r="V632" t="s">
        <v>795</v>
      </c>
    </row>
    <row r="633" spans="1:22">
      <c r="A633" s="1" t="s">
        <v>653</v>
      </c>
      <c r="B633">
        <f>HYPERLINK("https://www.suredividend.com/sure-analysis-QSR/","Restaurant Brands International Inc")</f>
        <v>0</v>
      </c>
      <c r="C633">
        <v>60.47</v>
      </c>
      <c r="D633">
        <v>53</v>
      </c>
      <c r="E633">
        <v>1.140943396226415</v>
      </c>
      <c r="F633">
        <v>0.03505870679675872</v>
      </c>
      <c r="G633">
        <v>-0.02602641141191786</v>
      </c>
      <c r="H633">
        <v>0.1</v>
      </c>
      <c r="I633">
        <v>0.09941621518921595</v>
      </c>
      <c r="J633" t="s">
        <v>778</v>
      </c>
      <c r="K633" t="s">
        <v>524</v>
      </c>
      <c r="L633">
        <v>2.8</v>
      </c>
      <c r="M633">
        <v>2.12</v>
      </c>
      <c r="N633">
        <v>0.7571428571428572</v>
      </c>
      <c r="O633">
        <v>9</v>
      </c>
      <c r="P633">
        <v>0.03517300006217261</v>
      </c>
      <c r="Q633">
        <v>0.027535361406935</v>
      </c>
      <c r="R633" t="s">
        <v>780</v>
      </c>
      <c r="S633" t="s">
        <v>788</v>
      </c>
      <c r="T633">
        <v>19048.975378</v>
      </c>
      <c r="U633" s="2">
        <v>44495</v>
      </c>
      <c r="V633" t="s">
        <v>803</v>
      </c>
    </row>
    <row r="634" spans="1:22">
      <c r="A634" s="1" t="s">
        <v>654</v>
      </c>
      <c r="B634">
        <f>HYPERLINK("https://www.suredividend.com/sure-analysis-MGP/","MGM Growth Properties LLC")</f>
        <v>0</v>
      </c>
      <c r="C634">
        <v>40.55</v>
      </c>
      <c r="D634">
        <v>38</v>
      </c>
      <c r="E634">
        <v>1.067105263157895</v>
      </c>
      <c r="F634">
        <v>0.05178791615289766</v>
      </c>
      <c r="G634">
        <v>-0.0129059192347124</v>
      </c>
      <c r="H634">
        <v>0.07000000000000001</v>
      </c>
      <c r="I634">
        <v>0.09866786245530834</v>
      </c>
      <c r="J634" t="s">
        <v>778</v>
      </c>
      <c r="K634" t="s">
        <v>346</v>
      </c>
      <c r="L634">
        <v>2.54</v>
      </c>
      <c r="M634">
        <v>2.1</v>
      </c>
      <c r="N634">
        <v>0.8267716535433071</v>
      </c>
      <c r="O634">
        <v>5</v>
      </c>
      <c r="P634">
        <v>0.03382368391565871</v>
      </c>
      <c r="Q634">
        <v>0.363428201985372</v>
      </c>
      <c r="R634" t="s">
        <v>782</v>
      </c>
      <c r="S634" t="s">
        <v>794</v>
      </c>
      <c r="T634">
        <v>6343.197169</v>
      </c>
      <c r="U634" s="2">
        <v>44507</v>
      </c>
      <c r="V634" t="s">
        <v>798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10.87</v>
      </c>
      <c r="D635">
        <v>12.4</v>
      </c>
      <c r="E635">
        <v>0.8766129032258063</v>
      </c>
      <c r="F635">
        <v>0.031278748850046</v>
      </c>
      <c r="G635">
        <v>0.02668786342309981</v>
      </c>
      <c r="H635">
        <v>0.042</v>
      </c>
      <c r="I635">
        <v>0.09675824693786628</v>
      </c>
      <c r="J635" t="s">
        <v>778</v>
      </c>
      <c r="K635" t="s">
        <v>778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-0.059990916958723</v>
      </c>
      <c r="R635" t="s">
        <v>780</v>
      </c>
      <c r="S635" t="s">
        <v>792</v>
      </c>
      <c r="T635">
        <v>166.861368</v>
      </c>
      <c r="U635" s="2">
        <v>44517</v>
      </c>
      <c r="V635" t="s">
        <v>805</v>
      </c>
    </row>
    <row r="636" spans="1:22">
      <c r="A636" s="1" t="s">
        <v>656</v>
      </c>
      <c r="B636">
        <f>HYPERLINK("https://www.suredividend.com/sure-analysis-ORCC/","Owl Rock Capital Corp")</f>
        <v>0</v>
      </c>
      <c r="C636">
        <v>14.11</v>
      </c>
      <c r="D636">
        <v>14.64</v>
      </c>
      <c r="E636">
        <v>0.9637978142076502</v>
      </c>
      <c r="F636">
        <v>0.08788093550673282</v>
      </c>
      <c r="G636">
        <v>0.007402008963390383</v>
      </c>
      <c r="H636">
        <v>0.02</v>
      </c>
      <c r="I636">
        <v>0.09648702175618973</v>
      </c>
      <c r="J636" t="s">
        <v>778</v>
      </c>
      <c r="K636" t="s">
        <v>346</v>
      </c>
      <c r="L636">
        <v>1.22</v>
      </c>
      <c r="M636">
        <v>1.24</v>
      </c>
      <c r="N636">
        <v>1.016393442622951</v>
      </c>
      <c r="O636">
        <v>0</v>
      </c>
      <c r="P636">
        <v>0</v>
      </c>
      <c r="Q636">
        <v>0.218691651667816</v>
      </c>
      <c r="R636" t="s">
        <v>783</v>
      </c>
      <c r="S636" t="s">
        <v>789</v>
      </c>
      <c r="T636">
        <v>5696.780507</v>
      </c>
      <c r="U636" s="2">
        <v>44509</v>
      </c>
      <c r="V636" t="s">
        <v>795</v>
      </c>
    </row>
    <row r="637" spans="1:22">
      <c r="A637" s="1" t="s">
        <v>657</v>
      </c>
      <c r="B637">
        <f>HYPERLINK("https://www.suredividend.com/sure-analysis-VOD/","Vodafone Group plc")</f>
        <v>0</v>
      </c>
      <c r="C637">
        <v>15.15</v>
      </c>
      <c r="D637">
        <v>16</v>
      </c>
      <c r="E637">
        <v>0.946875</v>
      </c>
      <c r="F637">
        <v>0.06732673267326733</v>
      </c>
      <c r="G637">
        <v>0.01097745294817321</v>
      </c>
      <c r="H637">
        <v>0.03</v>
      </c>
      <c r="I637">
        <v>0.0931449971895435</v>
      </c>
      <c r="J637" t="s">
        <v>778</v>
      </c>
      <c r="K637" t="s">
        <v>346</v>
      </c>
      <c r="L637">
        <v>1.15</v>
      </c>
      <c r="M637">
        <v>1.02</v>
      </c>
      <c r="N637">
        <v>0.8869565217391305</v>
      </c>
      <c r="O637">
        <v>0</v>
      </c>
      <c r="P637">
        <v>0</v>
      </c>
      <c r="Q637">
        <v>-0.021227018999334</v>
      </c>
      <c r="R637" t="s">
        <v>780</v>
      </c>
      <c r="S637" t="s">
        <v>784</v>
      </c>
      <c r="T637">
        <v>41642.953205</v>
      </c>
      <c r="U637" s="2">
        <v>44528</v>
      </c>
      <c r="V637" t="s">
        <v>800</v>
      </c>
    </row>
    <row r="638" spans="1:22">
      <c r="A638" s="1" t="s">
        <v>658</v>
      </c>
      <c r="B638">
        <f>HYPERLINK("https://www.suredividend.com/sure-analysis-NLY/","Annaly Capital Management Inc")</f>
        <v>0</v>
      </c>
      <c r="C638">
        <v>7.95</v>
      </c>
      <c r="D638">
        <v>7.8</v>
      </c>
      <c r="E638">
        <v>1.019230769230769</v>
      </c>
      <c r="F638">
        <v>0.1106918238993711</v>
      </c>
      <c r="G638">
        <v>-0.003802391525839721</v>
      </c>
      <c r="H638">
        <v>-0.004</v>
      </c>
      <c r="I638">
        <v>0.09296100697428766</v>
      </c>
      <c r="J638" t="s">
        <v>778</v>
      </c>
      <c r="K638" t="s">
        <v>777</v>
      </c>
      <c r="L638">
        <v>1.12</v>
      </c>
      <c r="M638">
        <v>0.88</v>
      </c>
      <c r="N638">
        <v>0.7857142857142857</v>
      </c>
      <c r="O638">
        <v>0</v>
      </c>
      <c r="P638">
        <v>0.02589630491023409</v>
      </c>
      <c r="Q638">
        <v>0.07382023647588101</v>
      </c>
      <c r="R638" t="s">
        <v>782</v>
      </c>
      <c r="S638" t="s">
        <v>794</v>
      </c>
      <c r="T638">
        <v>11905.490848</v>
      </c>
      <c r="U638" s="2">
        <v>44503</v>
      </c>
      <c r="V638" t="s">
        <v>805</v>
      </c>
    </row>
    <row r="639" spans="1:22">
      <c r="A639" s="1" t="s">
        <v>659</v>
      </c>
      <c r="B639">
        <f>HYPERLINK("https://www.suredividend.com/sure-analysis-PMT/","Pennymac Mortgage Investment Trust")</f>
        <v>0</v>
      </c>
      <c r="C639">
        <v>17.51</v>
      </c>
      <c r="D639">
        <v>17</v>
      </c>
      <c r="E639">
        <v>1.03</v>
      </c>
      <c r="F639">
        <v>0.107367218732153</v>
      </c>
      <c r="G639">
        <v>-0.005894320376609419</v>
      </c>
      <c r="H639">
        <v>0.01</v>
      </c>
      <c r="I639">
        <v>0.09262412803598075</v>
      </c>
      <c r="J639" t="s">
        <v>778</v>
      </c>
      <c r="K639" t="s">
        <v>346</v>
      </c>
      <c r="L639">
        <v>1.9</v>
      </c>
      <c r="M639">
        <v>1.88</v>
      </c>
      <c r="N639">
        <v>0.9894736842105263</v>
      </c>
      <c r="O639">
        <v>1</v>
      </c>
      <c r="P639">
        <v>0</v>
      </c>
      <c r="Q639">
        <v>0.09847386187616801</v>
      </c>
      <c r="R639" t="s">
        <v>782</v>
      </c>
      <c r="S639" t="s">
        <v>789</v>
      </c>
      <c r="T639">
        <v>1726.719153</v>
      </c>
      <c r="U639" s="2">
        <v>44512</v>
      </c>
      <c r="V639" t="s">
        <v>802</v>
      </c>
    </row>
    <row r="640" spans="1:22">
      <c r="A640" s="1" t="s">
        <v>660</v>
      </c>
      <c r="B640">
        <f>HYPERLINK("https://www.suredividend.com/sure-analysis-GSBD/","Goldman Sachs BDC Inc")</f>
        <v>0</v>
      </c>
      <c r="C640">
        <v>19.09</v>
      </c>
      <c r="D640">
        <v>20.64</v>
      </c>
      <c r="E640">
        <v>0.9249031007751938</v>
      </c>
      <c r="F640">
        <v>0.09429020429544265</v>
      </c>
      <c r="G640">
        <v>0.01573578436277723</v>
      </c>
      <c r="H640">
        <v>0</v>
      </c>
      <c r="I640">
        <v>0.09197942168904083</v>
      </c>
      <c r="J640" t="s">
        <v>778</v>
      </c>
      <c r="K640" t="s">
        <v>346</v>
      </c>
      <c r="L640">
        <v>2.15</v>
      </c>
      <c r="M640">
        <v>1.8</v>
      </c>
      <c r="N640">
        <v>0.8372093023255814</v>
      </c>
      <c r="O640">
        <v>0</v>
      </c>
      <c r="P640">
        <v>0</v>
      </c>
      <c r="Q640">
        <v>0.110248978753508</v>
      </c>
      <c r="R640" t="s">
        <v>783</v>
      </c>
      <c r="S640" t="s">
        <v>789</v>
      </c>
      <c r="T640">
        <v>1981.394062</v>
      </c>
      <c r="U640" s="2">
        <v>44513</v>
      </c>
      <c r="V640" t="s">
        <v>795</v>
      </c>
    </row>
    <row r="641" spans="1:22">
      <c r="A641" s="1" t="s">
        <v>661</v>
      </c>
      <c r="B641">
        <f>HYPERLINK("https://www.suredividend.com/sure-analysis-ACRE/","Ares Commercial Real Estate Corp")</f>
        <v>0</v>
      </c>
      <c r="C641">
        <v>14.48</v>
      </c>
      <c r="D641">
        <v>15.87</v>
      </c>
      <c r="E641">
        <v>0.9124133585381223</v>
      </c>
      <c r="F641">
        <v>0.09116022099447514</v>
      </c>
      <c r="G641">
        <v>0.01850150007991203</v>
      </c>
      <c r="H641">
        <v>0</v>
      </c>
      <c r="I641">
        <v>0.09185986447005279</v>
      </c>
      <c r="J641" t="s">
        <v>778</v>
      </c>
      <c r="K641" t="s">
        <v>346</v>
      </c>
      <c r="L641">
        <v>1.38</v>
      </c>
      <c r="M641">
        <v>1.32</v>
      </c>
      <c r="N641">
        <v>0.9565217391304349</v>
      </c>
      <c r="O641">
        <v>0</v>
      </c>
      <c r="P641">
        <v>0</v>
      </c>
      <c r="Q641">
        <v>0.285621901271825</v>
      </c>
      <c r="R641" t="s">
        <v>782</v>
      </c>
      <c r="S641" t="s">
        <v>794</v>
      </c>
      <c r="T641">
        <v>700.797151</v>
      </c>
      <c r="U641" s="2">
        <v>44506</v>
      </c>
      <c r="V641" t="s">
        <v>795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48.03</v>
      </c>
      <c r="D642">
        <v>50</v>
      </c>
      <c r="E642">
        <v>0.9606</v>
      </c>
      <c r="F642">
        <v>0.05309181761399125</v>
      </c>
      <c r="G642">
        <v>0.008071841007477376</v>
      </c>
      <c r="H642">
        <v>0.04</v>
      </c>
      <c r="I642">
        <v>0.09141719876650534</v>
      </c>
      <c r="J642" t="s">
        <v>778</v>
      </c>
      <c r="K642" t="s">
        <v>346</v>
      </c>
      <c r="L642">
        <v>3.3</v>
      </c>
      <c r="M642">
        <v>2.55</v>
      </c>
      <c r="N642">
        <v>0.7727272727272727</v>
      </c>
      <c r="O642">
        <v>1</v>
      </c>
      <c r="P642">
        <v>0.02033265364950054</v>
      </c>
      <c r="Q642">
        <v>0.273816435319575</v>
      </c>
      <c r="R642" t="s">
        <v>782</v>
      </c>
      <c r="S642" t="s">
        <v>794</v>
      </c>
      <c r="T642">
        <v>5952.440923</v>
      </c>
      <c r="U642" s="2">
        <v>44509</v>
      </c>
      <c r="V642" t="s">
        <v>795</v>
      </c>
    </row>
    <row r="643" spans="1:22">
      <c r="A643" s="1" t="s">
        <v>663</v>
      </c>
      <c r="B643">
        <f>HYPERLINK("https://www.suredividend.com/sure-analysis-AAT/","American Assets Trust Inc")</f>
        <v>0</v>
      </c>
      <c r="C643">
        <v>37.5</v>
      </c>
      <c r="D643">
        <v>38</v>
      </c>
      <c r="E643">
        <v>0.9868421052631579</v>
      </c>
      <c r="F643">
        <v>0.032</v>
      </c>
      <c r="G643">
        <v>0.002652557170943703</v>
      </c>
      <c r="H643">
        <v>0.06</v>
      </c>
      <c r="I643">
        <v>0.09042335653892741</v>
      </c>
      <c r="J643" t="s">
        <v>778</v>
      </c>
      <c r="K643" t="s">
        <v>524</v>
      </c>
      <c r="L643">
        <v>1.92</v>
      </c>
      <c r="M643">
        <v>1.2</v>
      </c>
      <c r="N643">
        <v>0.625</v>
      </c>
      <c r="O643">
        <v>1</v>
      </c>
      <c r="P643">
        <v>0.04978904632428516</v>
      </c>
      <c r="Q643">
        <v>0.337846198638861</v>
      </c>
      <c r="R643" t="s">
        <v>782</v>
      </c>
      <c r="S643" t="s">
        <v>794</v>
      </c>
      <c r="T643">
        <v>2222.953109</v>
      </c>
      <c r="U643" s="2">
        <v>44502</v>
      </c>
      <c r="V643" t="s">
        <v>803</v>
      </c>
    </row>
    <row r="644" spans="1:22">
      <c r="A644" s="1" t="s">
        <v>664</v>
      </c>
      <c r="B644">
        <f>HYPERLINK("https://www.suredividend.com/sure-analysis-KREF/","KKR Real Estate Finance Trust Inc")</f>
        <v>0</v>
      </c>
      <c r="C644">
        <v>20.83</v>
      </c>
      <c r="D644">
        <v>21.53</v>
      </c>
      <c r="E644">
        <v>0.9674872271249418</v>
      </c>
      <c r="F644">
        <v>0.08257321171387423</v>
      </c>
      <c r="G644">
        <v>0.006632509538194276</v>
      </c>
      <c r="H644">
        <v>0.015</v>
      </c>
      <c r="I644">
        <v>0.09008536233419195</v>
      </c>
      <c r="J644" t="s">
        <v>778</v>
      </c>
      <c r="K644" t="s">
        <v>346</v>
      </c>
      <c r="L644">
        <v>2.05</v>
      </c>
      <c r="M644">
        <v>1.72</v>
      </c>
      <c r="N644">
        <v>0.8390243902439025</v>
      </c>
      <c r="O644">
        <v>0</v>
      </c>
      <c r="P644">
        <v>0.01025271344829148</v>
      </c>
      <c r="Q644">
        <v>0.255547837961927</v>
      </c>
      <c r="R644" t="s">
        <v>782</v>
      </c>
      <c r="S644" t="s">
        <v>794</v>
      </c>
      <c r="T644">
        <v>1309.037714</v>
      </c>
      <c r="U644" s="2">
        <v>44495</v>
      </c>
      <c r="V644" t="s">
        <v>795</v>
      </c>
    </row>
    <row r="645" spans="1:22">
      <c r="A645" s="1" t="s">
        <v>665</v>
      </c>
      <c r="B645">
        <f>HYPERLINK("https://www.suredividend.com/sure-analysis-HR/","Healthcare Realty Trust, Inc.")</f>
        <v>0</v>
      </c>
      <c r="C645">
        <v>31.94</v>
      </c>
      <c r="D645">
        <v>32</v>
      </c>
      <c r="E645">
        <v>0.998125</v>
      </c>
      <c r="F645">
        <v>0.03788353162179085</v>
      </c>
      <c r="G645">
        <v>0.00037542245594957</v>
      </c>
      <c r="H645">
        <v>0.06</v>
      </c>
      <c r="I645">
        <v>0.08959339646683495</v>
      </c>
      <c r="J645" t="s">
        <v>778</v>
      </c>
      <c r="K645" t="s">
        <v>524</v>
      </c>
      <c r="L645">
        <v>1.72</v>
      </c>
      <c r="M645">
        <v>1.21</v>
      </c>
      <c r="N645">
        <v>0.7034883720930233</v>
      </c>
      <c r="O645">
        <v>1</v>
      </c>
      <c r="P645">
        <v>0.00972630418295628</v>
      </c>
      <c r="Q645">
        <v>0.132183582807503</v>
      </c>
      <c r="R645" t="s">
        <v>782</v>
      </c>
      <c r="S645" t="s">
        <v>794</v>
      </c>
      <c r="T645">
        <v>4722.814042</v>
      </c>
      <c r="U645" s="2">
        <v>44513</v>
      </c>
      <c r="V645" t="s">
        <v>802</v>
      </c>
    </row>
    <row r="646" spans="1:22">
      <c r="A646" s="1" t="s">
        <v>666</v>
      </c>
      <c r="B646">
        <f>HYPERLINK("https://www.suredividend.com/sure-analysis-USAC/","USA Compression Partners LP")</f>
        <v>0</v>
      </c>
      <c r="C646">
        <v>16.97</v>
      </c>
      <c r="D646">
        <v>14.8</v>
      </c>
      <c r="E646">
        <v>1.146621621621621</v>
      </c>
      <c r="F646">
        <v>0.1237477902180318</v>
      </c>
      <c r="G646">
        <v>-0.02699297773546572</v>
      </c>
      <c r="H646">
        <v>0.01</v>
      </c>
      <c r="I646">
        <v>0.08953622969804442</v>
      </c>
      <c r="J646" t="s">
        <v>778</v>
      </c>
      <c r="K646" t="s">
        <v>346</v>
      </c>
      <c r="L646">
        <v>2.11</v>
      </c>
      <c r="M646">
        <v>2.1</v>
      </c>
      <c r="N646">
        <v>0.9952606635071091</v>
      </c>
      <c r="O646">
        <v>0</v>
      </c>
      <c r="P646">
        <v>0</v>
      </c>
      <c r="Q646">
        <v>0.502760822697874</v>
      </c>
      <c r="R646" t="s">
        <v>781</v>
      </c>
      <c r="S646" t="s">
        <v>793</v>
      </c>
      <c r="T646">
        <v>1603.550474</v>
      </c>
      <c r="U646" s="2">
        <v>44502</v>
      </c>
      <c r="V646" t="s">
        <v>802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15.33</v>
      </c>
      <c r="D647">
        <v>12.4</v>
      </c>
      <c r="E647">
        <v>1.236290322580645</v>
      </c>
      <c r="F647">
        <v>0.1043705153294194</v>
      </c>
      <c r="G647">
        <v>-0.04153577779669393</v>
      </c>
      <c r="H647">
        <v>0.04</v>
      </c>
      <c r="I647">
        <v>0.08948207370648231</v>
      </c>
      <c r="J647" t="s">
        <v>778</v>
      </c>
      <c r="K647" t="s">
        <v>346</v>
      </c>
      <c r="L647">
        <v>1.77</v>
      </c>
      <c r="M647">
        <v>1.6</v>
      </c>
      <c r="N647">
        <v>0.903954802259887</v>
      </c>
      <c r="O647">
        <v>0</v>
      </c>
      <c r="P647">
        <v>0.01808400232019891</v>
      </c>
      <c r="Q647">
        <v>-0.011309481470943</v>
      </c>
      <c r="R647" t="s">
        <v>782</v>
      </c>
      <c r="S647" t="s">
        <v>794</v>
      </c>
      <c r="T647">
        <v>1584.109411</v>
      </c>
      <c r="U647" s="2">
        <v>44509</v>
      </c>
      <c r="V647" t="s">
        <v>805</v>
      </c>
    </row>
    <row r="648" spans="1:22">
      <c r="A648" s="1" t="s">
        <v>668</v>
      </c>
      <c r="B648">
        <f>HYPERLINK("https://www.suredividend.com/sure-analysis-NRZ/","New Residential Investment Corp")</f>
        <v>0</v>
      </c>
      <c r="C648">
        <v>10.76</v>
      </c>
      <c r="D648">
        <v>10</v>
      </c>
      <c r="E648">
        <v>1.076</v>
      </c>
      <c r="F648">
        <v>0.0929368029739777</v>
      </c>
      <c r="G648">
        <v>-0.01454330187780895</v>
      </c>
      <c r="H648">
        <v>0.02</v>
      </c>
      <c r="I648">
        <v>0.08941629411077168</v>
      </c>
      <c r="J648" t="s">
        <v>778</v>
      </c>
      <c r="K648" t="s">
        <v>777</v>
      </c>
      <c r="L648">
        <v>1.3</v>
      </c>
      <c r="M648">
        <v>1</v>
      </c>
      <c r="N648">
        <v>0.7692307692307692</v>
      </c>
      <c r="O648">
        <v>1</v>
      </c>
      <c r="P648">
        <v>0.03012896281839894</v>
      </c>
      <c r="Q648">
        <v>0.199045990655935</v>
      </c>
      <c r="R648" t="s">
        <v>782</v>
      </c>
      <c r="S648" t="s">
        <v>794</v>
      </c>
      <c r="T648">
        <v>5137.044919</v>
      </c>
      <c r="U648" s="2">
        <v>44503</v>
      </c>
      <c r="V648" t="s">
        <v>797</v>
      </c>
    </row>
    <row r="649" spans="1:22">
      <c r="A649" s="1" t="s">
        <v>669</v>
      </c>
      <c r="B649">
        <f>HYPERLINK("https://www.suredividend.com/sure-analysis-EPRT/","Essential Properties Realty Trust Inc")</f>
        <v>0</v>
      </c>
      <c r="C649">
        <v>28.64</v>
      </c>
      <c r="D649">
        <v>27.05</v>
      </c>
      <c r="E649">
        <v>1.058780036968577</v>
      </c>
      <c r="F649">
        <v>0.03631284916201118</v>
      </c>
      <c r="G649">
        <v>-0.01135846730085077</v>
      </c>
      <c r="H649">
        <v>0.07000000000000001</v>
      </c>
      <c r="I649">
        <v>0.08887426785317865</v>
      </c>
      <c r="J649" t="s">
        <v>778</v>
      </c>
      <c r="K649" t="s">
        <v>524</v>
      </c>
      <c r="L649">
        <v>1.48</v>
      </c>
      <c r="M649">
        <v>1.04</v>
      </c>
      <c r="N649">
        <v>0.7027027027027027</v>
      </c>
      <c r="O649">
        <v>3</v>
      </c>
      <c r="P649">
        <v>0.0424022162772979</v>
      </c>
      <c r="Q649">
        <v>0.446258299635564</v>
      </c>
      <c r="R649" t="s">
        <v>782</v>
      </c>
      <c r="S649" t="s">
        <v>794</v>
      </c>
      <c r="T649">
        <v>3521.994782</v>
      </c>
      <c r="U649" s="2">
        <v>44508</v>
      </c>
      <c r="V649" t="s">
        <v>802</v>
      </c>
    </row>
    <row r="650" spans="1:22">
      <c r="A650" s="1" t="s">
        <v>670</v>
      </c>
      <c r="B650">
        <f>HYPERLINK("https://www.suredividend.com/sure-analysis-AQN/","Algonquin Power &amp; Utilities Corp")</f>
        <v>0</v>
      </c>
      <c r="C650">
        <v>14.43</v>
      </c>
      <c r="D650">
        <v>13</v>
      </c>
      <c r="E650">
        <v>1.11</v>
      </c>
      <c r="F650">
        <v>0.04712404712404713</v>
      </c>
      <c r="G650">
        <v>-0.02065569038251347</v>
      </c>
      <c r="H650">
        <v>0.065</v>
      </c>
      <c r="I650">
        <v>0.08620526476133672</v>
      </c>
      <c r="J650" t="s">
        <v>778</v>
      </c>
      <c r="K650" t="s">
        <v>524</v>
      </c>
      <c r="L650">
        <v>0.73</v>
      </c>
      <c r="M650">
        <v>0.68</v>
      </c>
      <c r="N650">
        <v>0.9315068493150686</v>
      </c>
      <c r="O650">
        <v>9</v>
      </c>
      <c r="P650">
        <v>0.05530068195228077</v>
      </c>
      <c r="Q650">
        <v>-0.09287799365956201</v>
      </c>
      <c r="R650" t="s">
        <v>780</v>
      </c>
      <c r="S650" t="s">
        <v>792</v>
      </c>
      <c r="T650">
        <v>9708.598764</v>
      </c>
      <c r="U650" s="2">
        <v>44513</v>
      </c>
      <c r="V650" t="s">
        <v>804</v>
      </c>
    </row>
    <row r="651" spans="1:22">
      <c r="A651" s="1" t="s">
        <v>671</v>
      </c>
      <c r="B651">
        <f>HYPERLINK("https://www.suredividend.com/sure-analysis-MRCC/","Monroe Capital Corp")</f>
        <v>0</v>
      </c>
      <c r="C651">
        <v>11.18</v>
      </c>
      <c r="D651">
        <v>11.6</v>
      </c>
      <c r="E651">
        <v>0.9637931034482758</v>
      </c>
      <c r="F651">
        <v>0.08944543828264759</v>
      </c>
      <c r="G651">
        <v>0.007402993743041097</v>
      </c>
      <c r="H651">
        <v>0</v>
      </c>
      <c r="I651">
        <v>0.0860989326966497</v>
      </c>
      <c r="J651" t="s">
        <v>778</v>
      </c>
      <c r="K651" t="s">
        <v>777</v>
      </c>
      <c r="L651">
        <v>1.45</v>
      </c>
      <c r="M651">
        <v>1</v>
      </c>
      <c r="N651">
        <v>0.6896551724137931</v>
      </c>
      <c r="O651">
        <v>0</v>
      </c>
      <c r="P651">
        <v>0.01924487649145656</v>
      </c>
      <c r="Q651">
        <v>0.5479237183191611</v>
      </c>
      <c r="R651" t="s">
        <v>783</v>
      </c>
      <c r="S651" t="s">
        <v>789</v>
      </c>
      <c r="T651">
        <v>242.364825</v>
      </c>
      <c r="U651" s="2">
        <v>44507</v>
      </c>
      <c r="V651" t="s">
        <v>795</v>
      </c>
    </row>
    <row r="652" spans="1:22">
      <c r="A652" s="1" t="s">
        <v>672</v>
      </c>
      <c r="B652">
        <f>HYPERLINK("https://www.suredividend.com/sure-analysis-WSO/","Watsco Inc.")</f>
        <v>0</v>
      </c>
      <c r="C652">
        <v>308.93</v>
      </c>
      <c r="D652">
        <v>257</v>
      </c>
      <c r="E652">
        <v>1.202062256809339</v>
      </c>
      <c r="F652">
        <v>0.02524843815751141</v>
      </c>
      <c r="G652">
        <v>-0.03613855680214217</v>
      </c>
      <c r="H652">
        <v>0.1</v>
      </c>
      <c r="I652">
        <v>0.08581762599897247</v>
      </c>
      <c r="J652" t="s">
        <v>778</v>
      </c>
      <c r="K652" t="s">
        <v>778</v>
      </c>
      <c r="L652">
        <v>10.29</v>
      </c>
      <c r="M652">
        <v>7.8</v>
      </c>
      <c r="N652">
        <v>0.7580174927113703</v>
      </c>
      <c r="O652">
        <v>8</v>
      </c>
      <c r="P652">
        <v>0.0999653567765697</v>
      </c>
      <c r="Q652">
        <v>0.409071013344619</v>
      </c>
      <c r="R652" t="s">
        <v>782</v>
      </c>
      <c r="S652" t="s">
        <v>794</v>
      </c>
      <c r="T652">
        <v>12054.844194</v>
      </c>
      <c r="U652" s="2">
        <v>44490</v>
      </c>
      <c r="V652" t="s">
        <v>796</v>
      </c>
    </row>
    <row r="653" spans="1:22">
      <c r="A653" s="1" t="s">
        <v>673</v>
      </c>
      <c r="B653">
        <f>HYPERLINK("https://www.suredividend.com/sure-analysis-IDEXY/","Industria De Diseno Textil SA")</f>
        <v>0</v>
      </c>
      <c r="C653">
        <v>16.055</v>
      </c>
      <c r="D653">
        <v>15.5</v>
      </c>
      <c r="E653">
        <v>1.035806451612903</v>
      </c>
      <c r="F653">
        <v>0.02553721582061663</v>
      </c>
      <c r="G653">
        <v>-0.007011365600742558</v>
      </c>
      <c r="H653">
        <v>0.07000000000000001</v>
      </c>
      <c r="I653">
        <v>0.08471127363195707</v>
      </c>
      <c r="J653" t="s">
        <v>778</v>
      </c>
      <c r="K653" t="s">
        <v>778</v>
      </c>
      <c r="L653">
        <v>0.62</v>
      </c>
      <c r="M653">
        <v>0.41</v>
      </c>
      <c r="N653">
        <v>0.6612903225806451</v>
      </c>
      <c r="O653">
        <v>1</v>
      </c>
      <c r="P653">
        <v>0.04868220215701746</v>
      </c>
      <c r="Q653">
        <v>-0.017764778325123</v>
      </c>
      <c r="R653" t="s">
        <v>780</v>
      </c>
      <c r="S653" t="s">
        <v>788</v>
      </c>
      <c r="T653">
        <v>99430.548756</v>
      </c>
      <c r="U653" s="2">
        <v>44551</v>
      </c>
      <c r="V653" t="s">
        <v>795</v>
      </c>
    </row>
    <row r="654" spans="1:22">
      <c r="A654" s="1" t="s">
        <v>674</v>
      </c>
      <c r="B654">
        <f>HYPERLINK("https://www.suredividend.com/sure-analysis-CTRE/","CareTrust REIT Inc")</f>
        <v>0</v>
      </c>
      <c r="C654">
        <v>22.79</v>
      </c>
      <c r="D654">
        <v>22</v>
      </c>
      <c r="E654">
        <v>1.035909090909091</v>
      </c>
      <c r="F654">
        <v>0.04651162790697675</v>
      </c>
      <c r="G654">
        <v>-0.007031043716327678</v>
      </c>
      <c r="H654">
        <v>0.05</v>
      </c>
      <c r="I654">
        <v>0.08469482227992575</v>
      </c>
      <c r="J654" t="s">
        <v>778</v>
      </c>
      <c r="K654" t="s">
        <v>346</v>
      </c>
      <c r="L654">
        <v>1.5</v>
      </c>
      <c r="M654">
        <v>1.06</v>
      </c>
      <c r="N654">
        <v>0.7066666666666667</v>
      </c>
      <c r="O654">
        <v>5</v>
      </c>
      <c r="P654">
        <v>0.04955591526723868</v>
      </c>
      <c r="Q654">
        <v>0.069476167296963</v>
      </c>
      <c r="R654" t="s">
        <v>782</v>
      </c>
      <c r="S654" t="s">
        <v>794</v>
      </c>
      <c r="T654">
        <v>2217.200531</v>
      </c>
      <c r="U654" s="2">
        <v>44508</v>
      </c>
      <c r="V654" t="s">
        <v>802</v>
      </c>
    </row>
    <row r="655" spans="1:22">
      <c r="A655" s="1" t="s">
        <v>675</v>
      </c>
      <c r="B655">
        <f>HYPERLINK("https://www.suredividend.com/sure-analysis-NTST/","Netstreit Corp")</f>
        <v>0</v>
      </c>
      <c r="C655">
        <v>22.73</v>
      </c>
      <c r="D655">
        <v>21</v>
      </c>
      <c r="E655">
        <v>1.082380952380952</v>
      </c>
      <c r="F655">
        <v>0.03519577650681918</v>
      </c>
      <c r="G655">
        <v>-0.01570796264103136</v>
      </c>
      <c r="H655">
        <v>0.07000000000000001</v>
      </c>
      <c r="I655">
        <v>0.08445414249582539</v>
      </c>
      <c r="J655" t="s">
        <v>778</v>
      </c>
      <c r="K655" t="s">
        <v>524</v>
      </c>
      <c r="L655">
        <v>0.9399999999999999</v>
      </c>
      <c r="M655">
        <v>0.8</v>
      </c>
      <c r="N655">
        <v>0.8510638297872342</v>
      </c>
      <c r="O655">
        <v>1</v>
      </c>
      <c r="P655">
        <v>0.04978904632428516</v>
      </c>
      <c r="Q655">
        <v>0.214568368531979</v>
      </c>
      <c r="R655" t="s">
        <v>782</v>
      </c>
      <c r="S655" t="s">
        <v>794</v>
      </c>
      <c r="T655">
        <v>895.127033</v>
      </c>
      <c r="U655" s="2">
        <v>44502</v>
      </c>
      <c r="V655" t="s">
        <v>802</v>
      </c>
    </row>
    <row r="656" spans="1:22">
      <c r="A656" s="1" t="s">
        <v>676</v>
      </c>
      <c r="B656">
        <f>HYPERLINK("https://www.suredividend.com/sure-analysis-CBRL/","Cracker Barrel Old Country Store Inc")</f>
        <v>0</v>
      </c>
      <c r="C656">
        <v>129.29</v>
      </c>
      <c r="D656">
        <v>127</v>
      </c>
      <c r="E656">
        <v>1.018031496062992</v>
      </c>
      <c r="F656">
        <v>0.04021966122669967</v>
      </c>
      <c r="G656">
        <v>-0.003567791614146665</v>
      </c>
      <c r="H656">
        <v>0.054</v>
      </c>
      <c r="I656">
        <v>0.08404418914405332</v>
      </c>
      <c r="J656" t="s">
        <v>778</v>
      </c>
      <c r="K656" t="s">
        <v>346</v>
      </c>
      <c r="L656">
        <v>8.460000000000001</v>
      </c>
      <c r="M656">
        <v>5.2</v>
      </c>
      <c r="N656">
        <v>0.6146572104018913</v>
      </c>
      <c r="O656">
        <v>1</v>
      </c>
      <c r="P656">
        <v>0.02903366107118788</v>
      </c>
      <c r="Q656">
        <v>-0.023902435356656</v>
      </c>
      <c r="R656" t="s">
        <v>780</v>
      </c>
      <c r="S656" t="s">
        <v>788</v>
      </c>
      <c r="T656">
        <v>3053.61137</v>
      </c>
      <c r="U656" s="2">
        <v>44524</v>
      </c>
      <c r="V656" t="s">
        <v>805</v>
      </c>
    </row>
    <row r="657" spans="1:22">
      <c r="A657" s="1" t="s">
        <v>677</v>
      </c>
      <c r="B657">
        <f>HYPERLINK("https://www.suredividend.com/sure-analysis-CSWC/","Capital Southwest Corp.")</f>
        <v>0</v>
      </c>
      <c r="C657">
        <v>24.81</v>
      </c>
      <c r="D657">
        <v>23</v>
      </c>
      <c r="E657">
        <v>1.078695652173913</v>
      </c>
      <c r="F657">
        <v>0.07577589681580008</v>
      </c>
      <c r="G657">
        <v>-0.01503632469688576</v>
      </c>
      <c r="H657">
        <v>0.03</v>
      </c>
      <c r="I657">
        <v>0.08289677534951179</v>
      </c>
      <c r="J657" t="s">
        <v>778</v>
      </c>
      <c r="K657" t="s">
        <v>346</v>
      </c>
      <c r="L657">
        <v>1.65</v>
      </c>
      <c r="M657">
        <v>1.88</v>
      </c>
      <c r="N657">
        <v>1.139393939393939</v>
      </c>
      <c r="O657">
        <v>5</v>
      </c>
      <c r="P657">
        <v>0.03005337366563188</v>
      </c>
      <c r="Q657">
        <v>0.550571033589478</v>
      </c>
      <c r="R657" t="s">
        <v>783</v>
      </c>
      <c r="S657" t="s">
        <v>789</v>
      </c>
      <c r="T657">
        <v>581.191871</v>
      </c>
      <c r="U657" s="2">
        <v>44504</v>
      </c>
      <c r="V657" t="s">
        <v>795</v>
      </c>
    </row>
    <row r="658" spans="1:22">
      <c r="A658" s="1" t="s">
        <v>678</v>
      </c>
      <c r="B658">
        <f>HYPERLINK("https://www.suredividend.com/sure-analysis-CTO/","CTO Realty Growth Inc")</f>
        <v>0</v>
      </c>
      <c r="C658">
        <v>61.22</v>
      </c>
      <c r="D658">
        <v>56</v>
      </c>
      <c r="E658">
        <v>1.093214285714286</v>
      </c>
      <c r="F658">
        <v>0.06533812479581837</v>
      </c>
      <c r="G658">
        <v>-0.01766653271948726</v>
      </c>
      <c r="H658">
        <v>0.045</v>
      </c>
      <c r="I658">
        <v>0.08257423699866373</v>
      </c>
      <c r="J658" t="s">
        <v>778</v>
      </c>
      <c r="K658" t="s">
        <v>346</v>
      </c>
      <c r="L658">
        <v>4.15</v>
      </c>
      <c r="M658">
        <v>4</v>
      </c>
      <c r="N658">
        <v>0.9638554216867469</v>
      </c>
      <c r="O658">
        <v>8</v>
      </c>
      <c r="P658">
        <v>0.02016978262061087</v>
      </c>
      <c r="Q658">
        <v>0.40034198405913</v>
      </c>
      <c r="R658" t="s">
        <v>782</v>
      </c>
      <c r="S658" t="s">
        <v>794</v>
      </c>
      <c r="T658">
        <v>363.2738</v>
      </c>
      <c r="U658" s="2">
        <v>44502</v>
      </c>
      <c r="V658" t="s">
        <v>802</v>
      </c>
    </row>
    <row r="659" spans="1:22">
      <c r="A659" s="1" t="s">
        <v>679</v>
      </c>
      <c r="B659">
        <f>HYPERLINK("https://www.suredividend.com/sure-analysis-FCPT/","Four Corners Property Trust Inc")</f>
        <v>0</v>
      </c>
      <c r="C659">
        <v>29.76</v>
      </c>
      <c r="D659">
        <v>29</v>
      </c>
      <c r="E659">
        <v>1.026206896551724</v>
      </c>
      <c r="F659">
        <v>0.04469086021505377</v>
      </c>
      <c r="G659">
        <v>-0.005160514552689066</v>
      </c>
      <c r="H659">
        <v>0.05</v>
      </c>
      <c r="I659">
        <v>0.08200641979831991</v>
      </c>
      <c r="J659" t="s">
        <v>778</v>
      </c>
      <c r="K659" t="s">
        <v>524</v>
      </c>
      <c r="L659">
        <v>1.53</v>
      </c>
      <c r="M659">
        <v>1.33</v>
      </c>
      <c r="N659">
        <v>0.869281045751634</v>
      </c>
      <c r="O659">
        <v>4</v>
      </c>
      <c r="P659">
        <v>0.02297948759813462</v>
      </c>
      <c r="Q659">
        <v>0.039929947460595</v>
      </c>
      <c r="R659" t="s">
        <v>782</v>
      </c>
      <c r="S659" t="s">
        <v>794</v>
      </c>
      <c r="T659">
        <v>2296.599674</v>
      </c>
      <c r="U659" s="2">
        <v>44499</v>
      </c>
      <c r="V659" t="s">
        <v>798</v>
      </c>
    </row>
    <row r="660" spans="1:22">
      <c r="A660" s="1" t="s">
        <v>680</v>
      </c>
      <c r="B660">
        <f>HYPERLINK("https://www.suredividend.com/sure-analysis-E/","Eni Spa")</f>
        <v>0</v>
      </c>
      <c r="C660">
        <v>27.56</v>
      </c>
      <c r="D660">
        <v>29</v>
      </c>
      <c r="E660">
        <v>0.9503448275862069</v>
      </c>
      <c r="F660">
        <v>0.05732946298984035</v>
      </c>
      <c r="G660">
        <v>0.01023813144234009</v>
      </c>
      <c r="H660">
        <v>0.02</v>
      </c>
      <c r="I660">
        <v>0.080846664828788</v>
      </c>
      <c r="J660" t="s">
        <v>778</v>
      </c>
      <c r="K660" t="s">
        <v>346</v>
      </c>
      <c r="L660">
        <v>2.3</v>
      </c>
      <c r="M660">
        <v>1.58</v>
      </c>
      <c r="N660">
        <v>0.6869565217391305</v>
      </c>
      <c r="O660">
        <v>1</v>
      </c>
      <c r="P660">
        <v>0.02981402116536103</v>
      </c>
      <c r="Q660">
        <v>0.417809228205818</v>
      </c>
      <c r="R660" t="s">
        <v>780</v>
      </c>
      <c r="S660" t="s">
        <v>793</v>
      </c>
      <c r="T660">
        <v>50316.076104</v>
      </c>
      <c r="U660" s="2">
        <v>44502</v>
      </c>
      <c r="V660" t="s">
        <v>803</v>
      </c>
    </row>
    <row r="661" spans="1:22">
      <c r="A661" s="1" t="s">
        <v>681</v>
      </c>
      <c r="B661">
        <f>HYPERLINK("https://www.suredividend.com/sure-analysis-HRZN/","Horizon Technology Finance Corp")</f>
        <v>0</v>
      </c>
      <c r="C661">
        <v>15.88</v>
      </c>
      <c r="D661">
        <v>15.76</v>
      </c>
      <c r="E661">
        <v>1.00761421319797</v>
      </c>
      <c r="F661">
        <v>0.07556675062972291</v>
      </c>
      <c r="G661">
        <v>-0.001515924102376442</v>
      </c>
      <c r="H661">
        <v>0.02</v>
      </c>
      <c r="I661">
        <v>0.08062307105094235</v>
      </c>
      <c r="J661" t="s">
        <v>778</v>
      </c>
      <c r="K661" t="s">
        <v>346</v>
      </c>
      <c r="L661">
        <v>1.37</v>
      </c>
      <c r="M661">
        <v>1.2</v>
      </c>
      <c r="N661">
        <v>0.875912408759124</v>
      </c>
      <c r="O661">
        <v>0</v>
      </c>
      <c r="P661">
        <v>0</v>
      </c>
      <c r="Q661">
        <v>0.33184339044781</v>
      </c>
      <c r="R661" t="s">
        <v>783</v>
      </c>
      <c r="S661" t="s">
        <v>789</v>
      </c>
      <c r="T661">
        <v>328.67434</v>
      </c>
      <c r="U661" s="2">
        <v>44502</v>
      </c>
      <c r="V661" t="s">
        <v>795</v>
      </c>
    </row>
    <row r="662" spans="1:22">
      <c r="A662" s="1" t="s">
        <v>682</v>
      </c>
      <c r="B662">
        <f>HYPERLINK("https://www.suredividend.com/sure-analysis-AFIN/","American Fin Tr Inc")</f>
        <v>0</v>
      </c>
      <c r="C662">
        <v>9.06</v>
      </c>
      <c r="D662">
        <v>9</v>
      </c>
      <c r="E662">
        <v>1.006666666666667</v>
      </c>
      <c r="F662">
        <v>0.09381898454746136</v>
      </c>
      <c r="G662">
        <v>-0.001328025935786625</v>
      </c>
      <c r="H662">
        <v>0</v>
      </c>
      <c r="I662">
        <v>0.0789902892589267</v>
      </c>
      <c r="J662" t="s">
        <v>778</v>
      </c>
      <c r="K662" t="s">
        <v>346</v>
      </c>
      <c r="L662">
        <v>1</v>
      </c>
      <c r="M662">
        <v>0.85</v>
      </c>
      <c r="N662">
        <v>0.85</v>
      </c>
      <c r="O662">
        <v>0</v>
      </c>
      <c r="P662">
        <v>0</v>
      </c>
      <c r="Q662">
        <v>0.310926815073475</v>
      </c>
      <c r="R662" t="s">
        <v>782</v>
      </c>
      <c r="S662" t="s">
        <v>794</v>
      </c>
      <c r="T662">
        <v>1112.793331</v>
      </c>
      <c r="U662" s="2">
        <v>44509</v>
      </c>
      <c r="V662" t="s">
        <v>795</v>
      </c>
    </row>
    <row r="663" spans="1:22">
      <c r="A663" s="1" t="s">
        <v>683</v>
      </c>
      <c r="B663">
        <f>HYPERLINK("https://www.suredividend.com/sure-analysis-EIC/","Eagle Point Income Company Inc")</f>
        <v>0</v>
      </c>
      <c r="C663">
        <v>17.14</v>
      </c>
      <c r="D663">
        <v>15.86</v>
      </c>
      <c r="E663">
        <v>1.080706179066835</v>
      </c>
      <c r="F663">
        <v>0.07759626604434072</v>
      </c>
      <c r="G663">
        <v>-0.01540307956262144</v>
      </c>
      <c r="H663">
        <v>0.02</v>
      </c>
      <c r="I663">
        <v>0.07774242646263785</v>
      </c>
      <c r="J663" t="s">
        <v>778</v>
      </c>
      <c r="K663" t="s">
        <v>346</v>
      </c>
      <c r="L663">
        <v>1.22</v>
      </c>
      <c r="M663">
        <v>1.33</v>
      </c>
      <c r="N663">
        <v>1.090163934426229</v>
      </c>
      <c r="O663">
        <v>1</v>
      </c>
      <c r="P663">
        <v>0.03635631157614205</v>
      </c>
      <c r="Q663">
        <v>0.289105368390985</v>
      </c>
      <c r="R663" t="s">
        <v>780</v>
      </c>
      <c r="S663" t="s">
        <v>789</v>
      </c>
      <c r="T663">
        <v>104.725755</v>
      </c>
      <c r="U663" s="2">
        <v>44517</v>
      </c>
      <c r="V663" t="s">
        <v>795</v>
      </c>
    </row>
    <row r="664" spans="1:22">
      <c r="A664" s="1" t="s">
        <v>684</v>
      </c>
      <c r="B664">
        <f>HYPERLINK("https://www.suredividend.com/sure-analysis-SSREY/","Swiss Re Ltd")</f>
        <v>0</v>
      </c>
      <c r="C664">
        <v>24.68</v>
      </c>
      <c r="D664">
        <v>21</v>
      </c>
      <c r="E664">
        <v>1.175238095238095</v>
      </c>
      <c r="F664">
        <v>0.06523500810372772</v>
      </c>
      <c r="G664">
        <v>-0.03177826442723597</v>
      </c>
      <c r="H664">
        <v>0.05</v>
      </c>
      <c r="I664">
        <v>0.07453694963198632</v>
      </c>
      <c r="J664" t="s">
        <v>778</v>
      </c>
      <c r="K664" t="s">
        <v>346</v>
      </c>
      <c r="L664">
        <v>1.75</v>
      </c>
      <c r="M664">
        <v>1.61</v>
      </c>
      <c r="N664">
        <v>0.92</v>
      </c>
      <c r="O664">
        <v>5</v>
      </c>
      <c r="P664">
        <v>0.02027871203234244</v>
      </c>
      <c r="Q664">
        <v>0.054870267971076</v>
      </c>
      <c r="R664" t="s">
        <v>780</v>
      </c>
      <c r="S664" t="s">
        <v>789</v>
      </c>
      <c r="T664">
        <v>31495.732755</v>
      </c>
      <c r="U664" s="2">
        <v>44503</v>
      </c>
      <c r="V664" t="s">
        <v>795</v>
      </c>
    </row>
    <row r="665" spans="1:22">
      <c r="A665" s="1" t="s">
        <v>685</v>
      </c>
      <c r="B665">
        <f>HYPERLINK("https://www.suredividend.com/sure-analysis-NMFC/","New Mountain Finance Corp")</f>
        <v>0</v>
      </c>
      <c r="C665">
        <v>13.67</v>
      </c>
      <c r="D665">
        <v>14</v>
      </c>
      <c r="E665">
        <v>0.9764285714285714</v>
      </c>
      <c r="F665">
        <v>0.08778346744696415</v>
      </c>
      <c r="G665">
        <v>0.004782133854333459</v>
      </c>
      <c r="H665">
        <v>-0.005</v>
      </c>
      <c r="I665">
        <v>0.07432128835648499</v>
      </c>
      <c r="J665" t="s">
        <v>778</v>
      </c>
      <c r="K665" t="s">
        <v>346</v>
      </c>
      <c r="L665">
        <v>1.25</v>
      </c>
      <c r="M665">
        <v>1.2</v>
      </c>
      <c r="N665">
        <v>0.96</v>
      </c>
      <c r="O665">
        <v>0</v>
      </c>
      <c r="P665">
        <v>-0.005050763379468082</v>
      </c>
      <c r="Q665">
        <v>0.322866274634763</v>
      </c>
      <c r="R665" t="s">
        <v>783</v>
      </c>
      <c r="S665" t="s">
        <v>789</v>
      </c>
      <c r="T665">
        <v>1327.625736</v>
      </c>
      <c r="U665" s="2">
        <v>44509</v>
      </c>
      <c r="V665" t="s">
        <v>795</v>
      </c>
    </row>
    <row r="666" spans="1:22">
      <c r="A666" s="1" t="s">
        <v>686</v>
      </c>
      <c r="B666">
        <f>HYPERLINK("https://www.suredividend.com/sure-analysis-PFLT/","PennantPark Floating Rate Capital Ltd")</f>
        <v>0</v>
      </c>
      <c r="C666">
        <v>12.71</v>
      </c>
      <c r="D666">
        <v>11.9</v>
      </c>
      <c r="E666">
        <v>1.068067226890756</v>
      </c>
      <c r="F666">
        <v>0.08969315499606607</v>
      </c>
      <c r="G666">
        <v>-0.01308379024419459</v>
      </c>
      <c r="H666">
        <v>0.008</v>
      </c>
      <c r="I666">
        <v>0.07307045855191796</v>
      </c>
      <c r="J666" t="s">
        <v>778</v>
      </c>
      <c r="K666" t="s">
        <v>346</v>
      </c>
      <c r="L666">
        <v>1.12</v>
      </c>
      <c r="M666">
        <v>1.14</v>
      </c>
      <c r="N666">
        <v>1.017857142857143</v>
      </c>
      <c r="O666">
        <v>0</v>
      </c>
      <c r="P666">
        <v>0</v>
      </c>
      <c r="Q666">
        <v>0.33271575046845</v>
      </c>
      <c r="R666" t="s">
        <v>783</v>
      </c>
      <c r="S666" t="s">
        <v>789</v>
      </c>
      <c r="T666">
        <v>492.973234</v>
      </c>
      <c r="U666" s="2">
        <v>44521</v>
      </c>
      <c r="V666" t="s">
        <v>805</v>
      </c>
    </row>
    <row r="667" spans="1:22">
      <c r="A667" s="1" t="s">
        <v>687</v>
      </c>
      <c r="B667">
        <f>HYPERLINK("https://www.suredividend.com/sure-analysis-BEP/","Brookfield Renewable Partners LP")</f>
        <v>0</v>
      </c>
      <c r="C667">
        <v>35.09</v>
      </c>
      <c r="D667">
        <v>32</v>
      </c>
      <c r="E667">
        <v>1.0965625</v>
      </c>
      <c r="F667">
        <v>0.0347677400968937</v>
      </c>
      <c r="G667">
        <v>-0.01826715282422542</v>
      </c>
      <c r="H667">
        <v>0.06</v>
      </c>
      <c r="I667">
        <v>0.07300198873385821</v>
      </c>
      <c r="J667" t="s">
        <v>778</v>
      </c>
      <c r="K667" t="s">
        <v>524</v>
      </c>
      <c r="L667">
        <v>1.9</v>
      </c>
      <c r="M667">
        <v>1.22</v>
      </c>
      <c r="N667">
        <v>0.6421052631578947</v>
      </c>
      <c r="O667">
        <v>0</v>
      </c>
      <c r="P667">
        <v>0.05039574430966676</v>
      </c>
      <c r="Q667">
        <v>-0.158244247718776</v>
      </c>
      <c r="R667" t="s">
        <v>781</v>
      </c>
      <c r="S667" t="s">
        <v>792</v>
      </c>
      <c r="T667">
        <v>9523.610325</v>
      </c>
      <c r="U667" s="2">
        <v>44518</v>
      </c>
      <c r="V667" t="s">
        <v>803</v>
      </c>
    </row>
    <row r="668" spans="1:22">
      <c r="A668" s="1" t="s">
        <v>688</v>
      </c>
      <c r="B668">
        <f>HYPERLINK("https://www.suredividend.com/sure-analysis-STWD/","Starwood Property Trust Inc")</f>
        <v>0</v>
      </c>
      <c r="C668">
        <v>24.38</v>
      </c>
      <c r="D668">
        <v>25</v>
      </c>
      <c r="E668">
        <v>0.9752</v>
      </c>
      <c r="F668">
        <v>0.07875307629204266</v>
      </c>
      <c r="G668">
        <v>0.005035174260758168</v>
      </c>
      <c r="H668">
        <v>0</v>
      </c>
      <c r="I668">
        <v>0.07252760627156429</v>
      </c>
      <c r="J668" t="s">
        <v>778</v>
      </c>
      <c r="K668" t="s">
        <v>346</v>
      </c>
      <c r="L668">
        <v>2</v>
      </c>
      <c r="M668">
        <v>1.92</v>
      </c>
      <c r="N668">
        <v>0.96</v>
      </c>
      <c r="O668">
        <v>0</v>
      </c>
      <c r="P668">
        <v>0</v>
      </c>
      <c r="Q668">
        <v>0.362110942949266</v>
      </c>
      <c r="R668" t="s">
        <v>782</v>
      </c>
      <c r="S668" t="s">
        <v>794</v>
      </c>
      <c r="T668">
        <v>7169.260538</v>
      </c>
      <c r="U668" s="2">
        <v>44509</v>
      </c>
      <c r="V668" t="s">
        <v>795</v>
      </c>
    </row>
    <row r="669" spans="1:22">
      <c r="A669" s="1" t="s">
        <v>689</v>
      </c>
      <c r="B669">
        <f>HYPERLINK("https://www.suredividend.com/sure-analysis-VST/","Vistra Corp")</f>
        <v>0</v>
      </c>
      <c r="C669">
        <v>22.39</v>
      </c>
      <c r="D669">
        <v>19</v>
      </c>
      <c r="E669">
        <v>1.178421052631579</v>
      </c>
      <c r="F669">
        <v>0.02679767753461366</v>
      </c>
      <c r="G669">
        <v>-0.03230187074964275</v>
      </c>
      <c r="H669">
        <v>0.08</v>
      </c>
      <c r="I669">
        <v>0.07211311800239906</v>
      </c>
      <c r="J669" t="s">
        <v>778</v>
      </c>
      <c r="K669" t="s">
        <v>778</v>
      </c>
      <c r="L669">
        <v>-0.55</v>
      </c>
      <c r="M669">
        <v>0.6</v>
      </c>
      <c r="N669">
        <v>9.99</v>
      </c>
      <c r="O669">
        <v>2</v>
      </c>
      <c r="P669">
        <v>0.0796084730466029</v>
      </c>
      <c r="Q669">
        <v>0.194657635266162</v>
      </c>
      <c r="R669" t="s">
        <v>780</v>
      </c>
      <c r="S669" t="s">
        <v>792</v>
      </c>
      <c r="T669">
        <v>10555.063862</v>
      </c>
      <c r="U669" s="2">
        <v>44515</v>
      </c>
      <c r="V669" t="s">
        <v>802</v>
      </c>
    </row>
    <row r="670" spans="1:22">
      <c r="A670" s="1" t="s">
        <v>690</v>
      </c>
      <c r="B670">
        <f>HYPERLINK("https://www.suredividend.com/sure-analysis-ARR/","ARMOUR Residential REIT Inc")</f>
        <v>0</v>
      </c>
      <c r="C670">
        <v>9.859999999999999</v>
      </c>
      <c r="D670">
        <v>6.7</v>
      </c>
      <c r="E670">
        <v>1.471641791044776</v>
      </c>
      <c r="F670">
        <v>0.1217038539553753</v>
      </c>
      <c r="G670">
        <v>-0.0743654053690177</v>
      </c>
      <c r="H670">
        <v>0.046</v>
      </c>
      <c r="I670">
        <v>0.07157800452943874</v>
      </c>
      <c r="J670" t="s">
        <v>778</v>
      </c>
      <c r="K670" t="s">
        <v>346</v>
      </c>
      <c r="L670">
        <v>0.96</v>
      </c>
      <c r="M670">
        <v>1.2</v>
      </c>
      <c r="N670">
        <v>1.25</v>
      </c>
      <c r="O670">
        <v>0</v>
      </c>
      <c r="P670">
        <v>-0.0263528193848318</v>
      </c>
      <c r="Q670">
        <v>0.031131232996199</v>
      </c>
      <c r="R670" t="s">
        <v>782</v>
      </c>
      <c r="S670" t="s">
        <v>794</v>
      </c>
      <c r="T670">
        <v>890.612058</v>
      </c>
      <c r="U670" s="2">
        <v>44503</v>
      </c>
      <c r="V670" t="s">
        <v>805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42.43</v>
      </c>
      <c r="D671">
        <v>42</v>
      </c>
      <c r="E671">
        <v>1.010238095238095</v>
      </c>
      <c r="F671">
        <v>0.04996464765496111</v>
      </c>
      <c r="G671">
        <v>-0.002035134486001455</v>
      </c>
      <c r="H671">
        <v>0.03</v>
      </c>
      <c r="I671">
        <v>0.07154381854026659</v>
      </c>
      <c r="J671" t="s">
        <v>778</v>
      </c>
      <c r="K671" t="s">
        <v>346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0.216731813975484</v>
      </c>
      <c r="R671" t="s">
        <v>782</v>
      </c>
      <c r="S671" t="s">
        <v>794</v>
      </c>
      <c r="T671">
        <v>7984.25231</v>
      </c>
      <c r="U671" s="2">
        <v>44503</v>
      </c>
      <c r="V671" t="s">
        <v>795</v>
      </c>
    </row>
    <row r="672" spans="1:22">
      <c r="A672" s="1" t="s">
        <v>692</v>
      </c>
      <c r="B672">
        <f>HYPERLINK("https://www.suredividend.com/sure-analysis-CHCT/","Community Healthcare Trust Inc")</f>
        <v>0</v>
      </c>
      <c r="C672">
        <v>47.38</v>
      </c>
      <c r="D672">
        <v>43</v>
      </c>
      <c r="E672">
        <v>1.101860465116279</v>
      </c>
      <c r="F672">
        <v>0.03672435626846771</v>
      </c>
      <c r="G672">
        <v>-0.0192130473065435</v>
      </c>
      <c r="H672">
        <v>0.06</v>
      </c>
      <c r="I672">
        <v>0.071040433907259</v>
      </c>
      <c r="J672" t="s">
        <v>778</v>
      </c>
      <c r="K672" t="s">
        <v>524</v>
      </c>
      <c r="L672">
        <v>2.21</v>
      </c>
      <c r="M672">
        <v>1.74</v>
      </c>
      <c r="N672">
        <v>0.7873303167420814</v>
      </c>
      <c r="O672">
        <v>6</v>
      </c>
      <c r="P672">
        <v>0.01988310171094443</v>
      </c>
      <c r="Q672">
        <v>0.043214469439887</v>
      </c>
      <c r="R672" t="s">
        <v>782</v>
      </c>
      <c r="S672" t="s">
        <v>794</v>
      </c>
      <c r="T672">
        <v>1180.423409</v>
      </c>
      <c r="U672" s="2">
        <v>44508</v>
      </c>
      <c r="V672" t="s">
        <v>802</v>
      </c>
    </row>
    <row r="673" spans="1:22">
      <c r="A673" s="1" t="s">
        <v>693</v>
      </c>
      <c r="B673">
        <f>HYPERLINK("https://www.suredividend.com/sure-analysis-GBDC/","Golub Capital BDC Inc")</f>
        <v>0</v>
      </c>
      <c r="C673">
        <v>15.36</v>
      </c>
      <c r="D673">
        <v>15.6</v>
      </c>
      <c r="E673">
        <v>0.9846153846153846</v>
      </c>
      <c r="F673">
        <v>0.078125</v>
      </c>
      <c r="G673">
        <v>0.003105649876241401</v>
      </c>
      <c r="H673">
        <v>0</v>
      </c>
      <c r="I673">
        <v>0.07056368416916192</v>
      </c>
      <c r="J673" t="s">
        <v>778</v>
      </c>
      <c r="K673" t="s">
        <v>346</v>
      </c>
      <c r="L673">
        <v>1.2</v>
      </c>
      <c r="M673">
        <v>1.2</v>
      </c>
      <c r="N673">
        <v>1</v>
      </c>
      <c r="O673">
        <v>0</v>
      </c>
      <c r="P673">
        <v>0</v>
      </c>
      <c r="Q673">
        <v>0.175359349172373</v>
      </c>
      <c r="R673" t="s">
        <v>783</v>
      </c>
      <c r="S673" t="s">
        <v>789</v>
      </c>
      <c r="T673">
        <v>2623.541051</v>
      </c>
      <c r="U673" s="2">
        <v>44532</v>
      </c>
      <c r="V673" t="s">
        <v>795</v>
      </c>
    </row>
    <row r="674" spans="1:22">
      <c r="A674" s="1" t="s">
        <v>694</v>
      </c>
      <c r="B674">
        <f>HYPERLINK("https://www.suredividend.com/sure-analysis-TSLX/","Sixth Street Specialty Lending Inc")</f>
        <v>0</v>
      </c>
      <c r="C674">
        <v>23.32</v>
      </c>
      <c r="D674">
        <v>21.78</v>
      </c>
      <c r="E674">
        <v>1.070707070707071</v>
      </c>
      <c r="F674">
        <v>0.07032590051457975</v>
      </c>
      <c r="G674">
        <v>-0.0135709221402881</v>
      </c>
      <c r="H674">
        <v>0.02</v>
      </c>
      <c r="I674">
        <v>0.07027902294563271</v>
      </c>
      <c r="J674" t="s">
        <v>778</v>
      </c>
      <c r="K674" t="s">
        <v>346</v>
      </c>
      <c r="L674">
        <v>1.98</v>
      </c>
      <c r="M674">
        <v>1.64</v>
      </c>
      <c r="N674">
        <v>0.8282828282828283</v>
      </c>
      <c r="O674">
        <v>6</v>
      </c>
      <c r="P674">
        <v>0.01992196624507558</v>
      </c>
      <c r="Q674">
        <v>0.318895297826936</v>
      </c>
      <c r="R674" t="s">
        <v>783</v>
      </c>
      <c r="S674" t="s">
        <v>789</v>
      </c>
      <c r="T674">
        <v>1703.315464</v>
      </c>
      <c r="U674" s="2">
        <v>44504</v>
      </c>
      <c r="V674" t="s">
        <v>795</v>
      </c>
    </row>
    <row r="675" spans="1:22">
      <c r="A675" s="1" t="s">
        <v>695</v>
      </c>
      <c r="B675">
        <f>HYPERLINK("https://www.suredividend.com/sure-analysis-BRMK/","Broadmark Realty Capital Inc")</f>
        <v>0</v>
      </c>
      <c r="C675">
        <v>9.44</v>
      </c>
      <c r="D675">
        <v>7.8</v>
      </c>
      <c r="E675">
        <v>1.21025641025641</v>
      </c>
      <c r="F675">
        <v>0.08898305084745763</v>
      </c>
      <c r="G675">
        <v>-0.0374472886611521</v>
      </c>
      <c r="H675">
        <v>0.03</v>
      </c>
      <c r="I675">
        <v>0.07003635533297037</v>
      </c>
      <c r="J675" t="s">
        <v>778</v>
      </c>
      <c r="K675" t="s">
        <v>346</v>
      </c>
      <c r="L675">
        <v>0.78</v>
      </c>
      <c r="M675">
        <v>0.84</v>
      </c>
      <c r="N675">
        <v>1.076923076923077</v>
      </c>
      <c r="O675">
        <v>1</v>
      </c>
      <c r="P675">
        <v>0</v>
      </c>
      <c r="Q675">
        <v>0.006743081263043</v>
      </c>
      <c r="R675" t="s">
        <v>782</v>
      </c>
      <c r="S675" t="s">
        <v>794</v>
      </c>
      <c r="T675">
        <v>1273.841693</v>
      </c>
      <c r="U675" s="2">
        <v>44509</v>
      </c>
      <c r="V675" t="s">
        <v>796</v>
      </c>
    </row>
    <row r="676" spans="1:22">
      <c r="A676" s="1" t="s">
        <v>696</v>
      </c>
      <c r="B676">
        <f>HYPERLINK("https://www.suredividend.com/sure-analysis-SACH/","Sachem Capital Corp")</f>
        <v>0</v>
      </c>
      <c r="C676">
        <v>5.86</v>
      </c>
      <c r="D676">
        <v>5.26</v>
      </c>
      <c r="E676">
        <v>1.114068441064639</v>
      </c>
      <c r="F676">
        <v>0.08191126279863481</v>
      </c>
      <c r="G676">
        <v>-0.02137202655478954</v>
      </c>
      <c r="H676">
        <v>0.02</v>
      </c>
      <c r="I676">
        <v>0.06970071215923146</v>
      </c>
      <c r="J676" t="s">
        <v>778</v>
      </c>
      <c r="K676" t="s">
        <v>346</v>
      </c>
      <c r="L676">
        <v>0.47</v>
      </c>
      <c r="M676">
        <v>0.48</v>
      </c>
      <c r="N676">
        <v>1.021276595744681</v>
      </c>
      <c r="O676">
        <v>0</v>
      </c>
      <c r="P676">
        <v>0</v>
      </c>
      <c r="Q676">
        <v>0.5916972928205391</v>
      </c>
      <c r="R676" t="s">
        <v>782</v>
      </c>
      <c r="S676" t="s">
        <v>794</v>
      </c>
      <c r="T676">
        <v>181.075791</v>
      </c>
      <c r="U676" s="2">
        <v>44517</v>
      </c>
      <c r="V676" t="s">
        <v>795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50.91</v>
      </c>
      <c r="D677">
        <v>41</v>
      </c>
      <c r="E677">
        <v>1.241707317073171</v>
      </c>
      <c r="F677">
        <v>0.03535651149086624</v>
      </c>
      <c r="G677">
        <v>-0.04237350811181984</v>
      </c>
      <c r="H677">
        <v>0.08</v>
      </c>
      <c r="I677">
        <v>0.06803216004333401</v>
      </c>
      <c r="J677" t="s">
        <v>778</v>
      </c>
      <c r="K677" t="s">
        <v>524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0.06847113947059301</v>
      </c>
      <c r="R677" t="s">
        <v>782</v>
      </c>
      <c r="S677" t="s">
        <v>794</v>
      </c>
      <c r="T677">
        <v>20226.242448</v>
      </c>
      <c r="U677" s="2">
        <v>44518</v>
      </c>
      <c r="V677" t="s">
        <v>803</v>
      </c>
    </row>
    <row r="678" spans="1:22">
      <c r="A678" s="1" t="s">
        <v>698</v>
      </c>
      <c r="B678">
        <f>HYPERLINK("https://www.suredividend.com/sure-analysis-AM/","Antero Midstream Corp")</f>
        <v>0</v>
      </c>
      <c r="C678">
        <v>9.609999999999999</v>
      </c>
      <c r="D678">
        <v>8.800000000000001</v>
      </c>
      <c r="E678">
        <v>1.092045454545454</v>
      </c>
      <c r="F678">
        <v>0.09365244536940688</v>
      </c>
      <c r="G678">
        <v>-0.01745634170235211</v>
      </c>
      <c r="H678">
        <v>0</v>
      </c>
      <c r="I678">
        <v>0.06715044707368767</v>
      </c>
      <c r="J678" t="s">
        <v>778</v>
      </c>
      <c r="K678" t="s">
        <v>777</v>
      </c>
      <c r="L678">
        <v>1.25</v>
      </c>
      <c r="M678">
        <v>0.9</v>
      </c>
      <c r="N678">
        <v>0.72</v>
      </c>
      <c r="O678">
        <v>0</v>
      </c>
      <c r="P678">
        <v>0</v>
      </c>
      <c r="Q678">
        <v>0.395140165274903</v>
      </c>
      <c r="R678" t="s">
        <v>780</v>
      </c>
      <c r="S678" t="s">
        <v>793</v>
      </c>
      <c r="T678">
        <v>4603.136507</v>
      </c>
      <c r="U678" s="2">
        <v>44504</v>
      </c>
      <c r="V678" t="s">
        <v>805</v>
      </c>
    </row>
    <row r="679" spans="1:22">
      <c r="A679" s="1" t="s">
        <v>699</v>
      </c>
      <c r="B679">
        <f>HYPERLINK("https://www.suredividend.com/sure-analysis-SUNS/","SLR Senior Investment Corp")</f>
        <v>0</v>
      </c>
      <c r="C679">
        <v>14.01</v>
      </c>
      <c r="D679">
        <v>12.1</v>
      </c>
      <c r="E679">
        <v>1.157851239669422</v>
      </c>
      <c r="F679">
        <v>0.08565310492505353</v>
      </c>
      <c r="G679">
        <v>-0.0288877176121044</v>
      </c>
      <c r="H679">
        <v>0.02</v>
      </c>
      <c r="I679">
        <v>0.0668187783471772</v>
      </c>
      <c r="J679" t="s">
        <v>778</v>
      </c>
      <c r="K679" t="s">
        <v>346</v>
      </c>
      <c r="L679">
        <v>1.1</v>
      </c>
      <c r="M679">
        <v>1.2</v>
      </c>
      <c r="N679">
        <v>1.090909090909091</v>
      </c>
      <c r="O679">
        <v>0</v>
      </c>
      <c r="P679">
        <v>0</v>
      </c>
      <c r="Q679">
        <v>0.06979308654832801</v>
      </c>
      <c r="R679" t="s">
        <v>783</v>
      </c>
      <c r="S679" t="s">
        <v>789</v>
      </c>
      <c r="T679">
        <v>224.205005</v>
      </c>
      <c r="U679" s="2">
        <v>44504</v>
      </c>
      <c r="V679" t="s">
        <v>795</v>
      </c>
    </row>
    <row r="680" spans="1:22">
      <c r="A680" s="1" t="s">
        <v>700</v>
      </c>
      <c r="B680">
        <f>HYPERLINK("https://www.suredividend.com/sure-analysis-ILPT/","Industrial Logistics Properties Trust")</f>
        <v>0</v>
      </c>
      <c r="C680">
        <v>25.29</v>
      </c>
      <c r="D680">
        <v>24</v>
      </c>
      <c r="E680">
        <v>1.05375</v>
      </c>
      <c r="F680">
        <v>0.05219454329774615</v>
      </c>
      <c r="G680">
        <v>-0.01041641550988037</v>
      </c>
      <c r="H680">
        <v>0.03</v>
      </c>
      <c r="I680">
        <v>0.06614977247857379</v>
      </c>
      <c r="J680" t="s">
        <v>778</v>
      </c>
      <c r="K680" t="s">
        <v>346</v>
      </c>
      <c r="L680">
        <v>1.87</v>
      </c>
      <c r="M680">
        <v>1.32</v>
      </c>
      <c r="N680">
        <v>0.7058823529411765</v>
      </c>
      <c r="O680">
        <v>0</v>
      </c>
      <c r="P680">
        <v>0.02036554426441151</v>
      </c>
      <c r="Q680">
        <v>0.155855374110484</v>
      </c>
      <c r="R680" t="s">
        <v>782</v>
      </c>
      <c r="S680" t="s">
        <v>794</v>
      </c>
      <c r="T680">
        <v>1654.082132</v>
      </c>
      <c r="U680" s="2">
        <v>44498</v>
      </c>
      <c r="V680" t="s">
        <v>795</v>
      </c>
    </row>
    <row r="681" spans="1:22">
      <c r="A681" s="1" t="s">
        <v>701</v>
      </c>
      <c r="B681">
        <f>HYPERLINK("https://www.suredividend.com/sure-analysis-ARI/","Apollo Commercial Real Estate Finance Inc")</f>
        <v>0</v>
      </c>
      <c r="C681">
        <v>13.05</v>
      </c>
      <c r="D681">
        <v>11</v>
      </c>
      <c r="E681">
        <v>1.186363636363637</v>
      </c>
      <c r="F681">
        <v>0.10727969348659</v>
      </c>
      <c r="G681">
        <v>-0.03360108274668594</v>
      </c>
      <c r="H681">
        <v>0.003</v>
      </c>
      <c r="I681">
        <v>0.06480214667813944</v>
      </c>
      <c r="J681" t="s">
        <v>778</v>
      </c>
      <c r="K681" t="s">
        <v>346</v>
      </c>
      <c r="L681">
        <v>1.38</v>
      </c>
      <c r="M681">
        <v>1.4</v>
      </c>
      <c r="N681">
        <v>1.014492753623188</v>
      </c>
      <c r="O681">
        <v>0</v>
      </c>
      <c r="P681">
        <v>-0.01471229526229867</v>
      </c>
      <c r="Q681">
        <v>0.293617833786815</v>
      </c>
      <c r="R681" t="s">
        <v>782</v>
      </c>
      <c r="S681" t="s">
        <v>794</v>
      </c>
      <c r="T681">
        <v>1895.564513</v>
      </c>
      <c r="U681" s="2">
        <v>44503</v>
      </c>
      <c r="V681" t="s">
        <v>805</v>
      </c>
    </row>
    <row r="682" spans="1:22">
      <c r="A682" s="1" t="s">
        <v>702</v>
      </c>
      <c r="B682">
        <f>HYPERLINK("https://www.suredividend.com/sure-analysis-FDUS/","Fidus Investment Corp")</f>
        <v>0</v>
      </c>
      <c r="C682">
        <v>17.92</v>
      </c>
      <c r="D682">
        <v>17.97</v>
      </c>
      <c r="E682">
        <v>0.9972175848636619</v>
      </c>
      <c r="F682">
        <v>0.07142857142857142</v>
      </c>
      <c r="G682">
        <v>0.0005574139471835604</v>
      </c>
      <c r="H682">
        <v>0</v>
      </c>
      <c r="I682">
        <v>0.0634167698757544</v>
      </c>
      <c r="J682" t="s">
        <v>778</v>
      </c>
      <c r="K682" t="s">
        <v>346</v>
      </c>
      <c r="L682">
        <v>1.51</v>
      </c>
      <c r="M682">
        <v>1.28</v>
      </c>
      <c r="N682">
        <v>0.847682119205298</v>
      </c>
      <c r="O682">
        <v>0</v>
      </c>
      <c r="P682">
        <v>0</v>
      </c>
      <c r="Q682">
        <v>0.4779897375463401</v>
      </c>
      <c r="R682" t="s">
        <v>783</v>
      </c>
      <c r="S682" t="s">
        <v>789</v>
      </c>
      <c r="T682">
        <v>441.339444</v>
      </c>
      <c r="U682" s="2">
        <v>44513</v>
      </c>
      <c r="V682" t="s">
        <v>795</v>
      </c>
    </row>
    <row r="683" spans="1:22">
      <c r="A683" s="1" t="s">
        <v>703</v>
      </c>
      <c r="B683">
        <f>HYPERLINK("https://www.suredividend.com/sure-analysis-UMH/","UMH Properties Inc")</f>
        <v>0</v>
      </c>
      <c r="C683">
        <v>26.79</v>
      </c>
      <c r="D683">
        <v>25.7</v>
      </c>
      <c r="E683">
        <v>1.042412451361868</v>
      </c>
      <c r="F683">
        <v>0.02836879432624114</v>
      </c>
      <c r="G683">
        <v>-0.008273126094101579</v>
      </c>
      <c r="H683">
        <v>0.045</v>
      </c>
      <c r="I683">
        <v>0.06227483315426752</v>
      </c>
      <c r="J683" t="s">
        <v>778</v>
      </c>
      <c r="K683" t="s">
        <v>778</v>
      </c>
      <c r="L683">
        <v>0.89</v>
      </c>
      <c r="M683">
        <v>0.76</v>
      </c>
      <c r="N683">
        <v>0.8539325842696629</v>
      </c>
      <c r="O683">
        <v>1</v>
      </c>
      <c r="P683">
        <v>0.03439350143683439</v>
      </c>
      <c r="Q683">
        <v>0.8784763782299511</v>
      </c>
      <c r="R683" t="s">
        <v>782</v>
      </c>
      <c r="S683" t="s">
        <v>794</v>
      </c>
      <c r="T683">
        <v>1307.701337</v>
      </c>
      <c r="U683" s="2">
        <v>44509</v>
      </c>
      <c r="V683" t="s">
        <v>805</v>
      </c>
    </row>
    <row r="684" spans="1:22">
      <c r="A684" s="1" t="s">
        <v>704</v>
      </c>
      <c r="B684">
        <f>HYPERLINK("https://www.suredividend.com/sure-analysis-LWSCF/","Sienna Senior Living, Inc.")</f>
        <v>0</v>
      </c>
      <c r="C684">
        <v>11.623</v>
      </c>
      <c r="D684">
        <v>11.88</v>
      </c>
      <c r="E684">
        <v>0.9783670033670032</v>
      </c>
      <c r="F684">
        <v>0.06452723049126732</v>
      </c>
      <c r="G684">
        <v>0.004383664323451386</v>
      </c>
      <c r="H684">
        <v>0</v>
      </c>
      <c r="I684">
        <v>0.06103118380264227</v>
      </c>
      <c r="J684" t="s">
        <v>778</v>
      </c>
      <c r="K684" t="s">
        <v>346</v>
      </c>
      <c r="L684">
        <v>0.88</v>
      </c>
      <c r="M684">
        <v>0.75</v>
      </c>
      <c r="N684">
        <v>0.8522727272727273</v>
      </c>
      <c r="O684">
        <v>0</v>
      </c>
      <c r="P684">
        <v>0</v>
      </c>
      <c r="Q684">
        <v>0.061461187214611</v>
      </c>
      <c r="R684" t="s">
        <v>780</v>
      </c>
      <c r="S684" t="s">
        <v>785</v>
      </c>
      <c r="T684">
        <v>779.195727</v>
      </c>
      <c r="U684" s="2">
        <v>44516</v>
      </c>
      <c r="V684" t="s">
        <v>795</v>
      </c>
    </row>
    <row r="685" spans="1:22">
      <c r="A685" s="1" t="s">
        <v>705</v>
      </c>
      <c r="B685">
        <f>HYPERLINK("https://www.suredividend.com/sure-analysis-CIM/","Chimera Investment Corp")</f>
        <v>0</v>
      </c>
      <c r="C685">
        <v>15.1</v>
      </c>
      <c r="D685">
        <v>12</v>
      </c>
      <c r="E685">
        <v>1.258333333333333</v>
      </c>
      <c r="F685">
        <v>0.08741721854304636</v>
      </c>
      <c r="G685">
        <v>-0.04491756113343859</v>
      </c>
      <c r="H685">
        <v>0.02</v>
      </c>
      <c r="I685">
        <v>0.06058811233368155</v>
      </c>
      <c r="J685" t="s">
        <v>778</v>
      </c>
      <c r="K685" t="s">
        <v>346</v>
      </c>
      <c r="L685">
        <v>1.5</v>
      </c>
      <c r="M685">
        <v>1.32</v>
      </c>
      <c r="N685">
        <v>0.88</v>
      </c>
      <c r="O685">
        <v>1</v>
      </c>
      <c r="P685">
        <v>0.02036554426441151</v>
      </c>
      <c r="Q685">
        <v>0.6242990854606461</v>
      </c>
      <c r="R685" t="s">
        <v>780</v>
      </c>
      <c r="S685" t="s">
        <v>794</v>
      </c>
      <c r="T685">
        <v>3588.803341</v>
      </c>
      <c r="U685" s="2">
        <v>44515</v>
      </c>
      <c r="V685" t="s">
        <v>803</v>
      </c>
    </row>
    <row r="686" spans="1:22">
      <c r="A686" s="1" t="s">
        <v>706</v>
      </c>
      <c r="B686">
        <f>HYPERLINK("https://www.suredividend.com/sure-analysis-DX/","Dynex Capital, Inc.")</f>
        <v>0</v>
      </c>
      <c r="C686">
        <v>16.89</v>
      </c>
      <c r="D686">
        <v>15.6</v>
      </c>
      <c r="E686">
        <v>1.082692307692308</v>
      </c>
      <c r="F686">
        <v>0.09236234458259325</v>
      </c>
      <c r="G686">
        <v>-0.0157645807236183</v>
      </c>
      <c r="H686">
        <v>-0.0016</v>
      </c>
      <c r="I686">
        <v>0.06058085272678326</v>
      </c>
      <c r="J686" t="s">
        <v>778</v>
      </c>
      <c r="K686" t="s">
        <v>346</v>
      </c>
      <c r="L686">
        <v>1.95</v>
      </c>
      <c r="M686">
        <v>1.56</v>
      </c>
      <c r="N686">
        <v>0.8</v>
      </c>
      <c r="O686">
        <v>0</v>
      </c>
      <c r="P686">
        <v>-0.02706716144586752</v>
      </c>
      <c r="Q686">
        <v>0.053719136859008</v>
      </c>
      <c r="R686" t="s">
        <v>782</v>
      </c>
      <c r="S686" t="s">
        <v>794</v>
      </c>
      <c r="T686">
        <v>620.752079</v>
      </c>
      <c r="U686" s="2">
        <v>44503</v>
      </c>
      <c r="V686" t="s">
        <v>805</v>
      </c>
    </row>
    <row r="687" spans="1:22">
      <c r="A687" s="1" t="s">
        <v>707</v>
      </c>
      <c r="B687">
        <f>HYPERLINK("https://www.suredividend.com/sure-analysis-FE/","Firstenergy Corp.")</f>
        <v>0</v>
      </c>
      <c r="C687">
        <v>41.36</v>
      </c>
      <c r="D687">
        <v>39</v>
      </c>
      <c r="E687">
        <v>1.06051282051282</v>
      </c>
      <c r="F687">
        <v>0.03771760154738878</v>
      </c>
      <c r="G687">
        <v>-0.01168174910698438</v>
      </c>
      <c r="H687">
        <v>0.04</v>
      </c>
      <c r="I687">
        <v>0.06053130760335446</v>
      </c>
      <c r="J687" t="s">
        <v>778</v>
      </c>
      <c r="K687" t="s">
        <v>524</v>
      </c>
      <c r="L687">
        <v>2.6</v>
      </c>
      <c r="M687">
        <v>1.56</v>
      </c>
      <c r="N687">
        <v>0.6</v>
      </c>
      <c r="O687">
        <v>0</v>
      </c>
      <c r="P687">
        <v>0.01005227214699711</v>
      </c>
      <c r="Q687">
        <v>0.446602521542714</v>
      </c>
      <c r="R687" t="s">
        <v>780</v>
      </c>
      <c r="S687" t="s">
        <v>792</v>
      </c>
      <c r="T687">
        <v>22419.19991</v>
      </c>
      <c r="U687" s="2">
        <v>44498</v>
      </c>
      <c r="V687" t="s">
        <v>795</v>
      </c>
    </row>
    <row r="688" spans="1:22">
      <c r="A688" s="1" t="s">
        <v>708</v>
      </c>
      <c r="B688">
        <f>HYPERLINK("https://www.suredividend.com/sure-analysis-VIA/","Via Renewables Inc")</f>
        <v>0</v>
      </c>
      <c r="C688">
        <v>11.45</v>
      </c>
      <c r="D688">
        <v>10.6</v>
      </c>
      <c r="E688">
        <v>1.080188679245283</v>
      </c>
      <c r="F688">
        <v>0.06375545851528384</v>
      </c>
      <c r="G688">
        <v>-0.01530875694549139</v>
      </c>
      <c r="H688">
        <v>0.02</v>
      </c>
      <c r="I688">
        <v>0.0604226705577906</v>
      </c>
      <c r="J688" t="s">
        <v>778</v>
      </c>
      <c r="K688" t="s">
        <v>346</v>
      </c>
      <c r="L688">
        <v>0.85</v>
      </c>
      <c r="M688">
        <v>0.73</v>
      </c>
      <c r="N688">
        <v>0.8588235294117647</v>
      </c>
      <c r="O688">
        <v>0</v>
      </c>
      <c r="P688">
        <v>0</v>
      </c>
      <c r="Q688">
        <v>0.25221296256315</v>
      </c>
      <c r="R688" t="s">
        <v>780</v>
      </c>
      <c r="S688" t="s">
        <v>792</v>
      </c>
      <c r="T688">
        <v>180.639701</v>
      </c>
      <c r="U688" s="2">
        <v>44519</v>
      </c>
      <c r="V688" t="s">
        <v>803</v>
      </c>
    </row>
    <row r="689" spans="1:22">
      <c r="A689" s="1" t="s">
        <v>709</v>
      </c>
      <c r="B689">
        <f>HYPERLINK("https://www.suredividend.com/sure-analysis-TPVG/","TriplePoint Venture Growth BDC Corp")</f>
        <v>0</v>
      </c>
      <c r="C689">
        <v>17.74</v>
      </c>
      <c r="D689">
        <v>15</v>
      </c>
      <c r="E689">
        <v>1.182666666666667</v>
      </c>
      <c r="F689">
        <v>0.08117249154453214</v>
      </c>
      <c r="G689">
        <v>-0.03299765176045966</v>
      </c>
      <c r="H689">
        <v>0.02</v>
      </c>
      <c r="I689">
        <v>0.06018827013407679</v>
      </c>
      <c r="J689" t="s">
        <v>778</v>
      </c>
      <c r="K689" t="s">
        <v>346</v>
      </c>
      <c r="L689">
        <v>1.25</v>
      </c>
      <c r="M689">
        <v>1.44</v>
      </c>
      <c r="N689">
        <v>1.152</v>
      </c>
      <c r="O689">
        <v>0</v>
      </c>
      <c r="P689">
        <v>0</v>
      </c>
      <c r="Q689">
        <v>0.464259254634601</v>
      </c>
      <c r="R689" t="s">
        <v>783</v>
      </c>
      <c r="S689" t="s">
        <v>789</v>
      </c>
      <c r="T689">
        <v>545.009879</v>
      </c>
      <c r="U689" s="2">
        <v>44506</v>
      </c>
      <c r="V689" t="s">
        <v>795</v>
      </c>
    </row>
    <row r="690" spans="1:22">
      <c r="A690" s="1" t="s">
        <v>710</v>
      </c>
      <c r="B690">
        <f>HYPERLINK("https://www.suredividend.com/sure-analysis-BX/","Blackstone Inc")</f>
        <v>0</v>
      </c>
      <c r="C690">
        <v>128.5</v>
      </c>
      <c r="D690">
        <v>92</v>
      </c>
      <c r="E690">
        <v>1.396739130434783</v>
      </c>
      <c r="F690">
        <v>0.03392996108949416</v>
      </c>
      <c r="G690">
        <v>-0.06464399248022401</v>
      </c>
      <c r="H690">
        <v>0.1</v>
      </c>
      <c r="I690">
        <v>0.06004240545433048</v>
      </c>
      <c r="J690" t="s">
        <v>778</v>
      </c>
      <c r="K690" t="s">
        <v>524</v>
      </c>
      <c r="L690">
        <v>4.6</v>
      </c>
      <c r="M690">
        <v>4.36</v>
      </c>
      <c r="N690">
        <v>0.9478260869565219</v>
      </c>
      <c r="O690">
        <v>0</v>
      </c>
      <c r="P690">
        <v>0.02981918386499416</v>
      </c>
      <c r="Q690">
        <v>1.065575720363706</v>
      </c>
      <c r="R690" t="s">
        <v>780</v>
      </c>
      <c r="S690" t="s">
        <v>789</v>
      </c>
      <c r="T690">
        <v>88269.896689</v>
      </c>
      <c r="U690" s="2">
        <v>44494</v>
      </c>
      <c r="V690" t="s">
        <v>795</v>
      </c>
    </row>
    <row r="691" spans="1:22">
      <c r="A691" s="1" t="s">
        <v>711</v>
      </c>
      <c r="B691">
        <f>HYPERLINK("https://www.suredividend.com/sure-analysis-BFS/","Saul Centers, Inc.")</f>
        <v>0</v>
      </c>
      <c r="C691">
        <v>52.54</v>
      </c>
      <c r="D691">
        <v>50</v>
      </c>
      <c r="E691">
        <v>1.0508</v>
      </c>
      <c r="F691">
        <v>0.04339550818424057</v>
      </c>
      <c r="G691">
        <v>-0.009861410013531691</v>
      </c>
      <c r="H691">
        <v>0.03</v>
      </c>
      <c r="I691">
        <v>0.05955110062835445</v>
      </c>
      <c r="J691" t="s">
        <v>778</v>
      </c>
      <c r="K691" t="s">
        <v>524</v>
      </c>
      <c r="L691">
        <v>3.05</v>
      </c>
      <c r="M691">
        <v>2.28</v>
      </c>
      <c r="N691">
        <v>0.7475409836065574</v>
      </c>
      <c r="O691">
        <v>2</v>
      </c>
      <c r="P691">
        <v>0.02263597526826988</v>
      </c>
      <c r="Q691">
        <v>0.7549266184857131</v>
      </c>
      <c r="R691" t="s">
        <v>782</v>
      </c>
      <c r="S691" t="s">
        <v>794</v>
      </c>
      <c r="T691">
        <v>1255.152</v>
      </c>
      <c r="U691" s="2">
        <v>44531</v>
      </c>
      <c r="V691" t="s">
        <v>795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11.61</v>
      </c>
      <c r="D692">
        <v>9.9</v>
      </c>
      <c r="E692">
        <v>1.172727272727273</v>
      </c>
      <c r="F692">
        <v>0.09474590869939709</v>
      </c>
      <c r="G692">
        <v>-0.03136402426954787</v>
      </c>
      <c r="H692">
        <v>0</v>
      </c>
      <c r="I692">
        <v>0.05812676583930032</v>
      </c>
      <c r="J692" t="s">
        <v>778</v>
      </c>
      <c r="K692" t="s">
        <v>346</v>
      </c>
      <c r="L692">
        <v>1.1</v>
      </c>
      <c r="M692">
        <v>1.1</v>
      </c>
      <c r="N692">
        <v>1</v>
      </c>
      <c r="O692">
        <v>0</v>
      </c>
      <c r="P692">
        <v>0</v>
      </c>
      <c r="Q692">
        <v>0.5850859650771061</v>
      </c>
      <c r="R692" t="s">
        <v>780</v>
      </c>
      <c r="S692" t="s">
        <v>793</v>
      </c>
      <c r="T692">
        <v>70.86</v>
      </c>
      <c r="U692" s="2">
        <v>44519</v>
      </c>
      <c r="V692" t="s">
        <v>803</v>
      </c>
    </row>
    <row r="693" spans="1:22">
      <c r="A693" s="1" t="s">
        <v>713</v>
      </c>
      <c r="B693">
        <f>HYPERLINK("https://www.suredividend.com/sure-analysis-EXR/","Extra Space Storage Inc.")</f>
        <v>0</v>
      </c>
      <c r="C693">
        <v>225.57</v>
      </c>
      <c r="D693">
        <v>150</v>
      </c>
      <c r="E693">
        <v>1.5038</v>
      </c>
      <c r="F693">
        <v>0.02216606818282573</v>
      </c>
      <c r="G693">
        <v>-0.0783585810306755</v>
      </c>
      <c r="H693">
        <v>0.12</v>
      </c>
      <c r="I693">
        <v>0.0579302492901661</v>
      </c>
      <c r="J693" t="s">
        <v>778</v>
      </c>
      <c r="K693" t="s">
        <v>778</v>
      </c>
      <c r="L693">
        <v>6.8</v>
      </c>
      <c r="M693">
        <v>5</v>
      </c>
      <c r="N693">
        <v>0.7352941176470589</v>
      </c>
      <c r="O693">
        <v>12</v>
      </c>
      <c r="P693">
        <v>0.1101240567487265</v>
      </c>
      <c r="Q693">
        <v>1.034202981728991</v>
      </c>
      <c r="R693" t="s">
        <v>782</v>
      </c>
      <c r="S693" t="s">
        <v>794</v>
      </c>
      <c r="T693">
        <v>30181.890458</v>
      </c>
      <c r="U693" s="2">
        <v>44500</v>
      </c>
      <c r="V693" t="s">
        <v>795</v>
      </c>
    </row>
    <row r="694" spans="1:22">
      <c r="A694" s="1" t="s">
        <v>714</v>
      </c>
      <c r="B694">
        <f>HYPERLINK("https://www.suredividend.com/sure-analysis-GSK/","Glaxosmithkline plc")</f>
        <v>0</v>
      </c>
      <c r="C694">
        <v>44.12</v>
      </c>
      <c r="D694">
        <v>40</v>
      </c>
      <c r="E694">
        <v>1.103</v>
      </c>
      <c r="F694">
        <v>0.04986400725294652</v>
      </c>
      <c r="G694">
        <v>-0.01941578585539405</v>
      </c>
      <c r="H694">
        <v>0.03</v>
      </c>
      <c r="I694">
        <v>0.05768395807140858</v>
      </c>
      <c r="J694" t="s">
        <v>778</v>
      </c>
      <c r="K694" t="s">
        <v>346</v>
      </c>
      <c r="L694">
        <v>2.9</v>
      </c>
      <c r="M694">
        <v>2.2</v>
      </c>
      <c r="N694">
        <v>0.7586206896551725</v>
      </c>
      <c r="O694">
        <v>3</v>
      </c>
      <c r="P694">
        <v>0.02996744995959233</v>
      </c>
      <c r="Q694">
        <v>0.27118886479745</v>
      </c>
      <c r="R694" t="s">
        <v>780</v>
      </c>
      <c r="S694" t="s">
        <v>785</v>
      </c>
      <c r="T694">
        <v>111790.513031</v>
      </c>
      <c r="U694" s="2">
        <v>44496</v>
      </c>
      <c r="V694" t="s">
        <v>796</v>
      </c>
    </row>
    <row r="695" spans="1:22">
      <c r="A695" s="1" t="s">
        <v>715</v>
      </c>
      <c r="B695">
        <f>HYPERLINK("https://www.suredividend.com/sure-analysis-SCM/","Stellus Capital Investment Corp")</f>
        <v>0</v>
      </c>
      <c r="C695">
        <v>13.03</v>
      </c>
      <c r="D695">
        <v>11</v>
      </c>
      <c r="E695">
        <v>1.184545454545455</v>
      </c>
      <c r="F695">
        <v>0.08595548733691483</v>
      </c>
      <c r="G695">
        <v>-0.03330459583177658</v>
      </c>
      <c r="H695">
        <v>0.01</v>
      </c>
      <c r="I695">
        <v>0.05662332777059609</v>
      </c>
      <c r="J695" t="s">
        <v>778</v>
      </c>
      <c r="K695" t="s">
        <v>346</v>
      </c>
      <c r="L695">
        <v>1.08</v>
      </c>
      <c r="M695">
        <v>1.12</v>
      </c>
      <c r="N695">
        <v>1.037037037037037</v>
      </c>
      <c r="O695">
        <v>0</v>
      </c>
      <c r="P695">
        <v>0</v>
      </c>
      <c r="Q695">
        <v>0.274990199921599</v>
      </c>
      <c r="R695" t="s">
        <v>783</v>
      </c>
      <c r="S695" t="s">
        <v>789</v>
      </c>
      <c r="T695">
        <v>253.512899</v>
      </c>
      <c r="U695" s="2">
        <v>44522</v>
      </c>
      <c r="V695" t="s">
        <v>800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12.39</v>
      </c>
      <c r="D696">
        <v>12.6</v>
      </c>
      <c r="E696">
        <v>0.9833333333333334</v>
      </c>
      <c r="F696">
        <v>0.03551251008878127</v>
      </c>
      <c r="G696">
        <v>0.003367079583337151</v>
      </c>
      <c r="H696">
        <v>0.02</v>
      </c>
      <c r="I696">
        <v>0.0558589987449456</v>
      </c>
      <c r="J696" t="s">
        <v>778</v>
      </c>
      <c r="K696" t="s">
        <v>524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-0.033910444043096</v>
      </c>
      <c r="R696" t="s">
        <v>780</v>
      </c>
      <c r="S696" t="s">
        <v>791</v>
      </c>
      <c r="T696">
        <v>42668.062</v>
      </c>
      <c r="U696" s="2">
        <v>44490</v>
      </c>
      <c r="V696" t="s">
        <v>806</v>
      </c>
    </row>
    <row r="697" spans="1:22">
      <c r="A697" s="1" t="s">
        <v>717</v>
      </c>
      <c r="B697">
        <f>HYPERLINK("https://www.suredividend.com/sure-analysis-VLO/","Valero Energy Corp.")</f>
        <v>0</v>
      </c>
      <c r="C697">
        <v>74.28</v>
      </c>
      <c r="D697">
        <v>64</v>
      </c>
      <c r="E697">
        <v>1.160625</v>
      </c>
      <c r="F697">
        <v>0.05277329025309639</v>
      </c>
      <c r="G697">
        <v>-0.0293523313181675</v>
      </c>
      <c r="H697">
        <v>0.04</v>
      </c>
      <c r="I697">
        <v>0.05583501039101546</v>
      </c>
      <c r="J697" t="s">
        <v>778</v>
      </c>
      <c r="K697" t="s">
        <v>524</v>
      </c>
      <c r="L697">
        <v>0.5</v>
      </c>
      <c r="M697">
        <v>3.92</v>
      </c>
      <c r="N697">
        <v>7.84</v>
      </c>
      <c r="O697">
        <v>10</v>
      </c>
      <c r="P697">
        <v>0</v>
      </c>
      <c r="Q697">
        <v>0.422102501871688</v>
      </c>
      <c r="R697" t="s">
        <v>780</v>
      </c>
      <c r="S697" t="s">
        <v>793</v>
      </c>
      <c r="T697">
        <v>30519.57866</v>
      </c>
      <c r="U697" s="2">
        <v>44491</v>
      </c>
      <c r="V697" t="s">
        <v>803</v>
      </c>
    </row>
    <row r="698" spans="1:22">
      <c r="A698" s="1" t="s">
        <v>718</v>
      </c>
      <c r="B698">
        <f>HYPERLINK("https://www.suredividend.com/sure-analysis-STOR/","Store Capital Corp")</f>
        <v>0</v>
      </c>
      <c r="C698">
        <v>34.67</v>
      </c>
      <c r="D698">
        <v>30</v>
      </c>
      <c r="E698">
        <v>1.155666666666667</v>
      </c>
      <c r="F698">
        <v>0.04441880588404961</v>
      </c>
      <c r="G698">
        <v>-0.02852085345339206</v>
      </c>
      <c r="H698">
        <v>0.04</v>
      </c>
      <c r="I698">
        <v>0.05562776353782262</v>
      </c>
      <c r="J698" t="s">
        <v>778</v>
      </c>
      <c r="K698" t="s">
        <v>346</v>
      </c>
      <c r="L698">
        <v>1.99</v>
      </c>
      <c r="M698">
        <v>1.54</v>
      </c>
      <c r="N698">
        <v>0.7738693467336684</v>
      </c>
      <c r="O698">
        <v>8</v>
      </c>
      <c r="P698">
        <v>0.05048317528676538</v>
      </c>
      <c r="Q698">
        <v>0.070597314590193</v>
      </c>
      <c r="R698" t="s">
        <v>782</v>
      </c>
      <c r="S698" t="s">
        <v>794</v>
      </c>
      <c r="T698">
        <v>9494.5193</v>
      </c>
      <c r="U698" s="2">
        <v>44530</v>
      </c>
      <c r="V698" t="s">
        <v>801</v>
      </c>
    </row>
    <row r="699" spans="1:22">
      <c r="A699" s="1" t="s">
        <v>719</v>
      </c>
      <c r="B699">
        <f>HYPERLINK("https://www.suredividend.com/sure-analysis-MAIN/","Main Street Capital Corporation")</f>
        <v>0</v>
      </c>
      <c r="C699">
        <v>44.61</v>
      </c>
      <c r="D699">
        <v>40</v>
      </c>
      <c r="E699">
        <v>1.11525</v>
      </c>
      <c r="F699">
        <v>0.05648957632817754</v>
      </c>
      <c r="G699">
        <v>-0.02157947725387999</v>
      </c>
      <c r="H699">
        <v>0.025</v>
      </c>
      <c r="I699">
        <v>0.05478359345757178</v>
      </c>
      <c r="J699" t="s">
        <v>778</v>
      </c>
      <c r="K699" t="s">
        <v>346</v>
      </c>
      <c r="L699">
        <v>2.55</v>
      </c>
      <c r="M699">
        <v>2.52</v>
      </c>
      <c r="N699">
        <v>0.9882352941176471</v>
      </c>
      <c r="O699">
        <v>6</v>
      </c>
      <c r="P699">
        <v>0.01011092110060052</v>
      </c>
      <c r="Q699">
        <v>0.516984738645491</v>
      </c>
      <c r="R699" t="s">
        <v>783</v>
      </c>
      <c r="S699" t="s">
        <v>789</v>
      </c>
      <c r="T699">
        <v>3114.543629</v>
      </c>
      <c r="U699" s="2">
        <v>44511</v>
      </c>
      <c r="V699" t="s">
        <v>802</v>
      </c>
    </row>
    <row r="700" spans="1:22">
      <c r="A700" s="1" t="s">
        <v>720</v>
      </c>
      <c r="B700">
        <f>HYPERLINK("https://www.suredividend.com/sure-analysis-PBA/","Pembina Pipeline Corporation")</f>
        <v>0</v>
      </c>
      <c r="C700">
        <v>30.07</v>
      </c>
      <c r="D700">
        <v>24</v>
      </c>
      <c r="E700">
        <v>1.252916666666667</v>
      </c>
      <c r="F700">
        <v>0.06651147322913202</v>
      </c>
      <c r="G700">
        <v>-0.04409317429337123</v>
      </c>
      <c r="H700">
        <v>0.04</v>
      </c>
      <c r="I700">
        <v>0.05445923760878979</v>
      </c>
      <c r="J700" t="s">
        <v>778</v>
      </c>
      <c r="K700" t="s">
        <v>346</v>
      </c>
      <c r="L700">
        <v>2</v>
      </c>
      <c r="M700">
        <v>2</v>
      </c>
      <c r="N700">
        <v>1</v>
      </c>
      <c r="O700">
        <v>5</v>
      </c>
      <c r="P700">
        <v>0</v>
      </c>
      <c r="Q700">
        <v>0.352459199992832</v>
      </c>
      <c r="R700" t="s">
        <v>780</v>
      </c>
      <c r="S700" t="s">
        <v>793</v>
      </c>
      <c r="T700">
        <v>16615.53834</v>
      </c>
      <c r="U700" s="2">
        <v>44512</v>
      </c>
      <c r="V700" t="s">
        <v>803</v>
      </c>
    </row>
    <row r="701" spans="1:22">
      <c r="A701" s="1" t="s">
        <v>721</v>
      </c>
      <c r="B701">
        <f>HYPERLINK("https://www.suredividend.com/sure-analysis-SJT/","San Juan Basin Royalty Trust")</f>
        <v>0</v>
      </c>
      <c r="C701">
        <v>6.01</v>
      </c>
      <c r="D701">
        <v>4.8</v>
      </c>
      <c r="E701">
        <v>1.252083333333333</v>
      </c>
      <c r="F701">
        <v>0.09983361064891846</v>
      </c>
      <c r="G701">
        <v>-0.04396596598149938</v>
      </c>
      <c r="H701">
        <v>0</v>
      </c>
      <c r="I701">
        <v>0.05352301160696249</v>
      </c>
      <c r="J701" t="s">
        <v>778</v>
      </c>
      <c r="K701" t="s">
        <v>346</v>
      </c>
      <c r="L701">
        <v>0.6</v>
      </c>
      <c r="M701">
        <v>0.6</v>
      </c>
      <c r="N701">
        <v>1</v>
      </c>
      <c r="O701">
        <v>1</v>
      </c>
      <c r="P701">
        <v>0</v>
      </c>
      <c r="Q701">
        <v>1.653752605976372</v>
      </c>
      <c r="R701" t="s">
        <v>780</v>
      </c>
      <c r="S701" t="s">
        <v>793</v>
      </c>
      <c r="T701">
        <v>284.779744</v>
      </c>
      <c r="U701" s="2">
        <v>44519</v>
      </c>
      <c r="V701" t="s">
        <v>803</v>
      </c>
    </row>
    <row r="702" spans="1:22">
      <c r="A702" s="1" t="s">
        <v>722</v>
      </c>
      <c r="B702">
        <f>HYPERLINK("https://www.suredividend.com/sure-analysis-GLPI/","Gaming and Leisure Properties Inc")</f>
        <v>0</v>
      </c>
      <c r="C702">
        <v>48.51</v>
      </c>
      <c r="D702">
        <v>49</v>
      </c>
      <c r="E702">
        <v>0.99</v>
      </c>
      <c r="F702">
        <v>0.05524634096062668</v>
      </c>
      <c r="G702">
        <v>0.002012088709965276</v>
      </c>
      <c r="H702">
        <v>-0.001</v>
      </c>
      <c r="I702">
        <v>0.05203054901709758</v>
      </c>
      <c r="J702" t="s">
        <v>778</v>
      </c>
      <c r="K702" t="s">
        <v>346</v>
      </c>
      <c r="L702">
        <v>3.47</v>
      </c>
      <c r="M702">
        <v>2.68</v>
      </c>
      <c r="N702">
        <v>0.7723342939481268</v>
      </c>
      <c r="O702">
        <v>0</v>
      </c>
      <c r="P702">
        <v>0.008799010229586735</v>
      </c>
      <c r="Q702">
        <v>0.205813000313724</v>
      </c>
      <c r="R702" t="s">
        <v>782</v>
      </c>
      <c r="S702" t="s">
        <v>794</v>
      </c>
      <c r="T702">
        <v>11359.813807</v>
      </c>
      <c r="U702" s="2">
        <v>44506</v>
      </c>
      <c r="V702" t="s">
        <v>805</v>
      </c>
    </row>
    <row r="703" spans="1:22">
      <c r="A703" s="1" t="s">
        <v>723</v>
      </c>
      <c r="B703">
        <f>HYPERLINK("https://www.suredividend.com/sure-analysis-ARCC/","Ares Capital Corp")</f>
        <v>0</v>
      </c>
      <c r="C703">
        <v>20.97</v>
      </c>
      <c r="D703">
        <v>16.4</v>
      </c>
      <c r="E703">
        <v>1.278658536585366</v>
      </c>
      <c r="F703">
        <v>0.07820696232713401</v>
      </c>
      <c r="G703">
        <v>-0.04797339867866957</v>
      </c>
      <c r="H703">
        <v>0.019</v>
      </c>
      <c r="I703">
        <v>0.04989969154360185</v>
      </c>
      <c r="J703" t="s">
        <v>778</v>
      </c>
      <c r="K703" t="s">
        <v>346</v>
      </c>
      <c r="L703">
        <v>1.82</v>
      </c>
      <c r="M703">
        <v>1.64</v>
      </c>
      <c r="N703">
        <v>0.901098901098901</v>
      </c>
      <c r="O703">
        <v>4</v>
      </c>
      <c r="P703">
        <v>0.02104646949148603</v>
      </c>
      <c r="Q703">
        <v>0.357996548018367</v>
      </c>
      <c r="R703" t="s">
        <v>783</v>
      </c>
      <c r="S703" t="s">
        <v>789</v>
      </c>
      <c r="T703">
        <v>9606.719628000001</v>
      </c>
      <c r="U703" s="2">
        <v>44496</v>
      </c>
      <c r="V703" t="s">
        <v>805</v>
      </c>
    </row>
    <row r="704" spans="1:22">
      <c r="A704" s="1" t="s">
        <v>724</v>
      </c>
      <c r="B704">
        <f>HYPERLINK("https://www.suredividend.com/sure-analysis-GWRS/","Global Water Resources Inc")</f>
        <v>0</v>
      </c>
      <c r="C704">
        <v>16.97</v>
      </c>
      <c r="D704">
        <v>15</v>
      </c>
      <c r="E704">
        <v>1.131333333333333</v>
      </c>
      <c r="F704">
        <v>0.01708898055391868</v>
      </c>
      <c r="G704">
        <v>-0.02437732970810191</v>
      </c>
      <c r="H704">
        <v>0.06</v>
      </c>
      <c r="I704">
        <v>0.04955073591698</v>
      </c>
      <c r="J704" t="s">
        <v>778</v>
      </c>
      <c r="K704" t="s">
        <v>778</v>
      </c>
      <c r="L704">
        <v>0.4</v>
      </c>
      <c r="M704">
        <v>0.29</v>
      </c>
      <c r="N704">
        <v>0.7249999999999999</v>
      </c>
      <c r="O704">
        <v>6</v>
      </c>
      <c r="P704">
        <v>0.01988310171094443</v>
      </c>
      <c r="Q704">
        <v>0.167304519282775</v>
      </c>
      <c r="R704" t="s">
        <v>780</v>
      </c>
      <c r="S704" t="s">
        <v>792</v>
      </c>
      <c r="T704">
        <v>386.168621</v>
      </c>
      <c r="U704" s="2">
        <v>44513</v>
      </c>
      <c r="V704" t="s">
        <v>795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33.76</v>
      </c>
      <c r="D705">
        <v>31</v>
      </c>
      <c r="E705">
        <v>1.089032258064516</v>
      </c>
      <c r="F705">
        <v>0.03821090047393366</v>
      </c>
      <c r="G705">
        <v>-0.01691323090260621</v>
      </c>
      <c r="H705">
        <v>0.03</v>
      </c>
      <c r="I705">
        <v>0.04802965772829637</v>
      </c>
      <c r="J705" t="s">
        <v>778</v>
      </c>
      <c r="K705" t="s">
        <v>524</v>
      </c>
      <c r="L705">
        <v>1.76</v>
      </c>
      <c r="M705">
        <v>1.29</v>
      </c>
      <c r="N705">
        <v>0.7329545454545455</v>
      </c>
      <c r="O705">
        <v>8</v>
      </c>
      <c r="P705">
        <v>0.01504434962783696</v>
      </c>
      <c r="Q705">
        <v>0.296891911601022</v>
      </c>
      <c r="R705" t="s">
        <v>782</v>
      </c>
      <c r="S705" t="s">
        <v>794</v>
      </c>
      <c r="T705">
        <v>7462.119467</v>
      </c>
      <c r="U705" s="2">
        <v>44526</v>
      </c>
      <c r="V705" t="s">
        <v>798</v>
      </c>
    </row>
    <row r="706" spans="1:22">
      <c r="A706" s="1" t="s">
        <v>726</v>
      </c>
      <c r="B706">
        <f>HYPERLINK("https://www.suredividend.com/sure-analysis-GMRE/","Global Medical REIT Inc")</f>
        <v>0</v>
      </c>
      <c r="C706">
        <v>17.83</v>
      </c>
      <c r="D706">
        <v>14.25</v>
      </c>
      <c r="E706">
        <v>1.251228070175439</v>
      </c>
      <c r="F706">
        <v>0.04598990465507571</v>
      </c>
      <c r="G706">
        <v>-0.04383530439598393</v>
      </c>
      <c r="H706">
        <v>0.05</v>
      </c>
      <c r="I706">
        <v>0.04675144186859082</v>
      </c>
      <c r="J706" t="s">
        <v>778</v>
      </c>
      <c r="K706" t="s">
        <v>524</v>
      </c>
      <c r="L706">
        <v>0.95</v>
      </c>
      <c r="M706">
        <v>0.82</v>
      </c>
      <c r="N706">
        <v>0.8631578947368421</v>
      </c>
      <c r="O706">
        <v>1</v>
      </c>
      <c r="P706">
        <v>0.009571122817161548</v>
      </c>
      <c r="Q706">
        <v>0.4735980352026191</v>
      </c>
      <c r="R706" t="s">
        <v>782</v>
      </c>
      <c r="S706" t="s">
        <v>794</v>
      </c>
      <c r="T706">
        <v>1132.627762</v>
      </c>
      <c r="U706" s="2">
        <v>44504</v>
      </c>
      <c r="V706" t="s">
        <v>795</v>
      </c>
    </row>
    <row r="707" spans="1:22">
      <c r="A707" s="1" t="s">
        <v>727</v>
      </c>
      <c r="B707">
        <f>HYPERLINK("https://www.suredividend.com/sure-analysis-NEM/","Newmont Corp")</f>
        <v>0</v>
      </c>
      <c r="C707">
        <v>61.59</v>
      </c>
      <c r="D707">
        <v>56</v>
      </c>
      <c r="E707">
        <v>1.099821428571429</v>
      </c>
      <c r="F707">
        <v>0.03572008442929047</v>
      </c>
      <c r="G707">
        <v>-0.0188496466740411</v>
      </c>
      <c r="H707">
        <v>0.03</v>
      </c>
      <c r="I707">
        <v>0.0465452035683156</v>
      </c>
      <c r="J707" t="s">
        <v>778</v>
      </c>
      <c r="K707" t="s">
        <v>524</v>
      </c>
      <c r="L707">
        <v>3.1</v>
      </c>
      <c r="M707">
        <v>2.2</v>
      </c>
      <c r="N707">
        <v>0.7096774193548387</v>
      </c>
      <c r="O707">
        <v>6</v>
      </c>
      <c r="P707">
        <v>0.04026125343417397</v>
      </c>
      <c r="Q707">
        <v>0.052605989887203</v>
      </c>
      <c r="R707" t="s">
        <v>780</v>
      </c>
      <c r="S707" t="s">
        <v>790</v>
      </c>
      <c r="T707">
        <v>48340.528128</v>
      </c>
      <c r="U707" s="2">
        <v>44502</v>
      </c>
      <c r="V707" t="s">
        <v>797</v>
      </c>
    </row>
    <row r="708" spans="1:22">
      <c r="A708" s="1" t="s">
        <v>728</v>
      </c>
      <c r="B708">
        <f>HYPERLINK("https://www.suredividend.com/sure-analysis-HTGC/","Hercules Capital Inc")</f>
        <v>0</v>
      </c>
      <c r="C708">
        <v>16.55</v>
      </c>
      <c r="D708">
        <v>13.7</v>
      </c>
      <c r="E708">
        <v>1.208029197080292</v>
      </c>
      <c r="F708">
        <v>0.07975830815709969</v>
      </c>
      <c r="G708">
        <v>-0.03709262325444695</v>
      </c>
      <c r="H708">
        <v>0.001</v>
      </c>
      <c r="I708">
        <v>0.04630844569012349</v>
      </c>
      <c r="J708" t="s">
        <v>778</v>
      </c>
      <c r="K708" t="s">
        <v>346</v>
      </c>
      <c r="L708">
        <v>1.28</v>
      </c>
      <c r="M708">
        <v>1.32</v>
      </c>
      <c r="N708">
        <v>1.03125</v>
      </c>
      <c r="O708">
        <v>0</v>
      </c>
      <c r="P708">
        <v>0.01896393794917839</v>
      </c>
      <c r="Q708">
        <v>0.240535601059266</v>
      </c>
      <c r="R708" t="s">
        <v>783</v>
      </c>
      <c r="S708" t="s">
        <v>789</v>
      </c>
      <c r="T708">
        <v>1927.407388</v>
      </c>
      <c r="U708" s="2">
        <v>44506</v>
      </c>
      <c r="V708" t="s">
        <v>805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4.12</v>
      </c>
      <c r="D709">
        <v>3.4</v>
      </c>
      <c r="E709">
        <v>1.211764705882353</v>
      </c>
      <c r="F709">
        <v>0.1019417475728155</v>
      </c>
      <c r="G709">
        <v>-0.03768702784689937</v>
      </c>
      <c r="H709">
        <v>0</v>
      </c>
      <c r="I709">
        <v>0.04590982888838924</v>
      </c>
      <c r="J709" t="s">
        <v>778</v>
      </c>
      <c r="K709" t="s">
        <v>346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0.514151635137116</v>
      </c>
      <c r="R709" t="s">
        <v>783</v>
      </c>
      <c r="S709" t="s">
        <v>789</v>
      </c>
      <c r="T709">
        <v>205.076286</v>
      </c>
      <c r="U709" s="2">
        <v>44502</v>
      </c>
      <c r="V709" t="s">
        <v>795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30.96</v>
      </c>
      <c r="D710">
        <v>25</v>
      </c>
      <c r="E710">
        <v>1.2384</v>
      </c>
      <c r="F710">
        <v>0.06136950904392764</v>
      </c>
      <c r="G710">
        <v>-0.04186255906335001</v>
      </c>
      <c r="H710">
        <v>0.03</v>
      </c>
      <c r="I710">
        <v>0.04445805185072005</v>
      </c>
      <c r="J710" t="s">
        <v>778</v>
      </c>
      <c r="K710" t="s">
        <v>524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0.097432860235068</v>
      </c>
      <c r="R710" t="s">
        <v>780</v>
      </c>
      <c r="S710" t="s">
        <v>791</v>
      </c>
      <c r="T710">
        <v>2020.240777</v>
      </c>
      <c r="U710" s="2">
        <v>44511</v>
      </c>
      <c r="V710" t="s">
        <v>799</v>
      </c>
    </row>
    <row r="711" spans="1:22">
      <c r="A711" s="1" t="s">
        <v>731</v>
      </c>
      <c r="B711">
        <f>HYPERLINK("https://www.suredividend.com/sure-analysis-MNR/","Monmouth Real Estate Investment Corp.")</f>
        <v>0</v>
      </c>
      <c r="C711">
        <v>20.99</v>
      </c>
      <c r="D711">
        <v>19.11</v>
      </c>
      <c r="E711">
        <v>1.098377812663527</v>
      </c>
      <c r="F711">
        <v>0.03430204859456884</v>
      </c>
      <c r="G711">
        <v>-0.01859187376800542</v>
      </c>
      <c r="H711">
        <v>0.03</v>
      </c>
      <c r="I711">
        <v>0.04342738539388291</v>
      </c>
      <c r="J711" t="s">
        <v>778</v>
      </c>
      <c r="K711" t="s">
        <v>524</v>
      </c>
      <c r="L711">
        <v>0.91</v>
      </c>
      <c r="M711">
        <v>0.72</v>
      </c>
      <c r="N711">
        <v>0.7912087912087912</v>
      </c>
      <c r="O711">
        <v>1</v>
      </c>
      <c r="P711">
        <v>0.01872958559274807</v>
      </c>
      <c r="Q711">
        <v>0.239871534223164</v>
      </c>
      <c r="R711" t="s">
        <v>782</v>
      </c>
      <c r="S711" t="s">
        <v>794</v>
      </c>
      <c r="T711">
        <v>2069.061313</v>
      </c>
      <c r="U711" s="2">
        <v>44520</v>
      </c>
      <c r="V711" t="s">
        <v>795</v>
      </c>
    </row>
    <row r="712" spans="1:22">
      <c r="A712" s="1" t="s">
        <v>732</v>
      </c>
      <c r="B712">
        <f>HYPERLINK("https://www.suredividend.com/sure-analysis-NSA/","National Storage Affiliates Trust")</f>
        <v>0</v>
      </c>
      <c r="C712">
        <v>68.76000000000001</v>
      </c>
      <c r="D712">
        <v>49</v>
      </c>
      <c r="E712">
        <v>1.403265306122449</v>
      </c>
      <c r="F712">
        <v>0.02617801047120419</v>
      </c>
      <c r="G712">
        <v>-0.06551562881576756</v>
      </c>
      <c r="H712">
        <v>0.08</v>
      </c>
      <c r="I712">
        <v>0.03851216862899642</v>
      </c>
      <c r="J712" t="s">
        <v>778</v>
      </c>
      <c r="K712" t="s">
        <v>778</v>
      </c>
      <c r="L712">
        <v>2.21</v>
      </c>
      <c r="M712">
        <v>1.8</v>
      </c>
      <c r="N712">
        <v>0.8144796380090498</v>
      </c>
      <c r="O712">
        <v>6</v>
      </c>
      <c r="P712">
        <v>0.06961037572506878</v>
      </c>
      <c r="Q712">
        <v>1.033960186436536</v>
      </c>
      <c r="R712" t="s">
        <v>782</v>
      </c>
      <c r="S712" t="s">
        <v>794</v>
      </c>
      <c r="T712">
        <v>6152.856885</v>
      </c>
      <c r="U712" s="2">
        <v>44505</v>
      </c>
      <c r="V712" t="s">
        <v>795</v>
      </c>
    </row>
    <row r="713" spans="1:22">
      <c r="A713" s="1" t="s">
        <v>733</v>
      </c>
      <c r="B713">
        <f>HYPERLINK("https://www.suredividend.com/sure-analysis-BXMT/","Blackstone Mortgage Trust Inc")</f>
        <v>0</v>
      </c>
      <c r="C713">
        <v>30.88</v>
      </c>
      <c r="D713">
        <v>24.3</v>
      </c>
      <c r="E713">
        <v>1.270781893004115</v>
      </c>
      <c r="F713">
        <v>0.08031088082901555</v>
      </c>
      <c r="G713">
        <v>-0.04679613114824421</v>
      </c>
      <c r="H713">
        <v>0.004</v>
      </c>
      <c r="I713">
        <v>0.03788575705481767</v>
      </c>
      <c r="J713" t="s">
        <v>778</v>
      </c>
      <c r="K713" t="s">
        <v>346</v>
      </c>
      <c r="L713">
        <v>2.43</v>
      </c>
      <c r="M713">
        <v>2.48</v>
      </c>
      <c r="N713">
        <v>1.020576131687243</v>
      </c>
      <c r="O713">
        <v>0</v>
      </c>
      <c r="P713">
        <v>0</v>
      </c>
      <c r="Q713">
        <v>0.214426609792482</v>
      </c>
      <c r="R713" t="s">
        <v>782</v>
      </c>
      <c r="S713" t="s">
        <v>794</v>
      </c>
      <c r="T713">
        <v>5327.637029</v>
      </c>
      <c r="U713" s="2">
        <v>44503</v>
      </c>
      <c r="V713" t="s">
        <v>805</v>
      </c>
    </row>
    <row r="714" spans="1:22">
      <c r="A714" s="1" t="s">
        <v>734</v>
      </c>
      <c r="B714">
        <f>HYPERLINK("https://www.suredividend.com/sure-analysis-XRX/","Xerox Holdings Corp")</f>
        <v>0</v>
      </c>
      <c r="C714">
        <v>22.82</v>
      </c>
      <c r="D714">
        <v>16</v>
      </c>
      <c r="E714">
        <v>1.42625</v>
      </c>
      <c r="F714">
        <v>0.04382120946538125</v>
      </c>
      <c r="G714">
        <v>-0.06854716577255848</v>
      </c>
      <c r="H714">
        <v>0.07000000000000001</v>
      </c>
      <c r="I714">
        <v>0.03756738906443791</v>
      </c>
      <c r="J714" t="s">
        <v>778</v>
      </c>
      <c r="K714" t="s">
        <v>346</v>
      </c>
      <c r="L714">
        <v>1.6</v>
      </c>
      <c r="M714">
        <v>1</v>
      </c>
      <c r="N714">
        <v>0.625</v>
      </c>
      <c r="O714">
        <v>0</v>
      </c>
      <c r="P714">
        <v>0</v>
      </c>
      <c r="Q714">
        <v>0.064834027261575</v>
      </c>
      <c r="R714" t="s">
        <v>780</v>
      </c>
      <c r="S714" t="s">
        <v>787</v>
      </c>
      <c r="T714">
        <v>4168.256508</v>
      </c>
      <c r="U714" s="2">
        <v>44512</v>
      </c>
      <c r="V714" t="s">
        <v>800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41.54</v>
      </c>
      <c r="D715">
        <v>32</v>
      </c>
      <c r="E715">
        <v>1.298125</v>
      </c>
      <c r="F715">
        <v>0.07583052479537795</v>
      </c>
      <c r="G715">
        <v>-0.05084596741761582</v>
      </c>
      <c r="H715">
        <v>0.01</v>
      </c>
      <c r="I715">
        <v>0.03718368593107391</v>
      </c>
      <c r="J715" t="s">
        <v>778</v>
      </c>
      <c r="K715" t="s">
        <v>346</v>
      </c>
      <c r="L715">
        <v>3.15</v>
      </c>
      <c r="M715">
        <v>3.15</v>
      </c>
      <c r="N715">
        <v>1</v>
      </c>
      <c r="O715">
        <v>0</v>
      </c>
      <c r="P715">
        <v>0.009958405478199817</v>
      </c>
      <c r="Q715">
        <v>0.5753167509186821</v>
      </c>
      <c r="R715" t="s">
        <v>780</v>
      </c>
      <c r="S715" t="s">
        <v>793</v>
      </c>
      <c r="T715">
        <v>605.625991</v>
      </c>
      <c r="U715" s="2">
        <v>44519</v>
      </c>
      <c r="V715" t="s">
        <v>803</v>
      </c>
    </row>
    <row r="716" spans="1:22">
      <c r="A716" s="1" t="s">
        <v>736</v>
      </c>
      <c r="B716">
        <f>HYPERLINK("https://www.suredividend.com/sure-analysis-PRT/","PermRock Royalty Trust")</f>
        <v>0</v>
      </c>
      <c r="C716">
        <v>7.06</v>
      </c>
      <c r="D716">
        <v>4.13</v>
      </c>
      <c r="E716">
        <v>1.709443099273608</v>
      </c>
      <c r="F716">
        <v>0.07790368271954676</v>
      </c>
      <c r="G716">
        <v>-0.1016841342285392</v>
      </c>
      <c r="H716">
        <v>0.05</v>
      </c>
      <c r="I716">
        <v>0.03675966140158748</v>
      </c>
      <c r="J716" t="s">
        <v>778</v>
      </c>
      <c r="K716" t="s">
        <v>346</v>
      </c>
      <c r="L716">
        <v>0.55</v>
      </c>
      <c r="M716">
        <v>0.55</v>
      </c>
      <c r="N716">
        <v>1</v>
      </c>
      <c r="O716">
        <v>0</v>
      </c>
      <c r="P716">
        <v>0.04941452284458392</v>
      </c>
      <c r="Q716">
        <v>1.717264904256144</v>
      </c>
      <c r="R716" t="s">
        <v>780</v>
      </c>
      <c r="S716" t="s">
        <v>793</v>
      </c>
      <c r="T716">
        <v>85.281781</v>
      </c>
      <c r="U716" s="2">
        <v>44516</v>
      </c>
      <c r="V716" t="s">
        <v>802</v>
      </c>
    </row>
    <row r="717" spans="1:22">
      <c r="A717" s="1" t="s">
        <v>737</v>
      </c>
      <c r="B717">
        <f>HYPERLINK("https://www.suredividend.com/sure-analysis-CODI/","Compass Diversified Holdings")</f>
        <v>0</v>
      </c>
      <c r="C717">
        <v>30.68</v>
      </c>
      <c r="D717">
        <v>24</v>
      </c>
      <c r="E717">
        <v>1.278333333333333</v>
      </c>
      <c r="F717">
        <v>0.0469361147327249</v>
      </c>
      <c r="G717">
        <v>-0.04792496520066314</v>
      </c>
      <c r="H717">
        <v>0.04</v>
      </c>
      <c r="I717">
        <v>0.03478093214645006</v>
      </c>
      <c r="J717" t="s">
        <v>778</v>
      </c>
      <c r="K717" t="s">
        <v>346</v>
      </c>
      <c r="L717">
        <v>2.4</v>
      </c>
      <c r="M717">
        <v>1.44</v>
      </c>
      <c r="N717">
        <v>0.6</v>
      </c>
      <c r="O717">
        <v>0</v>
      </c>
      <c r="P717">
        <v>0</v>
      </c>
      <c r="Q717">
        <v>0.693830434086909</v>
      </c>
      <c r="R717" t="s">
        <v>780</v>
      </c>
      <c r="S717" t="s">
        <v>786</v>
      </c>
      <c r="T717">
        <v>1954.7786</v>
      </c>
      <c r="U717" s="2">
        <v>44504</v>
      </c>
      <c r="V717" t="s">
        <v>797</v>
      </c>
    </row>
    <row r="718" spans="1:22">
      <c r="A718" s="1" t="s">
        <v>738</v>
      </c>
      <c r="B718">
        <f>HYPERLINK("https://www.suredividend.com/sure-analysis-PSEC/","Prospect Capital Corp")</f>
        <v>0</v>
      </c>
      <c r="C718">
        <v>8.369999999999999</v>
      </c>
      <c r="D718">
        <v>6.3</v>
      </c>
      <c r="E718">
        <v>1.328571428571429</v>
      </c>
      <c r="F718">
        <v>0.08602150537634409</v>
      </c>
      <c r="G718">
        <v>-0.05523669165538636</v>
      </c>
      <c r="H718">
        <v>0</v>
      </c>
      <c r="I718">
        <v>0.03414621632574555</v>
      </c>
      <c r="J718" t="s">
        <v>778</v>
      </c>
      <c r="K718" t="s">
        <v>346</v>
      </c>
      <c r="L718">
        <v>0.74</v>
      </c>
      <c r="M718">
        <v>0.72</v>
      </c>
      <c r="N718">
        <v>0.9729729729729729</v>
      </c>
      <c r="O718">
        <v>0</v>
      </c>
      <c r="P718">
        <v>0</v>
      </c>
      <c r="Q718">
        <v>0.6600868535333591</v>
      </c>
      <c r="R718" t="s">
        <v>783</v>
      </c>
      <c r="S718" t="s">
        <v>789</v>
      </c>
      <c r="T718">
        <v>3278.777265</v>
      </c>
      <c r="U718" s="2">
        <v>44541</v>
      </c>
      <c r="V718" t="s">
        <v>800</v>
      </c>
    </row>
    <row r="719" spans="1:22">
      <c r="A719" s="1" t="s">
        <v>739</v>
      </c>
      <c r="B719">
        <f>HYPERLINK("https://www.suredividend.com/sure-analysis-BCE/","BCE Inc")</f>
        <v>0</v>
      </c>
      <c r="C719">
        <v>51.7</v>
      </c>
      <c r="D719">
        <v>40</v>
      </c>
      <c r="E719">
        <v>1.2925</v>
      </c>
      <c r="F719">
        <v>0.05435203094777562</v>
      </c>
      <c r="G719">
        <v>-0.0500212523001925</v>
      </c>
      <c r="H719">
        <v>0.03</v>
      </c>
      <c r="I719">
        <v>0.03238051130793829</v>
      </c>
      <c r="J719" t="s">
        <v>778</v>
      </c>
      <c r="K719" t="s">
        <v>524</v>
      </c>
      <c r="L719">
        <v>2.56</v>
      </c>
      <c r="M719">
        <v>2.81</v>
      </c>
      <c r="N719">
        <v>1.09765625</v>
      </c>
      <c r="O719">
        <v>12</v>
      </c>
      <c r="P719">
        <v>0.00493329096672368</v>
      </c>
      <c r="Q719">
        <v>0.276625268854506</v>
      </c>
      <c r="R719" t="s">
        <v>780</v>
      </c>
      <c r="S719" t="s">
        <v>784</v>
      </c>
      <c r="T719">
        <v>46823.937677</v>
      </c>
      <c r="U719" s="2">
        <v>44517</v>
      </c>
      <c r="V719" t="s">
        <v>804</v>
      </c>
    </row>
    <row r="720" spans="1:22">
      <c r="A720" s="1" t="s">
        <v>740</v>
      </c>
      <c r="B720">
        <f>HYPERLINK("https://www.suredividend.com/sure-analysis-GOOD/","Gladstone Commercial Corp")</f>
        <v>0</v>
      </c>
      <c r="C720">
        <v>25.52</v>
      </c>
      <c r="D720">
        <v>19</v>
      </c>
      <c r="E720">
        <v>1.343157894736842</v>
      </c>
      <c r="F720">
        <v>0.05877742946708464</v>
      </c>
      <c r="G720">
        <v>-0.05729765765342887</v>
      </c>
      <c r="H720">
        <v>0.03</v>
      </c>
      <c r="I720">
        <v>0.02959256854401593</v>
      </c>
      <c r="J720" t="s">
        <v>778</v>
      </c>
      <c r="K720" t="s">
        <v>346</v>
      </c>
      <c r="L720">
        <v>1.56</v>
      </c>
      <c r="M720">
        <v>1.5</v>
      </c>
      <c r="N720">
        <v>0.9615384615384615</v>
      </c>
      <c r="O720">
        <v>0</v>
      </c>
      <c r="P720">
        <v>0</v>
      </c>
      <c r="Q720">
        <v>0.522772562483494</v>
      </c>
      <c r="R720" t="s">
        <v>782</v>
      </c>
      <c r="S720" t="s">
        <v>794</v>
      </c>
      <c r="T720">
        <v>945.499714</v>
      </c>
      <c r="U720" s="2">
        <v>44526</v>
      </c>
      <c r="V720" t="s">
        <v>800</v>
      </c>
    </row>
    <row r="721" spans="1:22">
      <c r="A721" s="1" t="s">
        <v>741</v>
      </c>
      <c r="B721">
        <f>HYPERLINK("https://www.suredividend.com/sure-analysis-BKR/","Baker Hughes Co")</f>
        <v>0</v>
      </c>
      <c r="C721">
        <v>23.95</v>
      </c>
      <c r="D721">
        <v>13</v>
      </c>
      <c r="E721">
        <v>1.842307692307692</v>
      </c>
      <c r="F721">
        <v>0.03006263048016701</v>
      </c>
      <c r="G721">
        <v>-0.1150320004062502</v>
      </c>
      <c r="H721">
        <v>0.13</v>
      </c>
      <c r="I721">
        <v>0.02841509395527431</v>
      </c>
      <c r="J721" t="s">
        <v>778</v>
      </c>
      <c r="K721" t="s">
        <v>778</v>
      </c>
      <c r="L721">
        <v>0.75</v>
      </c>
      <c r="M721">
        <v>0.72</v>
      </c>
      <c r="N721">
        <v>0.96</v>
      </c>
      <c r="O721">
        <v>0</v>
      </c>
      <c r="P721">
        <v>0</v>
      </c>
      <c r="Q721">
        <v>0.206454306848007</v>
      </c>
      <c r="R721" t="s">
        <v>780</v>
      </c>
      <c r="S721" t="s">
        <v>793</v>
      </c>
      <c r="T721">
        <v>25125.2748</v>
      </c>
      <c r="U721" s="2">
        <v>44491</v>
      </c>
      <c r="V721" t="s">
        <v>803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8.32</v>
      </c>
      <c r="D722">
        <v>7</v>
      </c>
      <c r="E722">
        <v>1.188571428571429</v>
      </c>
      <c r="F722">
        <v>0.03245192307692308</v>
      </c>
      <c r="G722">
        <v>-0.03396037037595001</v>
      </c>
      <c r="H722">
        <v>0.03</v>
      </c>
      <c r="I722">
        <v>0.02612131884727154</v>
      </c>
      <c r="J722" t="s">
        <v>778</v>
      </c>
      <c r="K722" t="s">
        <v>524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-0.09852814231235701</v>
      </c>
      <c r="R722" t="s">
        <v>780</v>
      </c>
      <c r="S722" t="s">
        <v>784</v>
      </c>
      <c r="T722">
        <v>6243.471663</v>
      </c>
      <c r="U722" s="2">
        <v>44502</v>
      </c>
      <c r="V722" t="s">
        <v>797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11.99</v>
      </c>
      <c r="D723">
        <v>8.5</v>
      </c>
      <c r="E723">
        <v>1.410588235294118</v>
      </c>
      <c r="F723">
        <v>0.06672226855713094</v>
      </c>
      <c r="G723">
        <v>-0.06648790653023606</v>
      </c>
      <c r="H723">
        <v>0.02</v>
      </c>
      <c r="I723">
        <v>0.02406623258922447</v>
      </c>
      <c r="J723" t="s">
        <v>778</v>
      </c>
      <c r="K723" t="s">
        <v>524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0.327336551118911</v>
      </c>
      <c r="R723" t="s">
        <v>782</v>
      </c>
      <c r="S723" t="s">
        <v>794</v>
      </c>
      <c r="T723">
        <v>1518.078923</v>
      </c>
      <c r="U723" s="2">
        <v>44513</v>
      </c>
      <c r="V723" t="s">
        <v>802</v>
      </c>
    </row>
    <row r="724" spans="1:22">
      <c r="A724" s="1" t="s">
        <v>744</v>
      </c>
      <c r="B724">
        <f>HYPERLINK("https://www.suredividend.com/sure-analysis-IRT/","Independence Realty Trust Inc")</f>
        <v>0</v>
      </c>
      <c r="C724">
        <v>25.22</v>
      </c>
      <c r="D724">
        <v>18.7</v>
      </c>
      <c r="E724">
        <v>1.348663101604278</v>
      </c>
      <c r="F724">
        <v>0.0190325138778747</v>
      </c>
      <c r="G724">
        <v>-0.05806853453435168</v>
      </c>
      <c r="H724">
        <v>0.059</v>
      </c>
      <c r="I724">
        <v>0.02260209976245209</v>
      </c>
      <c r="J724" t="s">
        <v>778</v>
      </c>
      <c r="K724" t="s">
        <v>778</v>
      </c>
      <c r="L724">
        <v>0.79</v>
      </c>
      <c r="M724">
        <v>0.48</v>
      </c>
      <c r="N724">
        <v>0.6075949367088607</v>
      </c>
      <c r="O724">
        <v>0</v>
      </c>
      <c r="P724">
        <v>0.1075663432482901</v>
      </c>
      <c r="Q724">
        <v>0.885831571474868</v>
      </c>
      <c r="R724" t="s">
        <v>782</v>
      </c>
      <c r="S724" t="s">
        <v>794</v>
      </c>
      <c r="T724">
        <v>2568.935887</v>
      </c>
      <c r="U724" s="2">
        <v>44503</v>
      </c>
      <c r="V724" t="s">
        <v>805</v>
      </c>
    </row>
    <row r="725" spans="1:22">
      <c r="A725" s="1" t="s">
        <v>745</v>
      </c>
      <c r="B725">
        <f>HYPERLINK("https://www.suredividend.com/sure-analysis-ACC/","American Campus Communities Inc.")</f>
        <v>0</v>
      </c>
      <c r="C725">
        <v>57.12</v>
      </c>
      <c r="D725">
        <v>40</v>
      </c>
      <c r="E725">
        <v>1.428</v>
      </c>
      <c r="F725">
        <v>0.03291316526610644</v>
      </c>
      <c r="G725">
        <v>-0.06877557502863041</v>
      </c>
      <c r="H725">
        <v>0.06</v>
      </c>
      <c r="I725">
        <v>0.02193814956776152</v>
      </c>
      <c r="J725" t="s">
        <v>778</v>
      </c>
      <c r="K725" t="s">
        <v>524</v>
      </c>
      <c r="L725">
        <v>2.1</v>
      </c>
      <c r="M725">
        <v>1.88</v>
      </c>
      <c r="N725">
        <v>0.8952380952380952</v>
      </c>
      <c r="O725">
        <v>8</v>
      </c>
      <c r="P725">
        <v>0.02528440313403202</v>
      </c>
      <c r="Q725">
        <v>0.405071882519898</v>
      </c>
      <c r="R725" t="s">
        <v>782</v>
      </c>
      <c r="S725" t="s">
        <v>794</v>
      </c>
      <c r="T725">
        <v>7922.18928</v>
      </c>
      <c r="U725" s="2">
        <v>44498</v>
      </c>
      <c r="V725" t="s">
        <v>795</v>
      </c>
    </row>
    <row r="726" spans="1:22">
      <c r="A726" s="1" t="s">
        <v>746</v>
      </c>
      <c r="B726">
        <f>HYPERLINK("https://www.suredividend.com/sure-analysis-EVA/","Enviva Partners LP")</f>
        <v>0</v>
      </c>
      <c r="C726">
        <v>71.64</v>
      </c>
      <c r="D726">
        <v>45</v>
      </c>
      <c r="E726">
        <v>1.592</v>
      </c>
      <c r="F726">
        <v>0.04690117252931323</v>
      </c>
      <c r="G726">
        <v>-0.08880487548581784</v>
      </c>
      <c r="H726">
        <v>0.055</v>
      </c>
      <c r="I726">
        <v>0.01949355914884054</v>
      </c>
      <c r="J726" t="s">
        <v>778</v>
      </c>
      <c r="K726" t="s">
        <v>524</v>
      </c>
      <c r="L726">
        <v>3.78</v>
      </c>
      <c r="M726">
        <v>3.36</v>
      </c>
      <c r="N726">
        <v>0.888888888888889</v>
      </c>
      <c r="O726">
        <v>5</v>
      </c>
      <c r="P726">
        <v>0.06016789231717445</v>
      </c>
      <c r="Q726">
        <v>0.6635323043815781</v>
      </c>
      <c r="R726" t="s">
        <v>780</v>
      </c>
      <c r="S726" t="s">
        <v>790</v>
      </c>
      <c r="T726">
        <v>4302.116636</v>
      </c>
      <c r="U726" s="2">
        <v>44512</v>
      </c>
      <c r="V726" t="s">
        <v>802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35.1</v>
      </c>
      <c r="D727">
        <v>25</v>
      </c>
      <c r="E727">
        <v>1.404</v>
      </c>
      <c r="F727">
        <v>0.05128205128205128</v>
      </c>
      <c r="G727">
        <v>-0.06561344985540596</v>
      </c>
      <c r="H727">
        <v>0.03</v>
      </c>
      <c r="I727">
        <v>0.01733756592540292</v>
      </c>
      <c r="J727" t="s">
        <v>778</v>
      </c>
      <c r="K727" t="s">
        <v>524</v>
      </c>
      <c r="L727">
        <v>1.9</v>
      </c>
      <c r="M727">
        <v>1.8</v>
      </c>
      <c r="N727">
        <v>0.9473684210526316</v>
      </c>
      <c r="O727">
        <v>0</v>
      </c>
      <c r="P727">
        <v>0.009805797673485328</v>
      </c>
      <c r="Q727">
        <v>0.891849110568919</v>
      </c>
      <c r="R727" t="s">
        <v>782</v>
      </c>
      <c r="S727" t="s">
        <v>794</v>
      </c>
      <c r="T727">
        <v>724.781603</v>
      </c>
      <c r="U727" s="2">
        <v>44513</v>
      </c>
      <c r="V727" t="s">
        <v>802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30.1</v>
      </c>
      <c r="D728">
        <v>22</v>
      </c>
      <c r="E728">
        <v>1.368181818181818</v>
      </c>
      <c r="F728">
        <v>0.03189368770764119</v>
      </c>
      <c r="G728">
        <v>-0.06077155474297347</v>
      </c>
      <c r="H728">
        <v>0.045</v>
      </c>
      <c r="I728">
        <v>0.01498612427267343</v>
      </c>
      <c r="J728" t="s">
        <v>778</v>
      </c>
      <c r="K728" t="s">
        <v>524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0.783367525941783</v>
      </c>
      <c r="R728" t="s">
        <v>780</v>
      </c>
      <c r="S728" t="s">
        <v>784</v>
      </c>
      <c r="T728">
        <v>14293.482767</v>
      </c>
      <c r="U728" s="2">
        <v>44514</v>
      </c>
      <c r="V728" t="s">
        <v>802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89.9375</v>
      </c>
      <c r="D729">
        <v>65</v>
      </c>
      <c r="E729">
        <v>1.383653846153846</v>
      </c>
      <c r="F729">
        <v>0.02690757470465601</v>
      </c>
      <c r="G729">
        <v>-0.06288150530376047</v>
      </c>
      <c r="H729">
        <v>0.048</v>
      </c>
      <c r="I729">
        <v>0.01305068170951285</v>
      </c>
      <c r="J729" t="s">
        <v>778</v>
      </c>
      <c r="K729" t="s">
        <v>778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0.604759516463184</v>
      </c>
      <c r="R729" t="s">
        <v>782</v>
      </c>
      <c r="S729" t="s">
        <v>794</v>
      </c>
      <c r="T729">
        <v>33957.718902</v>
      </c>
      <c r="U729" s="2">
        <v>44496</v>
      </c>
      <c r="V729" t="s">
        <v>805</v>
      </c>
    </row>
    <row r="730" spans="1:22">
      <c r="A730" s="1" t="s">
        <v>750</v>
      </c>
      <c r="B730">
        <f>HYPERLINK("https://www.suredividend.com/sure-analysis-GLAD/","Gladstone Capital Corp.")</f>
        <v>0</v>
      </c>
      <c r="C730">
        <v>11.45</v>
      </c>
      <c r="D730">
        <v>8</v>
      </c>
      <c r="E730">
        <v>1.43125</v>
      </c>
      <c r="F730">
        <v>0.06812227074235809</v>
      </c>
      <c r="G730">
        <v>-0.0691988738337832</v>
      </c>
      <c r="H730">
        <v>0</v>
      </c>
      <c r="I730">
        <v>0.007739530548007023</v>
      </c>
      <c r="J730" t="s">
        <v>778</v>
      </c>
      <c r="K730" t="s">
        <v>346</v>
      </c>
      <c r="L730">
        <v>0.8</v>
      </c>
      <c r="M730">
        <v>0.78</v>
      </c>
      <c r="N730">
        <v>0.975</v>
      </c>
      <c r="O730">
        <v>0</v>
      </c>
      <c r="P730">
        <v>0</v>
      </c>
      <c r="Q730">
        <v>0.394494525944365</v>
      </c>
      <c r="R730" t="s">
        <v>780</v>
      </c>
      <c r="S730" t="s">
        <v>789</v>
      </c>
      <c r="T730">
        <v>395.872441</v>
      </c>
      <c r="U730" s="2">
        <v>44520</v>
      </c>
      <c r="V730" t="s">
        <v>800</v>
      </c>
    </row>
    <row r="731" spans="1:22">
      <c r="A731" s="1" t="s">
        <v>751</v>
      </c>
      <c r="B731">
        <f>HYPERLINK("https://www.suredividend.com/sure-analysis-GROW/","U.S. Global Investors, Inc.")</f>
        <v>0</v>
      </c>
      <c r="C731">
        <v>4.41</v>
      </c>
      <c r="D731">
        <v>7</v>
      </c>
      <c r="E731">
        <v>0.63</v>
      </c>
      <c r="F731">
        <v>0.02040816326530612</v>
      </c>
      <c r="G731">
        <v>0.09681123419972182</v>
      </c>
      <c r="H731">
        <v>-0.099</v>
      </c>
      <c r="I731">
        <v>0.007416323376254974</v>
      </c>
      <c r="J731" t="s">
        <v>778</v>
      </c>
      <c r="K731" t="s">
        <v>778</v>
      </c>
      <c r="L731">
        <v>0.06</v>
      </c>
      <c r="M731">
        <v>0.09</v>
      </c>
      <c r="N731">
        <v>1.5</v>
      </c>
      <c r="O731">
        <v>0</v>
      </c>
      <c r="P731">
        <v>-0.02328131613882611</v>
      </c>
      <c r="Q731">
        <v>-0.03260634852083701</v>
      </c>
      <c r="R731" t="s">
        <v>780</v>
      </c>
      <c r="S731" t="s">
        <v>789</v>
      </c>
      <c r="T731">
        <v>58.028817</v>
      </c>
      <c r="U731" s="2">
        <v>44542</v>
      </c>
      <c r="V731" t="s">
        <v>805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16.89</v>
      </c>
      <c r="D732">
        <v>11</v>
      </c>
      <c r="E732">
        <v>1.535454545454545</v>
      </c>
      <c r="F732">
        <v>0.05328596802841918</v>
      </c>
      <c r="G732">
        <v>-0.08219037643369886</v>
      </c>
      <c r="H732">
        <v>0.03</v>
      </c>
      <c r="I732">
        <v>0.007334877474422186</v>
      </c>
      <c r="J732" t="s">
        <v>778</v>
      </c>
      <c r="K732" t="s">
        <v>524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0.7845862286797221</v>
      </c>
      <c r="R732" t="s">
        <v>783</v>
      </c>
      <c r="S732" t="s">
        <v>789</v>
      </c>
      <c r="T732">
        <v>562.82514</v>
      </c>
      <c r="U732" s="2">
        <v>44512</v>
      </c>
      <c r="V732" t="s">
        <v>797</v>
      </c>
    </row>
    <row r="733" spans="1:22">
      <c r="A733" s="1" t="s">
        <v>753</v>
      </c>
      <c r="B733">
        <f>HYPERLINK("https://www.suredividend.com/sure-analysis-PEAK/","Healthpeak Properties Inc")</f>
        <v>0</v>
      </c>
      <c r="C733">
        <v>36</v>
      </c>
      <c r="D733">
        <v>24</v>
      </c>
      <c r="E733">
        <v>1.5</v>
      </c>
      <c r="F733">
        <v>0.03333333333333333</v>
      </c>
      <c r="G733">
        <v>-0.07789208851827223</v>
      </c>
      <c r="H733">
        <v>0.05</v>
      </c>
      <c r="I733">
        <v>0.006679236122033139</v>
      </c>
      <c r="J733" t="s">
        <v>778</v>
      </c>
      <c r="K733" t="s">
        <v>524</v>
      </c>
      <c r="L733">
        <v>1.6</v>
      </c>
      <c r="M733">
        <v>1.2</v>
      </c>
      <c r="N733">
        <v>0.7499999999999999</v>
      </c>
      <c r="O733">
        <v>0</v>
      </c>
      <c r="P733">
        <v>0.03131030647754507</v>
      </c>
      <c r="Q733">
        <v>0.257257089920002</v>
      </c>
      <c r="R733" t="s">
        <v>782</v>
      </c>
      <c r="S733" t="s">
        <v>794</v>
      </c>
      <c r="T733">
        <v>19460.50725</v>
      </c>
      <c r="U733" s="2">
        <v>44515</v>
      </c>
      <c r="V733" t="s">
        <v>803</v>
      </c>
    </row>
    <row r="734" spans="1:22">
      <c r="A734" s="1" t="s">
        <v>754</v>
      </c>
      <c r="B734">
        <f>HYPERLINK("https://www.suredividend.com/sure-analysis-ABR/","Arbor Realty Trust Inc.")</f>
        <v>0</v>
      </c>
      <c r="C734">
        <v>18.43</v>
      </c>
      <c r="D734">
        <v>11.5</v>
      </c>
      <c r="E734">
        <v>1.602608695652174</v>
      </c>
      <c r="F734">
        <v>0.0781334780249593</v>
      </c>
      <c r="G734">
        <v>-0.09001443957548805</v>
      </c>
      <c r="H734">
        <v>0.008</v>
      </c>
      <c r="I734">
        <v>0.006607368478321884</v>
      </c>
      <c r="J734" t="s">
        <v>778</v>
      </c>
      <c r="K734" t="s">
        <v>346</v>
      </c>
      <c r="L734">
        <v>1.6</v>
      </c>
      <c r="M734">
        <v>1.44</v>
      </c>
      <c r="N734">
        <v>0.8999999999999999</v>
      </c>
      <c r="O734">
        <v>9</v>
      </c>
      <c r="P734">
        <v>-0.005618333193698977</v>
      </c>
      <c r="Q734">
        <v>0.414138323989873</v>
      </c>
      <c r="R734" t="s">
        <v>782</v>
      </c>
      <c r="S734" t="s">
        <v>794</v>
      </c>
      <c r="T734">
        <v>2644.193125</v>
      </c>
      <c r="U734" s="2">
        <v>44506</v>
      </c>
      <c r="V734" t="s">
        <v>805</v>
      </c>
    </row>
    <row r="735" spans="1:22">
      <c r="A735" s="1" t="s">
        <v>755</v>
      </c>
      <c r="B735">
        <f>HYPERLINK("https://www.suredividend.com/sure-analysis-PLYM/","Plymouth Industrial Reit Inc")</f>
        <v>0</v>
      </c>
      <c r="C735">
        <v>31.42</v>
      </c>
      <c r="D735">
        <v>20</v>
      </c>
      <c r="E735">
        <v>1.571</v>
      </c>
      <c r="F735">
        <v>0.02673456397199236</v>
      </c>
      <c r="G735">
        <v>-0.08638175684686444</v>
      </c>
      <c r="H735">
        <v>0.07000000000000001</v>
      </c>
      <c r="I735">
        <v>0.005977072622416646</v>
      </c>
      <c r="J735" t="s">
        <v>778</v>
      </c>
      <c r="K735" t="s">
        <v>524</v>
      </c>
      <c r="L735">
        <v>1.39</v>
      </c>
      <c r="M735">
        <v>0.84</v>
      </c>
      <c r="N735">
        <v>0.6043165467625899</v>
      </c>
      <c r="O735">
        <v>0</v>
      </c>
      <c r="P735">
        <v>0.009347419909568888</v>
      </c>
      <c r="Q735">
        <v>1.193025164494276</v>
      </c>
      <c r="R735" t="s">
        <v>782</v>
      </c>
      <c r="S735" t="s">
        <v>794</v>
      </c>
      <c r="T735">
        <v>1091.110122</v>
      </c>
      <c r="U735" s="2">
        <v>44513</v>
      </c>
      <c r="V735" t="s">
        <v>802</v>
      </c>
    </row>
    <row r="736" spans="1:22">
      <c r="A736" s="1" t="s">
        <v>756</v>
      </c>
      <c r="B736">
        <f>HYPERLINK("https://www.suredividend.com/sure-analysis-HP/","Helmerich &amp; Payne, Inc.")</f>
        <v>0</v>
      </c>
      <c r="C736">
        <v>24.03</v>
      </c>
      <c r="D736">
        <v>9</v>
      </c>
      <c r="E736">
        <v>2.67</v>
      </c>
      <c r="F736">
        <v>0.04161464835622139</v>
      </c>
      <c r="G736">
        <v>-0.1783294002594615</v>
      </c>
      <c r="H736">
        <v>0.17</v>
      </c>
      <c r="I736">
        <v>0.005775858078377105</v>
      </c>
      <c r="J736" t="s">
        <v>778</v>
      </c>
      <c r="K736" t="s">
        <v>524</v>
      </c>
      <c r="L736">
        <v>0.55</v>
      </c>
      <c r="M736">
        <v>1</v>
      </c>
      <c r="N736">
        <v>1.818181818181818</v>
      </c>
      <c r="O736">
        <v>0</v>
      </c>
      <c r="P736">
        <v>0</v>
      </c>
      <c r="Q736">
        <v>0.06818633622689001</v>
      </c>
      <c r="R736" t="s">
        <v>780</v>
      </c>
      <c r="S736" t="s">
        <v>793</v>
      </c>
      <c r="T736">
        <v>2611.494719</v>
      </c>
      <c r="U736" s="2">
        <v>44524</v>
      </c>
      <c r="V736" t="s">
        <v>803</v>
      </c>
    </row>
    <row r="737" spans="1:22">
      <c r="A737" s="1" t="s">
        <v>757</v>
      </c>
      <c r="B737">
        <f>HYPERLINK("https://www.suredividend.com/sure-analysis-LSI/","Life Storage Inc")</f>
        <v>0</v>
      </c>
      <c r="C737">
        <v>151.98</v>
      </c>
      <c r="D737">
        <v>88</v>
      </c>
      <c r="E737">
        <v>1.727045454545454</v>
      </c>
      <c r="F737">
        <v>0.02263455717857613</v>
      </c>
      <c r="G737">
        <v>-0.1035228047117559</v>
      </c>
      <c r="H737">
        <v>0.09</v>
      </c>
      <c r="I737">
        <v>0.00516324178104588</v>
      </c>
      <c r="J737" t="s">
        <v>778</v>
      </c>
      <c r="K737" t="s">
        <v>778</v>
      </c>
      <c r="L737">
        <v>4.85</v>
      </c>
      <c r="M737">
        <v>3.44</v>
      </c>
      <c r="N737">
        <v>0.709278350515464</v>
      </c>
      <c r="O737">
        <v>3</v>
      </c>
      <c r="P737">
        <v>0.05983895403096029</v>
      </c>
      <c r="Q737">
        <v>0.9491790683777701</v>
      </c>
      <c r="R737" t="s">
        <v>782</v>
      </c>
      <c r="S737" t="s">
        <v>794</v>
      </c>
      <c r="T737">
        <v>12359.853848</v>
      </c>
      <c r="U737" s="2">
        <v>44518</v>
      </c>
      <c r="V737" t="s">
        <v>803</v>
      </c>
    </row>
    <row r="738" spans="1:22">
      <c r="A738" s="1" t="s">
        <v>758</v>
      </c>
      <c r="B738">
        <f>HYPERLINK("https://www.suredividend.com/sure-analysis-EGP/","Eastgroup Properties, Inc.")</f>
        <v>0</v>
      </c>
      <c r="C738">
        <v>226.54</v>
      </c>
      <c r="D738">
        <v>145</v>
      </c>
      <c r="E738">
        <v>1.562344827586207</v>
      </c>
      <c r="F738">
        <v>0.0194226185221153</v>
      </c>
      <c r="G738">
        <v>-0.08537172901386314</v>
      </c>
      <c r="H738">
        <v>0.075</v>
      </c>
      <c r="I738">
        <v>0.004844196825870783</v>
      </c>
      <c r="J738" t="s">
        <v>778</v>
      </c>
      <c r="K738" t="s">
        <v>778</v>
      </c>
      <c r="L738">
        <v>6.05</v>
      </c>
      <c r="M738">
        <v>4.4</v>
      </c>
      <c r="N738">
        <v>0.7272727272727274</v>
      </c>
      <c r="O738">
        <v>11</v>
      </c>
      <c r="P738">
        <v>0.02793993925053573</v>
      </c>
      <c r="Q738">
        <v>0.711368967884876</v>
      </c>
      <c r="R738" t="s">
        <v>782</v>
      </c>
      <c r="S738" t="s">
        <v>794</v>
      </c>
      <c r="T738">
        <v>9298.797436999999</v>
      </c>
      <c r="U738" s="2">
        <v>44500</v>
      </c>
      <c r="V738" t="s">
        <v>795</v>
      </c>
    </row>
    <row r="739" spans="1:22">
      <c r="A739" s="1" t="s">
        <v>759</v>
      </c>
      <c r="B739">
        <f>HYPERLINK("https://www.suredividend.com/sure-analysis-IRM/","Iron Mountain Inc.")</f>
        <v>0</v>
      </c>
      <c r="C739">
        <v>52.54</v>
      </c>
      <c r="D739">
        <v>37</v>
      </c>
      <c r="E739">
        <v>1.42</v>
      </c>
      <c r="F739">
        <v>0.0470118005329273</v>
      </c>
      <c r="G739">
        <v>-0.0677286646547306</v>
      </c>
      <c r="H739">
        <v>0.02</v>
      </c>
      <c r="I739">
        <v>0.003959096183629995</v>
      </c>
      <c r="J739" t="s">
        <v>778</v>
      </c>
      <c r="K739" t="s">
        <v>346</v>
      </c>
      <c r="L739">
        <v>3.39</v>
      </c>
      <c r="M739">
        <v>2.47</v>
      </c>
      <c r="N739">
        <v>0.728613569321534</v>
      </c>
      <c r="O739">
        <v>10</v>
      </c>
      <c r="P739">
        <v>0.01031145931793609</v>
      </c>
      <c r="Q739">
        <v>0.8986749580751261</v>
      </c>
      <c r="R739" t="s">
        <v>782</v>
      </c>
      <c r="S739" t="s">
        <v>794</v>
      </c>
      <c r="T739">
        <v>15276.631514</v>
      </c>
      <c r="U739" s="2">
        <v>44511</v>
      </c>
      <c r="V739" t="s">
        <v>797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59.88</v>
      </c>
      <c r="D740">
        <v>40</v>
      </c>
      <c r="E740">
        <v>1.497</v>
      </c>
      <c r="F740">
        <v>0.02421509686038744</v>
      </c>
      <c r="G740">
        <v>-0.07752280209167772</v>
      </c>
      <c r="H740">
        <v>0.055</v>
      </c>
      <c r="I740">
        <v>0.002689108226894055</v>
      </c>
      <c r="J740" t="s">
        <v>778</v>
      </c>
      <c r="K740" t="s">
        <v>778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0.647793163669218</v>
      </c>
      <c r="R740" t="s">
        <v>782</v>
      </c>
      <c r="S740" t="s">
        <v>794</v>
      </c>
      <c r="T740">
        <v>18495.529192</v>
      </c>
      <c r="U740" s="2">
        <v>44512</v>
      </c>
      <c r="V740" t="s">
        <v>802</v>
      </c>
    </row>
    <row r="741" spans="1:22">
      <c r="A741" s="1" t="s">
        <v>761</v>
      </c>
      <c r="B741">
        <f>HYPERLINK("https://www.suredividend.com/sure-analysis-DREUF/","Dream Industrial Real Estate Investment Trust")</f>
        <v>0</v>
      </c>
      <c r="C741">
        <v>13.4617</v>
      </c>
      <c r="D741">
        <v>9</v>
      </c>
      <c r="E741">
        <v>1.495744444444445</v>
      </c>
      <c r="F741">
        <v>0.04308519726334712</v>
      </c>
      <c r="G741">
        <v>-0.07736798518056942</v>
      </c>
      <c r="H741">
        <v>0.035</v>
      </c>
      <c r="I741">
        <v>0.00232774854633333</v>
      </c>
      <c r="J741" t="s">
        <v>778</v>
      </c>
      <c r="K741" t="s">
        <v>524</v>
      </c>
      <c r="L741">
        <v>0.65</v>
      </c>
      <c r="M741">
        <v>0.58</v>
      </c>
      <c r="N741">
        <v>0.8923076923076922</v>
      </c>
      <c r="O741">
        <v>0</v>
      </c>
      <c r="P741">
        <v>0.003424737731033467</v>
      </c>
      <c r="Q741">
        <v>0.2978515625</v>
      </c>
      <c r="R741" t="s">
        <v>782</v>
      </c>
      <c r="S741" t="s">
        <v>789</v>
      </c>
      <c r="T741">
        <v>3053.078502</v>
      </c>
      <c r="U741" s="2">
        <v>44513</v>
      </c>
      <c r="V741" t="s">
        <v>802</v>
      </c>
    </row>
    <row r="742" spans="1:22">
      <c r="A742" s="1" t="s">
        <v>762</v>
      </c>
      <c r="B742">
        <f>HYPERLINK("https://www.suredividend.com/sure-analysis-APTS/","Preferred Apartment Communities Inc")</f>
        <v>0</v>
      </c>
      <c r="C742">
        <v>17.51</v>
      </c>
      <c r="D742">
        <v>12.3</v>
      </c>
      <c r="E742">
        <v>1.423577235772358</v>
      </c>
      <c r="F742">
        <v>0.03997715591090804</v>
      </c>
      <c r="G742">
        <v>-0.06819766787354009</v>
      </c>
      <c r="H742">
        <v>0.02</v>
      </c>
      <c r="I742">
        <v>0.001708721681455971</v>
      </c>
      <c r="J742" t="s">
        <v>778</v>
      </c>
      <c r="K742" t="s">
        <v>524</v>
      </c>
      <c r="L742">
        <v>1.04</v>
      </c>
      <c r="M742">
        <v>0.7</v>
      </c>
      <c r="N742">
        <v>0.673076923076923</v>
      </c>
      <c r="O742">
        <v>0</v>
      </c>
      <c r="P742">
        <v>0.05154749679728043</v>
      </c>
      <c r="Q742">
        <v>1.500108637397338</v>
      </c>
      <c r="R742" t="s">
        <v>782</v>
      </c>
      <c r="S742" t="s">
        <v>794</v>
      </c>
      <c r="T742">
        <v>913.850601</v>
      </c>
      <c r="U742" s="2">
        <v>44515</v>
      </c>
      <c r="V742" t="s">
        <v>803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63.43</v>
      </c>
      <c r="D743">
        <v>49</v>
      </c>
      <c r="E743">
        <v>1.294489795918367</v>
      </c>
      <c r="F743">
        <v>0.03657575279836039</v>
      </c>
      <c r="G743">
        <v>-0.05031347973131883</v>
      </c>
      <c r="H743">
        <v>0.01</v>
      </c>
      <c r="I743">
        <v>8.534529437276284e-05</v>
      </c>
      <c r="J743" t="s">
        <v>778</v>
      </c>
      <c r="K743" t="s">
        <v>524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0.6151110751916921</v>
      </c>
      <c r="R743" t="s">
        <v>780</v>
      </c>
      <c r="S743" t="s">
        <v>793</v>
      </c>
      <c r="T743">
        <v>39366.8322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HYPERLINK("https://www.suredividend.com/sure-analysis-LXP/","LXP Industrial Trust")</f>
        <v>0</v>
      </c>
      <c r="C744">
        <v>15.64</v>
      </c>
      <c r="D744">
        <v>11</v>
      </c>
      <c r="E744">
        <v>1.421818181818182</v>
      </c>
      <c r="F744">
        <v>0.03069053708439897</v>
      </c>
      <c r="G744">
        <v>-0.06796721927536686</v>
      </c>
      <c r="H744">
        <v>0.035</v>
      </c>
      <c r="I744">
        <v>-0.00148493040345532</v>
      </c>
      <c r="J744" t="s">
        <v>778</v>
      </c>
      <c r="K744" t="s">
        <v>524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0.524334073520998</v>
      </c>
      <c r="R744" t="s">
        <v>782</v>
      </c>
      <c r="S744" t="s">
        <v>794</v>
      </c>
      <c r="T744">
        <v>4445.890031</v>
      </c>
      <c r="U744" s="2">
        <v>44513</v>
      </c>
      <c r="V744" t="s">
        <v>802</v>
      </c>
    </row>
    <row r="745" spans="1:22">
      <c r="A745" s="1" t="s">
        <v>765</v>
      </c>
      <c r="B745">
        <f>HYPERLINK("https://www.suredividend.com/sure-analysis-STAG/","STAG Industrial Inc")</f>
        <v>0</v>
      </c>
      <c r="C745">
        <v>47.48</v>
      </c>
      <c r="D745">
        <v>31</v>
      </c>
      <c r="E745">
        <v>1.531612903225806</v>
      </c>
      <c r="F745">
        <v>0.03053917438921651</v>
      </c>
      <c r="G745">
        <v>-0.08173042157082855</v>
      </c>
      <c r="H745">
        <v>0.05</v>
      </c>
      <c r="I745">
        <v>-0.002182843202423124</v>
      </c>
      <c r="J745" t="s">
        <v>778</v>
      </c>
      <c r="K745" t="s">
        <v>524</v>
      </c>
      <c r="L745">
        <v>2.04</v>
      </c>
      <c r="M745">
        <v>1.45</v>
      </c>
      <c r="N745">
        <v>0.7107843137254901</v>
      </c>
      <c r="O745">
        <v>10</v>
      </c>
      <c r="P745">
        <v>0.006803348678863008</v>
      </c>
      <c r="Q745">
        <v>0.6037625320099751</v>
      </c>
      <c r="R745" t="s">
        <v>782</v>
      </c>
      <c r="S745" t="s">
        <v>794</v>
      </c>
      <c r="T745">
        <v>8133.74121</v>
      </c>
      <c r="U745" s="2">
        <v>44516</v>
      </c>
      <c r="V745" t="s">
        <v>803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11.9</v>
      </c>
      <c r="D746">
        <v>6.7</v>
      </c>
      <c r="E746">
        <v>1.776119402985075</v>
      </c>
      <c r="F746">
        <v>0.04957983193277311</v>
      </c>
      <c r="G746">
        <v>-0.1085323903391759</v>
      </c>
      <c r="H746">
        <v>0.049</v>
      </c>
      <c r="I746">
        <v>-0.008545330170749765</v>
      </c>
      <c r="J746" t="s">
        <v>778</v>
      </c>
      <c r="K746" t="s">
        <v>524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</v>
      </c>
      <c r="R746" t="s">
        <v>782</v>
      </c>
      <c r="S746" t="s">
        <v>789</v>
      </c>
      <c r="T746">
        <v>3841.759384</v>
      </c>
      <c r="U746" s="2">
        <v>44509</v>
      </c>
      <c r="V746" t="s">
        <v>805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21.2</v>
      </c>
      <c r="D747">
        <v>15.4</v>
      </c>
      <c r="E747">
        <v>1.376623376623377</v>
      </c>
      <c r="F747">
        <v>0.04481132075471698</v>
      </c>
      <c r="G747">
        <v>-0.0619262745010577</v>
      </c>
      <c r="H747">
        <v>-0.005</v>
      </c>
      <c r="I747">
        <v>-0.009518762363709299</v>
      </c>
      <c r="J747" t="s">
        <v>778</v>
      </c>
      <c r="K747" t="s">
        <v>346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0.5936225158127171</v>
      </c>
      <c r="R747" t="s">
        <v>782</v>
      </c>
      <c r="S747" t="s">
        <v>794</v>
      </c>
      <c r="T747">
        <v>840.930777</v>
      </c>
      <c r="U747" s="2">
        <v>44551</v>
      </c>
      <c r="V747" t="s">
        <v>805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18.81</v>
      </c>
      <c r="D748">
        <v>11.2</v>
      </c>
      <c r="E748">
        <v>1.679464285714286</v>
      </c>
      <c r="F748">
        <v>0.0430622009569378</v>
      </c>
      <c r="G748">
        <v>-0.09849976260221582</v>
      </c>
      <c r="H748">
        <v>0.039</v>
      </c>
      <c r="I748">
        <v>-0.01342221046436554</v>
      </c>
      <c r="J748" t="s">
        <v>778</v>
      </c>
      <c r="K748" t="s">
        <v>346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0.206643273653351</v>
      </c>
      <c r="R748" t="s">
        <v>780</v>
      </c>
      <c r="S748" t="s">
        <v>789</v>
      </c>
      <c r="T748">
        <v>934.870731</v>
      </c>
      <c r="U748" s="2">
        <v>44509</v>
      </c>
      <c r="V748" t="s">
        <v>805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49.01</v>
      </c>
      <c r="D749">
        <v>35.5</v>
      </c>
      <c r="E749">
        <v>1.38056338028169</v>
      </c>
      <c r="F749">
        <v>0.07304631707814732</v>
      </c>
      <c r="G749">
        <v>-0.062462322383942</v>
      </c>
      <c r="H749">
        <v>-0.053</v>
      </c>
      <c r="I749">
        <v>-0.02511406881234113</v>
      </c>
      <c r="J749" t="s">
        <v>778</v>
      </c>
      <c r="K749" t="s">
        <v>346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0.6028875644721741</v>
      </c>
      <c r="R749" t="s">
        <v>780</v>
      </c>
      <c r="S749" t="s">
        <v>789</v>
      </c>
      <c r="T749">
        <v>4815.252256</v>
      </c>
      <c r="U749" s="2">
        <v>44504</v>
      </c>
      <c r="V749" t="s">
        <v>805</v>
      </c>
    </row>
    <row r="750" spans="1:22">
      <c r="A750" s="1" t="s">
        <v>770</v>
      </c>
      <c r="B750">
        <f>HYPERLINK("https://www.suredividend.com/sure-analysis-WELL/","Welltower Inc")</f>
        <v>0</v>
      </c>
      <c r="C750">
        <v>85.90000000000001</v>
      </c>
      <c r="D750">
        <v>56</v>
      </c>
      <c r="E750">
        <v>1.533928571428572</v>
      </c>
      <c r="F750">
        <v>0.02840512223515716</v>
      </c>
      <c r="G750">
        <v>-0.08200783903416764</v>
      </c>
      <c r="H750">
        <v>0.012</v>
      </c>
      <c r="I750">
        <v>-0.03047015793327501</v>
      </c>
      <c r="J750" t="s">
        <v>778</v>
      </c>
      <c r="K750" t="s">
        <v>524</v>
      </c>
      <c r="L750">
        <v>3.19</v>
      </c>
      <c r="M750">
        <v>2.44</v>
      </c>
      <c r="N750">
        <v>0.7648902821316614</v>
      </c>
      <c r="O750">
        <v>0</v>
      </c>
      <c r="P750">
        <v>0.04972154879615531</v>
      </c>
      <c r="Q750">
        <v>0.390272827361797</v>
      </c>
      <c r="R750" t="s">
        <v>782</v>
      </c>
      <c r="S750" t="s">
        <v>794</v>
      </c>
      <c r="T750">
        <v>37046.215078</v>
      </c>
      <c r="U750" s="2">
        <v>44505</v>
      </c>
      <c r="V750" t="s">
        <v>804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122.34</v>
      </c>
      <c r="D751">
        <v>78</v>
      </c>
      <c r="E751">
        <v>1.568461538461539</v>
      </c>
      <c r="F751">
        <v>0.03269576589831617</v>
      </c>
      <c r="G751">
        <v>-0.08608622077083117</v>
      </c>
      <c r="H751">
        <v>0.001</v>
      </c>
      <c r="I751">
        <v>-0.04263579369888715</v>
      </c>
      <c r="J751" t="s">
        <v>778</v>
      </c>
      <c r="K751" t="s">
        <v>524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0.5240267547715031</v>
      </c>
      <c r="R751" t="s">
        <v>782</v>
      </c>
      <c r="S751" t="s">
        <v>794</v>
      </c>
      <c r="T751">
        <v>10476.496395</v>
      </c>
      <c r="U751" s="2">
        <v>44509</v>
      </c>
      <c r="V751" t="s">
        <v>805</v>
      </c>
    </row>
    <row r="752" spans="1:22">
      <c r="A752" s="1" t="s">
        <v>772</v>
      </c>
      <c r="B752">
        <f>HYPERLINK("https://www.suredividend.com/sure-analysis-LAND/","Gladstone Land Corp")</f>
        <v>0</v>
      </c>
      <c r="C752">
        <v>33.26</v>
      </c>
      <c r="D752">
        <v>15</v>
      </c>
      <c r="E752">
        <v>2.217333333333333</v>
      </c>
      <c r="F752">
        <v>0.01623571858087793</v>
      </c>
      <c r="G752">
        <v>-0.1472262905335002</v>
      </c>
      <c r="H752">
        <v>0.06</v>
      </c>
      <c r="I752">
        <v>-0.07081136456448811</v>
      </c>
      <c r="J752" t="s">
        <v>778</v>
      </c>
      <c r="K752" t="s">
        <v>778</v>
      </c>
      <c r="L752">
        <v>0.66</v>
      </c>
      <c r="M752">
        <v>0.54</v>
      </c>
      <c r="N752">
        <v>0.8181818181818182</v>
      </c>
      <c r="O752">
        <v>7</v>
      </c>
      <c r="P752">
        <v>0.03131030647754507</v>
      </c>
      <c r="Q752">
        <v>1.394691082011427</v>
      </c>
      <c r="R752" t="s">
        <v>782</v>
      </c>
      <c r="S752" t="s">
        <v>794</v>
      </c>
      <c r="T752">
        <v>1154.245839</v>
      </c>
      <c r="U752" s="2">
        <v>44527</v>
      </c>
      <c r="V752" t="s">
        <v>800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9.699999999999999</v>
      </c>
      <c r="D753">
        <v>2.7</v>
      </c>
      <c r="E753">
        <v>3.592592592592592</v>
      </c>
      <c r="F753">
        <v>0.02164948453608247</v>
      </c>
      <c r="G753">
        <v>-0.225683692226556</v>
      </c>
      <c r="H753">
        <v>0.13</v>
      </c>
      <c r="I753">
        <v>-0.07636764924097617</v>
      </c>
      <c r="J753" t="s">
        <v>778</v>
      </c>
      <c r="K753" t="s">
        <v>778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1.820799900478944</v>
      </c>
      <c r="R753" t="s">
        <v>780</v>
      </c>
      <c r="S753" t="s">
        <v>793</v>
      </c>
      <c r="T753">
        <v>422.74178</v>
      </c>
      <c r="U753" s="2">
        <v>44519</v>
      </c>
      <c r="V753" t="s">
        <v>803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29.95</v>
      </c>
      <c r="D754">
        <v>11</v>
      </c>
      <c r="E754">
        <v>2.722727272727273</v>
      </c>
      <c r="F754">
        <v>0.05542570951585977</v>
      </c>
      <c r="G754">
        <v>-0.1815367728906212</v>
      </c>
      <c r="H754">
        <v>0.02</v>
      </c>
      <c r="I754">
        <v>-0.1014658353022574</v>
      </c>
      <c r="J754" t="s">
        <v>778</v>
      </c>
      <c r="K754" t="s">
        <v>346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0.155537971001</v>
      </c>
      <c r="R754" t="s">
        <v>780</v>
      </c>
      <c r="S754" t="s">
        <v>792</v>
      </c>
      <c r="T754">
        <v>22926.557527</v>
      </c>
      <c r="U754" s="2">
        <v>44506</v>
      </c>
      <c r="V754" t="s">
        <v>796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32.66</v>
      </c>
      <c r="D755">
        <v>39</v>
      </c>
      <c r="E755">
        <v>0.8374358974358973</v>
      </c>
      <c r="F755">
        <v>0</v>
      </c>
      <c r="G755">
        <v>0.03611911357084674</v>
      </c>
      <c r="H755">
        <v>0.03</v>
      </c>
      <c r="I755">
        <v>0.08633232740822128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0.321102089881268</v>
      </c>
      <c r="R755" t="s">
        <v>780</v>
      </c>
      <c r="S755" t="s">
        <v>793</v>
      </c>
      <c r="T755">
        <v>5375.375454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500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698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349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624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634</v>
      </c>
      <c r="B243">
        <v>43819</v>
      </c>
    </row>
    <row r="244" spans="1:2">
      <c r="A244" s="1" t="s">
        <v>671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666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646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668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635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695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690</v>
      </c>
      <c r="B293">
        <v>43826</v>
      </c>
    </row>
    <row r="294" spans="1:2">
      <c r="A294" s="1" t="s">
        <v>504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584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738</v>
      </c>
      <c r="B341">
        <v>43853</v>
      </c>
    </row>
    <row r="342" spans="1:2">
      <c r="A342" s="1" t="s">
        <v>696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356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198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706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658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702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712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709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685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642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681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705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603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586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715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361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686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683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554</v>
      </c>
      <c r="B561">
        <v>43845</v>
      </c>
    </row>
    <row r="562" spans="1:2">
      <c r="A562" s="1" t="s">
        <v>723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660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555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664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659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636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754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661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682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755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750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762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759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736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699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688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359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401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237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693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746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694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677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357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498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656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629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561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360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740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722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733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204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633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756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338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327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505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654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700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435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638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339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726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577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651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209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632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737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547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368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719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496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567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274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591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378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265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353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431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329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363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599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89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390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574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739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647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507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540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562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744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597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558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517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238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588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381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501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720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387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611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217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515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648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575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765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518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657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703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731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524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576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388</v>
      </c>
      <c r="B2047">
        <v>43819</v>
      </c>
    </row>
    <row r="2048" spans="1:2">
      <c r="A2048" s="1" t="s">
        <v>770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679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552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687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201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386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680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493</v>
      </c>
      <c r="B2124" t="s">
        <v>779</v>
      </c>
    </row>
    <row r="2125" spans="1:2">
      <c r="A2125" s="1" t="s">
        <v>598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643</v>
      </c>
      <c r="B2147">
        <v>43861</v>
      </c>
    </row>
    <row r="2148" spans="1:2">
      <c r="A2148" s="1" t="s">
        <v>674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608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553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423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396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380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523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772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436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234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711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609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580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200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530</v>
      </c>
      <c r="B2359">
        <v>43809</v>
      </c>
    </row>
    <row r="2360" spans="1:2">
      <c r="A2360" s="1" t="s">
        <v>194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374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220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438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256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222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490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596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260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560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216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714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400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424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196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549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229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412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757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718</v>
      </c>
      <c r="B2525">
        <v>43845</v>
      </c>
    </row>
    <row r="2526" spans="1:2">
      <c r="A2526" s="1" t="s">
        <v>332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692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527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49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717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394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91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669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513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418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594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665</v>
      </c>
      <c r="B2602">
        <v>43798</v>
      </c>
    </row>
    <row r="2603" spans="1:2">
      <c r="A2603" s="1" t="s">
        <v>364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255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735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212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644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136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544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710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354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403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516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376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672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245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227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232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592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713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370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269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358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247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50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563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566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676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399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36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279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240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316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35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56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707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192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45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215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589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383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261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330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271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278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618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653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708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266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405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369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511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569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384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617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409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186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613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80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508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413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551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395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211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311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573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53</v>
      </c>
      <c r="B3280">
        <v>43831</v>
      </c>
    </row>
    <row r="3281" spans="1:2">
      <c r="A3281" s="1" t="s">
        <v>391</v>
      </c>
      <c r="B3281">
        <v>43800</v>
      </c>
    </row>
    <row r="3282" spans="1:2">
      <c r="A3282" s="1" t="s">
        <v>109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417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189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559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578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202</v>
      </c>
      <c r="B3325">
        <v>43892</v>
      </c>
    </row>
    <row r="3326" spans="1:2">
      <c r="A3326" s="1" t="s">
        <v>345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336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239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564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87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57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288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72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112</v>
      </c>
      <c r="B3400">
        <v>43845</v>
      </c>
    </row>
    <row r="3401" spans="1:2">
      <c r="A3401" s="1" t="s">
        <v>377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213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414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492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233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457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494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610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104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203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277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73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214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627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734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51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663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86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273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422</v>
      </c>
      <c r="B3529">
        <v>43801</v>
      </c>
    </row>
    <row r="3530" spans="1:2">
      <c r="A3530" s="1" t="s">
        <v>65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350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716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315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63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502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407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236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346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60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408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226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193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427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606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291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230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135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210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105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244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126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264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406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243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88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459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347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751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557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92</v>
      </c>
      <c r="B3913">
        <v>43784</v>
      </c>
    </row>
    <row r="3914" spans="1:2">
      <c r="A3914" s="1" t="s">
        <v>331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344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497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28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724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308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758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59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111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124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614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283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425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300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131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97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37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525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75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371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169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301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241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81</v>
      </c>
      <c r="B4199">
        <v>43812</v>
      </c>
    </row>
    <row r="4200" spans="1:2">
      <c r="A4200" s="1" t="s">
        <v>221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113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689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54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303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284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82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428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375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46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71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351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107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673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90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294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467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379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208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416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122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85</v>
      </c>
      <c r="B4446">
        <v>43801</v>
      </c>
    </row>
    <row r="4447" spans="1:2">
      <c r="A4447" s="1" t="s">
        <v>74</v>
      </c>
      <c r="B4447">
        <v>43815</v>
      </c>
    </row>
    <row r="4448" spans="1:2">
      <c r="A4448" s="1" t="s">
        <v>142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101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521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99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444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224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64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66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352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292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83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571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495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604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304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258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295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62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225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252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38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129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485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219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152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98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44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148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307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207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529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389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433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155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197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548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365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235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464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115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41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42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67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132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153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246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102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179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340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482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570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114</v>
      </c>
      <c r="B5207">
        <v>43871</v>
      </c>
    </row>
    <row r="5208" spans="1:2">
      <c r="A5208" s="1" t="s">
        <v>727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137</v>
      </c>
      <c r="B5274">
        <v>43801</v>
      </c>
    </row>
    <row r="5275" spans="1:2">
      <c r="A5275" s="1" t="s">
        <v>342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93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285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48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133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218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652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206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392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372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257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69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40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47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39</v>
      </c>
      <c r="B5559">
        <v>43815</v>
      </c>
    </row>
    <row r="5560" spans="1:2">
      <c r="A5560" s="1" t="s">
        <v>106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159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84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309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151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58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191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158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299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52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455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461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268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140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366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581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678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127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415</v>
      </c>
      <c r="B5927">
        <v>43784</v>
      </c>
    </row>
    <row r="5928" spans="1:2">
      <c r="A5928" s="1" t="s">
        <v>184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123</v>
      </c>
      <c r="B5933">
        <v>43811</v>
      </c>
    </row>
    <row r="5934" spans="1:2">
      <c r="A5934" s="1" t="s">
        <v>728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119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100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43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367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476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94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182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297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70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382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528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420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550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509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160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590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402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110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276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537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463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228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539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343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565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2021-12-31T07:13:45Z</dcterms:created>
  <dcterms:modified xsi:type="dcterms:W3CDTF">2021-12-31T07:13:45Z</dcterms:modified>
</cp:coreProperties>
</file>