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<sst xmlns="http://schemas.openxmlformats.org/spreadsheetml/2006/main" count="20801" uniqueCount="10144">
  <si>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</si>
  <si>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</si>
  <si>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</si>
  <si>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</si>
  <si>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</si>
  <si>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</si>
  <si>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</si>
  <si>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</si>
  <si>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</si>
  <si>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</si>
  <si>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</si>
  <si>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</si>
  <si>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</si>
  <si>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</si>
  <si>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</si>
  <si>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</si>
  <si>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</si>
  <si>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</si>
  <si>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</si>
  <si>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</si>
  <si>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</si>
  <si>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</si>
  <si>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SKM</t>
  </si>
  <si>
    <t>TCEHY</t>
  </si>
  <si>
    <t>BMY</t>
  </si>
  <si>
    <t>ABM</t>
  </si>
  <si>
    <t>SWKS</t>
  </si>
  <si>
    <t>PII</t>
  </si>
  <si>
    <t>BBY</t>
  </si>
  <si>
    <t>DCI</t>
  </si>
  <si>
    <t>UNM</t>
  </si>
  <si>
    <t>SLGN</t>
  </si>
  <si>
    <t>FDX</t>
  </si>
  <si>
    <t>LEG</t>
  </si>
  <si>
    <t>ADM</t>
  </si>
  <si>
    <t>RGLD</t>
  </si>
  <si>
    <t>EFSI</t>
  </si>
  <si>
    <t>WBA</t>
  </si>
  <si>
    <t>BDX</t>
  </si>
  <si>
    <t>CINF</t>
  </si>
  <si>
    <t>LHX</t>
  </si>
  <si>
    <t>SWK</t>
  </si>
  <si>
    <t>NOC</t>
  </si>
  <si>
    <t>PH</t>
  </si>
  <si>
    <t>TNC</t>
  </si>
  <si>
    <t>BANF</t>
  </si>
  <si>
    <t>MDU</t>
  </si>
  <si>
    <t>CAH</t>
  </si>
  <si>
    <t>SYK</t>
  </si>
  <si>
    <t>MMM</t>
  </si>
  <si>
    <t>FMS</t>
  </si>
  <si>
    <t>INTU</t>
  </si>
  <si>
    <t>WSM</t>
  </si>
  <si>
    <t>JW.A</t>
  </si>
  <si>
    <t>CP</t>
  </si>
  <si>
    <t>UGI</t>
  </si>
  <si>
    <t>ATO</t>
  </si>
  <si>
    <t>WMT</t>
  </si>
  <si>
    <t>CTBI</t>
  </si>
  <si>
    <t>MATW</t>
  </si>
  <si>
    <t>NIDB</t>
  </si>
  <si>
    <t>MET</t>
  </si>
  <si>
    <t>JNJ</t>
  </si>
  <si>
    <t>LOW</t>
  </si>
  <si>
    <t>SEIC</t>
  </si>
  <si>
    <t>EMR</t>
  </si>
  <si>
    <t>BKH</t>
  </si>
  <si>
    <t>MCK</t>
  </si>
  <si>
    <t>FMCB</t>
  </si>
  <si>
    <t>SON</t>
  </si>
  <si>
    <t>AFL</t>
  </si>
  <si>
    <t>ROP</t>
  </si>
  <si>
    <t>AIZ</t>
  </si>
  <si>
    <t>BRC</t>
  </si>
  <si>
    <t>V</t>
  </si>
  <si>
    <t>SYY</t>
  </si>
  <si>
    <t>MDT</t>
  </si>
  <si>
    <t>TGT</t>
  </si>
  <si>
    <t>WHR</t>
  </si>
  <si>
    <t>CPKF</t>
  </si>
  <si>
    <t>TMO</t>
  </si>
  <si>
    <t>KO</t>
  </si>
  <si>
    <t>BEN</t>
  </si>
  <si>
    <t>ANTM</t>
  </si>
  <si>
    <t>VFC</t>
  </si>
  <si>
    <t>ABC</t>
  </si>
  <si>
    <t>NWN</t>
  </si>
  <si>
    <t>TRV</t>
  </si>
  <si>
    <t>ABBV</t>
  </si>
  <si>
    <t>DG</t>
  </si>
  <si>
    <t>NFG</t>
  </si>
  <si>
    <t>ORCL</t>
  </si>
  <si>
    <t>EXPD</t>
  </si>
  <si>
    <t>RNR</t>
  </si>
  <si>
    <t>QCOM</t>
  </si>
  <si>
    <t>CBSH</t>
  </si>
  <si>
    <t>LANC</t>
  </si>
  <si>
    <t>AMP</t>
  </si>
  <si>
    <t>ADP</t>
  </si>
  <si>
    <t>PNR</t>
  </si>
  <si>
    <t>TSN</t>
  </si>
  <si>
    <t>SCL</t>
  </si>
  <si>
    <t>GD</t>
  </si>
  <si>
    <t>KR</t>
  </si>
  <si>
    <t>CL</t>
  </si>
  <si>
    <t>PSBQ</t>
  </si>
  <si>
    <t>EBTC</t>
  </si>
  <si>
    <t>GPC</t>
  </si>
  <si>
    <t>LECO</t>
  </si>
  <si>
    <t>AROW</t>
  </si>
  <si>
    <t>CAT</t>
  </si>
  <si>
    <t>TXT</t>
  </si>
  <si>
    <t>HRL</t>
  </si>
  <si>
    <t>FFMR</t>
  </si>
  <si>
    <t>PPG</t>
  </si>
  <si>
    <t>JKHY</t>
  </si>
  <si>
    <t>AXP</t>
  </si>
  <si>
    <t>CSX</t>
  </si>
  <si>
    <t>MKC</t>
  </si>
  <si>
    <t>RE</t>
  </si>
  <si>
    <t>COST</t>
  </si>
  <si>
    <t>SPGI</t>
  </si>
  <si>
    <t>THFF</t>
  </si>
  <si>
    <t>OZK</t>
  </si>
  <si>
    <t>CSVI</t>
  </si>
  <si>
    <t>TROW</t>
  </si>
  <si>
    <t>MCO</t>
  </si>
  <si>
    <t>DOV</t>
  </si>
  <si>
    <t>BRO</t>
  </si>
  <si>
    <t>CSL</t>
  </si>
  <si>
    <t>SRCE</t>
  </si>
  <si>
    <t>GRC</t>
  </si>
  <si>
    <t>FUL</t>
  </si>
  <si>
    <t>CB</t>
  </si>
  <si>
    <t>CHD</t>
  </si>
  <si>
    <t>AMAT</t>
  </si>
  <si>
    <t>MCD</t>
  </si>
  <si>
    <t>UBSI</t>
  </si>
  <si>
    <t>CTAS</t>
  </si>
  <si>
    <t>ITW</t>
  </si>
  <si>
    <t>FELE</t>
  </si>
  <si>
    <t>RPM</t>
  </si>
  <si>
    <t>NDSN</t>
  </si>
  <si>
    <t>PG</t>
  </si>
  <si>
    <t>SJW</t>
  </si>
  <si>
    <t>ATR</t>
  </si>
  <si>
    <t>NKE</t>
  </si>
  <si>
    <t>TSCO</t>
  </si>
  <si>
    <t>GWW</t>
  </si>
  <si>
    <t>AOS</t>
  </si>
  <si>
    <t>MGEE</t>
  </si>
  <si>
    <t>ABT</t>
  </si>
  <si>
    <t>LIN</t>
  </si>
  <si>
    <t>EBAY</t>
  </si>
  <si>
    <t>MSFT</t>
  </si>
  <si>
    <t>TR</t>
  </si>
  <si>
    <t>TMP</t>
  </si>
  <si>
    <t>ECL</t>
  </si>
  <si>
    <t>UNF</t>
  </si>
  <si>
    <t>MSA</t>
  </si>
  <si>
    <t>BF.B</t>
  </si>
  <si>
    <t>AAPL</t>
  </si>
  <si>
    <t>SHW</t>
  </si>
  <si>
    <t>CWT</t>
  </si>
  <si>
    <t>RLI</t>
  </si>
  <si>
    <t>BAM</t>
  </si>
  <si>
    <t>MORN</t>
  </si>
  <si>
    <t>AWR</t>
  </si>
  <si>
    <t>ALB</t>
  </si>
  <si>
    <t>WST</t>
  </si>
  <si>
    <t>NUE</t>
  </si>
  <si>
    <t>BMI</t>
  </si>
  <si>
    <t>MSEX</t>
  </si>
  <si>
    <t>CI</t>
  </si>
  <si>
    <t>LAD</t>
  </si>
  <si>
    <t>CMCSA</t>
  </si>
  <si>
    <t>LAZ</t>
  </si>
  <si>
    <t>OGN</t>
  </si>
  <si>
    <t>VZ</t>
  </si>
  <si>
    <t>PNGAY</t>
  </si>
  <si>
    <t>SAP</t>
  </si>
  <si>
    <t>ENB</t>
  </si>
  <si>
    <t>AMGN</t>
  </si>
  <si>
    <t>WU</t>
  </si>
  <si>
    <t>NC</t>
  </si>
  <si>
    <t>EPD</t>
  </si>
  <si>
    <t>TTE</t>
  </si>
  <si>
    <t>INTC</t>
  </si>
  <si>
    <t>DDS</t>
  </si>
  <si>
    <t>IPG</t>
  </si>
  <si>
    <t>FNV</t>
  </si>
  <si>
    <t>GEF</t>
  </si>
  <si>
    <t>NTIOF</t>
  </si>
  <si>
    <t>OMC</t>
  </si>
  <si>
    <t>SRE</t>
  </si>
  <si>
    <t>FLIC</t>
  </si>
  <si>
    <t>SUN</t>
  </si>
  <si>
    <t>RY</t>
  </si>
  <si>
    <t>HBI</t>
  </si>
  <si>
    <t>MURGF</t>
  </si>
  <si>
    <t>BMO</t>
  </si>
  <si>
    <t>MO</t>
  </si>
  <si>
    <t>HRB</t>
  </si>
  <si>
    <t>MRK</t>
  </si>
  <si>
    <t>SWX</t>
  </si>
  <si>
    <t>HII</t>
  </si>
  <si>
    <t>RDEIY</t>
  </si>
  <si>
    <t>TTC</t>
  </si>
  <si>
    <t>NVS</t>
  </si>
  <si>
    <t>BLK</t>
  </si>
  <si>
    <t>LMT</t>
  </si>
  <si>
    <t>CMI</t>
  </si>
  <si>
    <t>EVRG</t>
  </si>
  <si>
    <t>CDUAF</t>
  </si>
  <si>
    <t>NJR</t>
  </si>
  <si>
    <t>BNS</t>
  </si>
  <si>
    <t>KDP</t>
  </si>
  <si>
    <t>BIP</t>
  </si>
  <si>
    <t>TDS</t>
  </si>
  <si>
    <t>SLF</t>
  </si>
  <si>
    <t>FOXA</t>
  </si>
  <si>
    <t>TD</t>
  </si>
  <si>
    <t>YUM</t>
  </si>
  <si>
    <t>MSM</t>
  </si>
  <si>
    <t>ORI</t>
  </si>
  <si>
    <t>CM</t>
  </si>
  <si>
    <t>GILD</t>
  </si>
  <si>
    <t>PB</t>
  </si>
  <si>
    <t>BR</t>
  </si>
  <si>
    <t>RBA</t>
  </si>
  <si>
    <t>POR</t>
  </si>
  <si>
    <t>SNA</t>
  </si>
  <si>
    <t>FTS</t>
  </si>
  <si>
    <t>CHRW</t>
  </si>
  <si>
    <t>BAH</t>
  </si>
  <si>
    <t>IMO</t>
  </si>
  <si>
    <t>PBCT</t>
  </si>
  <si>
    <t>CIO</t>
  </si>
  <si>
    <t>EMN</t>
  </si>
  <si>
    <t>MDLZ</t>
  </si>
  <si>
    <t>RBGLY</t>
  </si>
  <si>
    <t>HD</t>
  </si>
  <si>
    <t>UHT</t>
  </si>
  <si>
    <t>TXN</t>
  </si>
  <si>
    <t>XOM</t>
  </si>
  <si>
    <t>AXS</t>
  </si>
  <si>
    <t>FLO</t>
  </si>
  <si>
    <t>UNH</t>
  </si>
  <si>
    <t>LNT</t>
  </si>
  <si>
    <t>K</t>
  </si>
  <si>
    <t>IBM</t>
  </si>
  <si>
    <t>EIX</t>
  </si>
  <si>
    <t>YORW</t>
  </si>
  <si>
    <t>EQIX</t>
  </si>
  <si>
    <t>RELX</t>
  </si>
  <si>
    <t>SBUX</t>
  </si>
  <si>
    <t>DTE</t>
  </si>
  <si>
    <t>WEYS</t>
  </si>
  <si>
    <t>NEP</t>
  </si>
  <si>
    <t>ICE</t>
  </si>
  <si>
    <t>CVX</t>
  </si>
  <si>
    <t>KMB</t>
  </si>
  <si>
    <t>WABC</t>
  </si>
  <si>
    <t>UVV</t>
  </si>
  <si>
    <t>SIEGY</t>
  </si>
  <si>
    <t>UPS</t>
  </si>
  <si>
    <t>DE</t>
  </si>
  <si>
    <t>SJM</t>
  </si>
  <si>
    <t>RTX</t>
  </si>
  <si>
    <t>RSG</t>
  </si>
  <si>
    <t>DPZ</t>
  </si>
  <si>
    <t>ARTNA</t>
  </si>
  <si>
    <t>CSCO</t>
  </si>
  <si>
    <t>CONE</t>
  </si>
  <si>
    <t>MTB</t>
  </si>
  <si>
    <t>AAP</t>
  </si>
  <si>
    <t>CVS</t>
  </si>
  <si>
    <t>OTTR</t>
  </si>
  <si>
    <t>SPTN</t>
  </si>
  <si>
    <t>LRLCF</t>
  </si>
  <si>
    <t>ETR</t>
  </si>
  <si>
    <t>SBSI</t>
  </si>
  <si>
    <t>AMX</t>
  </si>
  <si>
    <t>CTSH</t>
  </si>
  <si>
    <t>CLX</t>
  </si>
  <si>
    <t>HON</t>
  </si>
  <si>
    <t>PEG</t>
  </si>
  <si>
    <t>PRGO</t>
  </si>
  <si>
    <t>ED</t>
  </si>
  <si>
    <t>XEL</t>
  </si>
  <si>
    <t>INGR</t>
  </si>
  <si>
    <t>NSC</t>
  </si>
  <si>
    <t>PEP</t>
  </si>
  <si>
    <t>AJG</t>
  </si>
  <si>
    <t>SBAC</t>
  </si>
  <si>
    <t>MWA</t>
  </si>
  <si>
    <t>IFF</t>
  </si>
  <si>
    <t>CARR</t>
  </si>
  <si>
    <t>MGRC</t>
  </si>
  <si>
    <t>UNP</t>
  </si>
  <si>
    <t>RHHBY</t>
  </si>
  <si>
    <t>RMD</t>
  </si>
  <si>
    <t>HSY</t>
  </si>
  <si>
    <t>NEE</t>
  </si>
  <si>
    <t>AWK</t>
  </si>
  <si>
    <t>AUY</t>
  </si>
  <si>
    <t>APD</t>
  </si>
  <si>
    <t>CNI</t>
  </si>
  <si>
    <t>ERIE</t>
  </si>
  <si>
    <t>NVO</t>
  </si>
  <si>
    <t>ROK</t>
  </si>
  <si>
    <t>UMBF</t>
  </si>
  <si>
    <t>WTRG</t>
  </si>
  <si>
    <t>CFR</t>
  </si>
  <si>
    <t>OTIS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</si>
  <si>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</si>
  <si>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</si>
  <si>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</si>
  <si>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</si>
  <si>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</si>
  <si>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</si>
  <si>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</si>
  <si>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</si>
  <si>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</si>
  <si>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</si>
  <si>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</si>
  <si>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</si>
  <si>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DKS</t>
  </si>
  <si>
    <t>MMP</t>
  </si>
  <si>
    <t>FL</t>
  </si>
  <si>
    <t>MDC</t>
  </si>
  <si>
    <t>TRTN</t>
  </si>
  <si>
    <t>T</t>
  </si>
  <si>
    <t>LYB</t>
  </si>
  <si>
    <t>ALLY</t>
  </si>
  <si>
    <t>TFC</t>
  </si>
  <si>
    <t>THO</t>
  </si>
  <si>
    <t>TYCB</t>
  </si>
  <si>
    <t>SVC</t>
  </si>
  <si>
    <t>BTI</t>
  </si>
  <si>
    <t>DHI</t>
  </si>
  <si>
    <t>GWLIF</t>
  </si>
  <si>
    <t>TX</t>
  </si>
  <si>
    <t>FNF</t>
  </si>
  <si>
    <t>SYF</t>
  </si>
  <si>
    <t>C</t>
  </si>
  <si>
    <t>SNY</t>
  </si>
  <si>
    <t>DDAIF</t>
  </si>
  <si>
    <t>PNW</t>
  </si>
  <si>
    <t>MCHP</t>
  </si>
  <si>
    <t>ALL</t>
  </si>
  <si>
    <t>GLOP</t>
  </si>
  <si>
    <t>DFS</t>
  </si>
  <si>
    <t>LNC</t>
  </si>
  <si>
    <t>M</t>
  </si>
  <si>
    <t>SMG</t>
  </si>
  <si>
    <t>MPLX</t>
  </si>
  <si>
    <t>BASFY</t>
  </si>
  <si>
    <t>EQNR</t>
  </si>
  <si>
    <t>AEG</t>
  </si>
  <si>
    <t>RLJ</t>
  </si>
  <si>
    <t>UL</t>
  </si>
  <si>
    <t>NHI</t>
  </si>
  <si>
    <t>IVZ</t>
  </si>
  <si>
    <t>SJI</t>
  </si>
  <si>
    <t>ROST</t>
  </si>
  <si>
    <t>CC</t>
  </si>
  <si>
    <t>STN</t>
  </si>
  <si>
    <t>OGS</t>
  </si>
  <si>
    <t>PHM</t>
  </si>
  <si>
    <t>GPS</t>
  </si>
  <si>
    <t>SR</t>
  </si>
  <si>
    <t>OGE</t>
  </si>
  <si>
    <t>CE</t>
  </si>
  <si>
    <t>VIAC</t>
  </si>
  <si>
    <t>JBL</t>
  </si>
  <si>
    <t>DGX</t>
  </si>
  <si>
    <t>HPQ</t>
  </si>
  <si>
    <t>PM</t>
  </si>
  <si>
    <t>FAF</t>
  </si>
  <si>
    <t>PRU</t>
  </si>
  <si>
    <t>PFG</t>
  </si>
  <si>
    <t>RCI</t>
  </si>
  <si>
    <t>PGR</t>
  </si>
  <si>
    <t>WRK</t>
  </si>
  <si>
    <t>HPE</t>
  </si>
  <si>
    <t>PDCO</t>
  </si>
  <si>
    <t>ALE</t>
  </si>
  <si>
    <t>OKE</t>
  </si>
  <si>
    <t>CPB</t>
  </si>
  <si>
    <t>NAVI</t>
  </si>
  <si>
    <t>LRCX</t>
  </si>
  <si>
    <t>KSS</t>
  </si>
  <si>
    <t>SAXPY</t>
  </si>
  <si>
    <t>R</t>
  </si>
  <si>
    <t>COLD</t>
  </si>
  <si>
    <t>HUN</t>
  </si>
  <si>
    <t>MGA</t>
  </si>
  <si>
    <t>NLSN</t>
  </si>
  <si>
    <t>WFC</t>
  </si>
  <si>
    <t>GE</t>
  </si>
  <si>
    <t>CFG</t>
  </si>
  <si>
    <t>AEP</t>
  </si>
  <si>
    <t>APLE</t>
  </si>
  <si>
    <t>PFE</t>
  </si>
  <si>
    <t>ESRT</t>
  </si>
  <si>
    <t>JPM</t>
  </si>
  <si>
    <t>BMWYY</t>
  </si>
  <si>
    <t>O</t>
  </si>
  <si>
    <t>BK</t>
  </si>
  <si>
    <t>KEY</t>
  </si>
  <si>
    <t>GIS</t>
  </si>
  <si>
    <t>ASML</t>
  </si>
  <si>
    <t>GOLD</t>
  </si>
  <si>
    <t>AON</t>
  </si>
  <si>
    <t>PKX</t>
  </si>
  <si>
    <t>PNC</t>
  </si>
  <si>
    <t>USB</t>
  </si>
  <si>
    <t>BWA</t>
  </si>
  <si>
    <t>SO</t>
  </si>
  <si>
    <t>HAL</t>
  </si>
  <si>
    <t>MA</t>
  </si>
  <si>
    <t>CUBE</t>
  </si>
  <si>
    <t>KLAC</t>
  </si>
  <si>
    <t>COP</t>
  </si>
  <si>
    <t>PSB</t>
  </si>
  <si>
    <t>BUD</t>
  </si>
  <si>
    <t>HOG</t>
  </si>
  <si>
    <t>AGM</t>
  </si>
  <si>
    <t>WEC</t>
  </si>
  <si>
    <t>WY</t>
  </si>
  <si>
    <t>BAC</t>
  </si>
  <si>
    <t>WPC</t>
  </si>
  <si>
    <t>GNTX</t>
  </si>
  <si>
    <t>DUK</t>
  </si>
  <si>
    <t>PACW</t>
  </si>
  <si>
    <t>GS</t>
  </si>
  <si>
    <t>NNN</t>
  </si>
  <si>
    <t>MMC</t>
  </si>
  <si>
    <t>FITB</t>
  </si>
  <si>
    <t>PAYX</t>
  </si>
  <si>
    <t>EAF</t>
  </si>
  <si>
    <t>AMT</t>
  </si>
  <si>
    <t>OSK</t>
  </si>
  <si>
    <t>CMA</t>
  </si>
  <si>
    <t>STZ</t>
  </si>
  <si>
    <t>LOGI</t>
  </si>
  <si>
    <t>KLIC</t>
  </si>
  <si>
    <t>OLN</t>
  </si>
  <si>
    <t>OXY</t>
  </si>
  <si>
    <t>DLR</t>
  </si>
  <si>
    <t>NSRGY</t>
  </si>
  <si>
    <t>ABB</t>
  </si>
  <si>
    <t>DEO</t>
  </si>
  <si>
    <t>PSA</t>
  </si>
  <si>
    <t>AVB</t>
  </si>
  <si>
    <t>HNI</t>
  </si>
  <si>
    <t>FAST</t>
  </si>
  <si>
    <t>STLD</t>
  </si>
  <si>
    <t>KSU</t>
  </si>
  <si>
    <t>RACE</t>
  </si>
  <si>
    <t>MT</t>
  </si>
  <si>
    <t>FCX</t>
  </si>
  <si>
    <t>MRVL</t>
  </si>
  <si>
    <t>APA</t>
  </si>
  <si>
    <t>DHC</t>
  </si>
  <si>
    <t>KKR</t>
  </si>
  <si>
    <t>INFY</t>
  </si>
  <si>
    <t>TRI</t>
  </si>
  <si>
    <t>TER</t>
  </si>
  <si>
    <t>SONY</t>
  </si>
  <si>
    <t>NVDA</t>
  </si>
  <si>
    <t>VMC</t>
  </si>
  <si>
    <t>ERF</t>
  </si>
  <si>
    <t>SHLX</t>
  </si>
  <si>
    <t>SPH</t>
  </si>
  <si>
    <t>HEP</t>
  </si>
  <si>
    <t>GORO</t>
  </si>
  <si>
    <t>PAA</t>
  </si>
  <si>
    <t>PBR</t>
  </si>
  <si>
    <t>SNP</t>
  </si>
  <si>
    <t>AVAL</t>
  </si>
  <si>
    <t>EOG</t>
  </si>
  <si>
    <t>TPR</t>
  </si>
  <si>
    <t>PHG</t>
  </si>
  <si>
    <t>ET</t>
  </si>
  <si>
    <t>ERIC</t>
  </si>
  <si>
    <t>KRC</t>
  </si>
  <si>
    <t>PSX</t>
  </si>
  <si>
    <t>LUMN</t>
  </si>
  <si>
    <t>SLG</t>
  </si>
  <si>
    <t>UNIT</t>
  </si>
  <si>
    <t>PTR</t>
  </si>
  <si>
    <t>BAYRY</t>
  </si>
  <si>
    <t>SMFG</t>
  </si>
  <si>
    <t>OPI</t>
  </si>
  <si>
    <t>ARLP</t>
  </si>
  <si>
    <t>AZN</t>
  </si>
  <si>
    <t>MS</t>
  </si>
  <si>
    <t>NYCB</t>
  </si>
  <si>
    <t>HAS</t>
  </si>
  <si>
    <t>MFC</t>
  </si>
  <si>
    <t>TAP</t>
  </si>
  <si>
    <t>TGP</t>
  </si>
  <si>
    <t>TS</t>
  </si>
  <si>
    <t>DOW</t>
  </si>
  <si>
    <t>HSBC</t>
  </si>
  <si>
    <t>PGRE</t>
  </si>
  <si>
    <t>BP</t>
  </si>
  <si>
    <t>MED</t>
  </si>
  <si>
    <t>WSBC</t>
  </si>
  <si>
    <t>TRST</t>
  </si>
  <si>
    <t>DRI</t>
  </si>
  <si>
    <t>ITUB</t>
  </si>
  <si>
    <t>RF</t>
  </si>
  <si>
    <t>NTR</t>
  </si>
  <si>
    <t>IMBBY</t>
  </si>
  <si>
    <t>RDS.B</t>
  </si>
  <si>
    <t>BDN</t>
  </si>
  <si>
    <t>DD</t>
  </si>
  <si>
    <t>HASI</t>
  </si>
  <si>
    <t>WMB</t>
  </si>
  <si>
    <t>KMI</t>
  </si>
  <si>
    <t>D</t>
  </si>
  <si>
    <t>WEN</t>
  </si>
  <si>
    <t>SAFE</t>
  </si>
  <si>
    <t>SUUIF</t>
  </si>
  <si>
    <t>PETS</t>
  </si>
  <si>
    <t>WASH</t>
  </si>
  <si>
    <t>MKTX</t>
  </si>
  <si>
    <t>AMCR</t>
  </si>
  <si>
    <t>SPG</t>
  </si>
  <si>
    <t>VALE</t>
  </si>
  <si>
    <t>HIW</t>
  </si>
  <si>
    <t>IP</t>
  </si>
  <si>
    <t>CAG</t>
  </si>
  <si>
    <t>ABEV</t>
  </si>
  <si>
    <t>PDM</t>
  </si>
  <si>
    <t>RIO</t>
  </si>
  <si>
    <t>CNA</t>
  </si>
  <si>
    <t>DTEGY</t>
  </si>
  <si>
    <t>NWL</t>
  </si>
  <si>
    <t>REG</t>
  </si>
  <si>
    <t>DEI</t>
  </si>
  <si>
    <t>PCAR</t>
  </si>
  <si>
    <t>GEL</t>
  </si>
  <si>
    <t>ING</t>
  </si>
  <si>
    <t>BHP</t>
  </si>
  <si>
    <t>OFC</t>
  </si>
  <si>
    <t>CUZ</t>
  </si>
  <si>
    <t>AGNC</t>
  </si>
  <si>
    <t>WSR</t>
  </si>
  <si>
    <t>AKR</t>
  </si>
  <si>
    <t>CNP</t>
  </si>
  <si>
    <t>BBD</t>
  </si>
  <si>
    <t>EMRAF</t>
  </si>
  <si>
    <t>NXRT</t>
  </si>
  <si>
    <t>ADC</t>
  </si>
  <si>
    <t>LMRK</t>
  </si>
  <si>
    <t>KHC</t>
  </si>
  <si>
    <t>GRMN</t>
  </si>
  <si>
    <t>MCY</t>
  </si>
  <si>
    <t>FRFHF</t>
  </si>
  <si>
    <t>KRG</t>
  </si>
  <si>
    <t>HBAN</t>
  </si>
  <si>
    <t>TJX</t>
  </si>
  <si>
    <t>NGG</t>
  </si>
  <si>
    <t>GLW</t>
  </si>
  <si>
    <t>KTB</t>
  </si>
  <si>
    <t>INVH</t>
  </si>
  <si>
    <t>SBS</t>
  </si>
  <si>
    <t>MPW</t>
  </si>
  <si>
    <t>NSP</t>
  </si>
  <si>
    <t>UE</t>
  </si>
  <si>
    <t>ALV</t>
  </si>
  <si>
    <t>DEA</t>
  </si>
  <si>
    <t>RPT</t>
  </si>
  <si>
    <t>BXP</t>
  </si>
  <si>
    <t>AES</t>
  </si>
  <si>
    <t>NTAP</t>
  </si>
  <si>
    <t>MAC</t>
  </si>
  <si>
    <t>WPP</t>
  </si>
  <si>
    <t>HMC</t>
  </si>
  <si>
    <t>APO</t>
  </si>
  <si>
    <t>SKT</t>
  </si>
  <si>
    <t>DOC</t>
  </si>
  <si>
    <t>TU</t>
  </si>
  <si>
    <t>MPWR</t>
  </si>
  <si>
    <t>JNPR</t>
  </si>
  <si>
    <t>CAJ</t>
  </si>
  <si>
    <t>TSM</t>
  </si>
  <si>
    <t>CCI</t>
  </si>
  <si>
    <t>RGA</t>
  </si>
  <si>
    <t>UBS</t>
  </si>
  <si>
    <t>CNQ</t>
  </si>
  <si>
    <t>TM</t>
  </si>
  <si>
    <t>BRX</t>
  </si>
  <si>
    <t>SLB</t>
  </si>
  <si>
    <t>STX</t>
  </si>
  <si>
    <t>AVGO</t>
  </si>
  <si>
    <t>PLD</t>
  </si>
  <si>
    <t>EXPO</t>
  </si>
  <si>
    <t>ARE</t>
  </si>
  <si>
    <t>ELS</t>
  </si>
  <si>
    <t>JCI</t>
  </si>
  <si>
    <t>COR</t>
  </si>
  <si>
    <t>TRGP</t>
  </si>
  <si>
    <t>DRE</t>
  </si>
  <si>
    <t>CWEN</t>
  </si>
  <si>
    <t>TRSWF</t>
  </si>
  <si>
    <t>OGZPY</t>
  </si>
  <si>
    <t>EXC</t>
  </si>
  <si>
    <t>WPM</t>
  </si>
  <si>
    <t>FR</t>
  </si>
  <si>
    <t>CMP</t>
  </si>
  <si>
    <t>CME</t>
  </si>
  <si>
    <t>AMH</t>
  </si>
  <si>
    <t>MAA</t>
  </si>
  <si>
    <t>ETN</t>
  </si>
  <si>
    <t>KIM</t>
  </si>
  <si>
    <t>CPT</t>
  </si>
  <si>
    <t>ACN</t>
  </si>
  <si>
    <t>CF</t>
  </si>
  <si>
    <t>SCHL</t>
  </si>
  <si>
    <t>KNOP</t>
  </si>
  <si>
    <t>IIPR</t>
  </si>
  <si>
    <t>ORAN</t>
  </si>
  <si>
    <t>GECC</t>
  </si>
  <si>
    <t>DHT</t>
  </si>
  <si>
    <t>OHI</t>
  </si>
  <si>
    <t>SCCO</t>
  </si>
  <si>
    <t>PSXP</t>
  </si>
  <si>
    <t>IEP</t>
  </si>
  <si>
    <t>NEWT</t>
  </si>
  <si>
    <t>APAM</t>
  </si>
  <si>
    <t>SU</t>
  </si>
  <si>
    <t>SBRA</t>
  </si>
  <si>
    <t>TEF</t>
  </si>
  <si>
    <t>CLPR</t>
  </si>
  <si>
    <t>CORR</t>
  </si>
  <si>
    <t>SFL</t>
  </si>
  <si>
    <t>VICI</t>
  </si>
  <si>
    <t>LTC</t>
  </si>
  <si>
    <t>PINE</t>
  </si>
  <si>
    <t>TWO</t>
  </si>
  <si>
    <t>EIFZF</t>
  </si>
  <si>
    <t>EFC</t>
  </si>
  <si>
    <t>TRP</t>
  </si>
  <si>
    <t>NYMT</t>
  </si>
  <si>
    <t>CQP</t>
  </si>
  <si>
    <t>USAC</t>
  </si>
  <si>
    <t>EPR</t>
  </si>
  <si>
    <t>ORC</t>
  </si>
  <si>
    <t>MGP</t>
  </si>
  <si>
    <t>QSR</t>
  </si>
  <si>
    <t>CWCO</t>
  </si>
  <si>
    <t>VGR</t>
  </si>
  <si>
    <t>AAT</t>
  </si>
  <si>
    <t>GNL</t>
  </si>
  <si>
    <t>VOD</t>
  </si>
  <si>
    <t>SRC</t>
  </si>
  <si>
    <t>EPRT</t>
  </si>
  <si>
    <t>HR</t>
  </si>
  <si>
    <t>ORCC</t>
  </si>
  <si>
    <t>NTST</t>
  </si>
  <si>
    <t>WSO</t>
  </si>
  <si>
    <t>GSBD</t>
  </si>
  <si>
    <t>PMT</t>
  </si>
  <si>
    <t>CTRE</t>
  </si>
  <si>
    <t>AQN</t>
  </si>
  <si>
    <t>CTO</t>
  </si>
  <si>
    <t>MRCC</t>
  </si>
  <si>
    <t>FCPT</t>
  </si>
  <si>
    <t>IDEXY</t>
  </si>
  <si>
    <t>NLY</t>
  </si>
  <si>
    <t>NRZ</t>
  </si>
  <si>
    <t>CBRL</t>
  </si>
  <si>
    <t>ACRE</t>
  </si>
  <si>
    <t>KREF</t>
  </si>
  <si>
    <t>AFIN</t>
  </si>
  <si>
    <t>CSWC</t>
  </si>
  <si>
    <t>HRZN</t>
  </si>
  <si>
    <t>E</t>
  </si>
  <si>
    <t>EIC</t>
  </si>
  <si>
    <t>CHCT</t>
  </si>
  <si>
    <t>VNO</t>
  </si>
  <si>
    <t>SSREY</t>
  </si>
  <si>
    <t>PFLT</t>
  </si>
  <si>
    <t>VST</t>
  </si>
  <si>
    <t>NMFC</t>
  </si>
  <si>
    <t>VTR</t>
  </si>
  <si>
    <t>ILPT</t>
  </si>
  <si>
    <t>GBDC</t>
  </si>
  <si>
    <t>ARR</t>
  </si>
  <si>
    <t>TSLX</t>
  </si>
  <si>
    <t>BEP</t>
  </si>
  <si>
    <t>UMH</t>
  </si>
  <si>
    <t>SUNS</t>
  </si>
  <si>
    <t>STWD</t>
  </si>
  <si>
    <t>FE</t>
  </si>
  <si>
    <t>VIA</t>
  </si>
  <si>
    <t>TPVG</t>
  </si>
  <si>
    <t>BRMK</t>
  </si>
  <si>
    <t>FDUS</t>
  </si>
  <si>
    <t>LWSCF</t>
  </si>
  <si>
    <t>AM</t>
  </si>
  <si>
    <t>EXR</t>
  </si>
  <si>
    <t>DX</t>
  </si>
  <si>
    <t>VLO</t>
  </si>
  <si>
    <t>BFS</t>
  </si>
  <si>
    <t>ARI</t>
  </si>
  <si>
    <t>GLPI</t>
  </si>
  <si>
    <t>GSK</t>
  </si>
  <si>
    <t>SACH</t>
  </si>
  <si>
    <t>DANOY</t>
  </si>
  <si>
    <t>MAIN</t>
  </si>
  <si>
    <t>SCM</t>
  </si>
  <si>
    <t>STOR</t>
  </si>
  <si>
    <t>CIM</t>
  </si>
  <si>
    <t>CRT</t>
  </si>
  <si>
    <t>ARCC</t>
  </si>
  <si>
    <t>NEM</t>
  </si>
  <si>
    <t>GMRE</t>
  </si>
  <si>
    <t>PBA</t>
  </si>
  <si>
    <t>SJT</t>
  </si>
  <si>
    <t>GWRS</t>
  </si>
  <si>
    <t>BX</t>
  </si>
  <si>
    <t>HTA</t>
  </si>
  <si>
    <t>HTGC</t>
  </si>
  <si>
    <t>OXSQ</t>
  </si>
  <si>
    <t>MNR</t>
  </si>
  <si>
    <t>NSA</t>
  </si>
  <si>
    <t>BGS</t>
  </si>
  <si>
    <t>CODI</t>
  </si>
  <si>
    <t>PRT</t>
  </si>
  <si>
    <t>XRX</t>
  </si>
  <si>
    <t>SBR</t>
  </si>
  <si>
    <t>GOOD</t>
  </si>
  <si>
    <t>IRT</t>
  </si>
  <si>
    <t>BXMT</t>
  </si>
  <si>
    <t>BCE</t>
  </si>
  <si>
    <t>PSEC</t>
  </si>
  <si>
    <t>PSO</t>
  </si>
  <si>
    <t>ACC</t>
  </si>
  <si>
    <t>BKR</t>
  </si>
  <si>
    <t>LADR</t>
  </si>
  <si>
    <t>OLP</t>
  </si>
  <si>
    <t>EVA</t>
  </si>
  <si>
    <t>SJR</t>
  </si>
  <si>
    <t>EQR</t>
  </si>
  <si>
    <t>APTS</t>
  </si>
  <si>
    <t>GLAD</t>
  </si>
  <si>
    <t>GAIN</t>
  </si>
  <si>
    <t>PLYM</t>
  </si>
  <si>
    <t>EGP</t>
  </si>
  <si>
    <t>ABR</t>
  </si>
  <si>
    <t>LSI</t>
  </si>
  <si>
    <t>PEAK</t>
  </si>
  <si>
    <t>GROW</t>
  </si>
  <si>
    <t>UDR</t>
  </si>
  <si>
    <t>IRM</t>
  </si>
  <si>
    <t>STAG</t>
  </si>
  <si>
    <t>LXP</t>
  </si>
  <si>
    <t>MPC</t>
  </si>
  <si>
    <t>HP</t>
  </si>
  <si>
    <t>DRETF</t>
  </si>
  <si>
    <t>PPRQF</t>
  </si>
  <si>
    <t>UBA</t>
  </si>
  <si>
    <t>DREUF</t>
  </si>
  <si>
    <t>AB</t>
  </si>
  <si>
    <t>WELL</t>
  </si>
  <si>
    <t>LAMR</t>
  </si>
  <si>
    <t>PBT</t>
  </si>
  <si>
    <t>LAND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</si>
  <si>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</si>
  <si>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</si>
  <si>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</si>
  <si>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</si>
  <si>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</si>
  <si>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</si>
  <si>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</si>
  <si>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</si>
  <si>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</si>
  <si>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</si>
  <si>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</si>
  <si>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</si>
  <si>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</si>
  <si>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</si>
  <si>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</si>
  <si>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</si>
  <si>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</si>
  <si>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</si>
  <si>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</si>
  <si>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</si>
  <si>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</si>
  <si>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Quinn Mohammed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</si>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</sst>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HYPERLINK("https://www.suredividend.com/sure-analysis-SKM/","SK Telecom Co Ltd")</f>
        <v>0</v>
      </c>
      <c r="C2">
        <v>28.94</v>
      </c>
      <c r="D2">
        <v>49.4</v>
      </c>
      <c r="E2">
        <v>0.5858299595141701</v>
      </c>
      <c r="F2">
        <v>0.05701451278507256</v>
      </c>
      <c r="G2">
        <v>0.1128732012464668</v>
      </c>
      <c r="H2">
        <v>0.05</v>
      </c>
      <c r="I2">
        <v>0.1976120051041299</v>
      </c>
      <c r="J2" t="s">
        <v>776</v>
      </c>
      <c r="K2" t="s">
        <v>776</v>
      </c>
      <c r="L2">
        <v>18.11</v>
      </c>
      <c r="M2">
        <v>1.65</v>
      </c>
      <c r="N2">
        <v>0.09110988404196577</v>
      </c>
      <c r="O2">
        <v>0</v>
      </c>
      <c r="P2">
        <v>0</v>
      </c>
      <c r="Q2">
        <v>0.256461356417761</v>
      </c>
      <c r="R2" t="s">
        <v>780</v>
      </c>
      <c r="S2" t="s">
        <v>784</v>
      </c>
      <c r="T2">
        <v>31402.369117</v>
      </c>
      <c r="U2" s="2">
        <v>44515</v>
      </c>
      <c r="V2" t="s">
        <v>795</v>
      </c>
    </row>
    <row r="3" spans="1:22">
      <c r="A3" s="1" t="s">
        <v>23</v>
      </c>
      <c r="B3">
        <f>HYPERLINK("https://www.suredividend.com/sure-analysis-TCEHY/","Tencent Holdings Ltd.")</f>
        <v>0</v>
      </c>
      <c r="C3">
        <v>59.38</v>
      </c>
      <c r="D3">
        <v>70</v>
      </c>
      <c r="E3">
        <v>0.8482857142857143</v>
      </c>
      <c r="F3">
        <v>0.004546985517009094</v>
      </c>
      <c r="G3">
        <v>0.03345499660542273</v>
      </c>
      <c r="H3">
        <v>0.15</v>
      </c>
      <c r="I3">
        <v>0.1925488065929875</v>
      </c>
      <c r="J3" t="s">
        <v>776</v>
      </c>
      <c r="K3" t="s">
        <v>345</v>
      </c>
      <c r="L3">
        <v>2.8</v>
      </c>
      <c r="M3">
        <v>0.27</v>
      </c>
      <c r="N3">
        <v>0.09642857142857145</v>
      </c>
      <c r="O3">
        <v>11</v>
      </c>
      <c r="P3">
        <v>0.2028986284740084</v>
      </c>
      <c r="Q3">
        <v>-0.13605734767025</v>
      </c>
      <c r="R3" t="s">
        <v>780</v>
      </c>
      <c r="S3" t="s">
        <v>784</v>
      </c>
      <c r="T3">
        <v>578725.222592</v>
      </c>
      <c r="U3" s="2">
        <v>44517</v>
      </c>
      <c r="V3" t="s">
        <v>796</v>
      </c>
    </row>
    <row r="4" spans="1:22">
      <c r="A4" s="1" t="s">
        <v>24</v>
      </c>
      <c r="B4">
        <f>HYPERLINK("https://www.suredividend.com/sure-analysis-BMY/","Bristol-Myers Squibb Co.")</f>
        <v>0</v>
      </c>
      <c r="C4">
        <v>62.29</v>
      </c>
      <c r="D4">
        <v>101</v>
      </c>
      <c r="E4">
        <v>0.6167326732673267</v>
      </c>
      <c r="F4">
        <v>0.03467651308396211</v>
      </c>
      <c r="G4">
        <v>0.1014901264788923</v>
      </c>
      <c r="H4">
        <v>0.03</v>
      </c>
      <c r="I4">
        <v>0.156532995283251</v>
      </c>
      <c r="J4" t="s">
        <v>776</v>
      </c>
      <c r="K4" t="s">
        <v>776</v>
      </c>
      <c r="L4">
        <v>7.48</v>
      </c>
      <c r="M4">
        <v>2.16</v>
      </c>
      <c r="N4">
        <v>0.2887700534759358</v>
      </c>
      <c r="O4">
        <v>15</v>
      </c>
      <c r="P4">
        <v>0.02966808427901979</v>
      </c>
      <c r="Q4">
        <v>0.046866907027083</v>
      </c>
      <c r="R4" t="s">
        <v>780</v>
      </c>
      <c r="S4" t="s">
        <v>785</v>
      </c>
      <c r="T4">
        <v>137728.968217</v>
      </c>
      <c r="U4" s="2">
        <v>44496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41.38</v>
      </c>
      <c r="D5">
        <v>61</v>
      </c>
      <c r="E5">
        <v>0.678360655737705</v>
      </c>
      <c r="F5">
        <v>0.01884968583856936</v>
      </c>
      <c r="G5">
        <v>0.08070676417023548</v>
      </c>
      <c r="H5">
        <v>0.05</v>
      </c>
      <c r="I5">
        <v>0.1467160062539958</v>
      </c>
      <c r="J5" t="s">
        <v>776</v>
      </c>
      <c r="K5" t="s">
        <v>777</v>
      </c>
      <c r="L5">
        <v>3.5</v>
      </c>
      <c r="M5">
        <v>0.78</v>
      </c>
      <c r="N5">
        <v>0.2228571428571429</v>
      </c>
      <c r="O5">
        <v>54</v>
      </c>
      <c r="P5">
        <v>0.02441897433224605</v>
      </c>
      <c r="Q5">
        <v>0.120228307546233</v>
      </c>
      <c r="R5" t="s">
        <v>780</v>
      </c>
      <c r="S5" t="s">
        <v>786</v>
      </c>
      <c r="T5">
        <v>2795.715668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HYPERLINK("https://www.suredividend.com/sure-analysis-SWKS/","Skyworks Solutions, Inc.")</f>
        <v>0</v>
      </c>
      <c r="C6">
        <v>155.36</v>
      </c>
      <c r="D6">
        <v>174</v>
      </c>
      <c r="E6">
        <v>0.8928735632183908</v>
      </c>
      <c r="F6">
        <v>0.01441812564366632</v>
      </c>
      <c r="G6">
        <v>0.0229207941864189</v>
      </c>
      <c r="H6">
        <v>0.1</v>
      </c>
      <c r="I6">
        <v>0.1367173639235439</v>
      </c>
      <c r="J6" t="s">
        <v>776</v>
      </c>
      <c r="K6" t="s">
        <v>345</v>
      </c>
      <c r="L6">
        <v>11.57</v>
      </c>
      <c r="M6">
        <v>2.24</v>
      </c>
      <c r="N6">
        <v>0.1936041486603285</v>
      </c>
      <c r="O6">
        <v>7</v>
      </c>
      <c r="P6">
        <v>0.09022017694025841</v>
      </c>
      <c r="Q6">
        <v>0.027098063027749</v>
      </c>
      <c r="R6" t="s">
        <v>780</v>
      </c>
      <c r="S6" t="s">
        <v>787</v>
      </c>
      <c r="T6">
        <v>25373.712355</v>
      </c>
      <c r="U6" s="2">
        <v>44507</v>
      </c>
      <c r="V6" t="s">
        <v>799</v>
      </c>
    </row>
    <row r="7" spans="1:22">
      <c r="A7" s="1" t="s">
        <v>27</v>
      </c>
      <c r="B7">
        <f>HYPERLINK("https://www.suredividend.com/sure-analysis-PII/","Polaris Inc")</f>
        <v>0</v>
      </c>
      <c r="C7">
        <v>107</v>
      </c>
      <c r="D7">
        <v>144</v>
      </c>
      <c r="E7">
        <v>0.7430555555555556</v>
      </c>
      <c r="F7">
        <v>0.02355140186915888</v>
      </c>
      <c r="G7">
        <v>0.06119633859185969</v>
      </c>
      <c r="H7">
        <v>0.05</v>
      </c>
      <c r="I7">
        <v>0.1321895061002236</v>
      </c>
      <c r="J7" t="s">
        <v>776</v>
      </c>
      <c r="K7" t="s">
        <v>777</v>
      </c>
      <c r="L7">
        <v>9</v>
      </c>
      <c r="M7">
        <v>2.52</v>
      </c>
      <c r="N7">
        <v>0.28</v>
      </c>
      <c r="O7">
        <v>26</v>
      </c>
      <c r="P7">
        <v>0.06483841633998533</v>
      </c>
      <c r="Q7">
        <v>0.09870681990182201</v>
      </c>
      <c r="R7" t="s">
        <v>780</v>
      </c>
      <c r="S7" t="s">
        <v>788</v>
      </c>
      <c r="T7">
        <v>6448.650741</v>
      </c>
      <c r="U7" s="2">
        <v>44496</v>
      </c>
      <c r="V7" t="s">
        <v>800</v>
      </c>
    </row>
    <row r="8" spans="1:22">
      <c r="A8" s="1" t="s">
        <v>28</v>
      </c>
      <c r="B8">
        <f>HYPERLINK("https://www.suredividend.com/sure-analysis-BBY/","Best Buy Co. Inc.")</f>
        <v>0</v>
      </c>
      <c r="C8">
        <v>99.08</v>
      </c>
      <c r="D8">
        <v>121</v>
      </c>
      <c r="E8">
        <v>0.8188429752066115</v>
      </c>
      <c r="F8">
        <v>0.02825999192571659</v>
      </c>
      <c r="G8">
        <v>0.04078224408155817</v>
      </c>
      <c r="H8">
        <v>0.06</v>
      </c>
      <c r="I8">
        <v>0.1263944811695084</v>
      </c>
      <c r="J8" t="s">
        <v>776</v>
      </c>
      <c r="K8" t="s">
        <v>776</v>
      </c>
      <c r="L8">
        <v>10.05</v>
      </c>
      <c r="M8">
        <v>2.8</v>
      </c>
      <c r="N8">
        <v>0.2786069651741293</v>
      </c>
      <c r="O8">
        <v>18</v>
      </c>
      <c r="P8">
        <v>0.07978367728709435</v>
      </c>
      <c r="Q8">
        <v>-0.018925299083743</v>
      </c>
      <c r="R8" t="s">
        <v>780</v>
      </c>
      <c r="S8" t="s">
        <v>788</v>
      </c>
      <c r="T8">
        <v>23594.212876</v>
      </c>
      <c r="U8" s="2">
        <v>44551</v>
      </c>
      <c r="V8" t="s">
        <v>801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57.94</v>
      </c>
      <c r="D9">
        <v>64</v>
      </c>
      <c r="E9">
        <v>0.9053125</v>
      </c>
      <c r="F9">
        <v>0.01518812564722126</v>
      </c>
      <c r="G9">
        <v>0.02009424307919883</v>
      </c>
      <c r="H9">
        <v>0.09</v>
      </c>
      <c r="I9">
        <v>0.1242006728977159</v>
      </c>
      <c r="J9" t="s">
        <v>776</v>
      </c>
      <c r="K9" t="s">
        <v>777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0.033391600555779</v>
      </c>
      <c r="R9" t="s">
        <v>780</v>
      </c>
      <c r="S9" t="s">
        <v>786</v>
      </c>
      <c r="T9">
        <v>7120.38667</v>
      </c>
      <c r="U9" s="2">
        <v>44541</v>
      </c>
      <c r="V9" t="s">
        <v>802</v>
      </c>
    </row>
    <row r="10" spans="1:22">
      <c r="A10" s="1" t="s">
        <v>30</v>
      </c>
      <c r="B10">
        <f>HYPERLINK("https://www.suredividend.com/sure-analysis-UNM/","Unum Group")</f>
        <v>0</v>
      </c>
      <c r="C10">
        <v>24.59</v>
      </c>
      <c r="D10">
        <v>32</v>
      </c>
      <c r="E10">
        <v>0.7684375</v>
      </c>
      <c r="F10">
        <v>0.04880032533550224</v>
      </c>
      <c r="G10">
        <v>0.05409144815861988</v>
      </c>
      <c r="H10">
        <v>0.02</v>
      </c>
      <c r="I10">
        <v>0.1113385084191951</v>
      </c>
      <c r="J10" t="s">
        <v>776</v>
      </c>
      <c r="K10" t="s">
        <v>776</v>
      </c>
      <c r="L10">
        <v>4.6</v>
      </c>
      <c r="M10">
        <v>1.2</v>
      </c>
      <c r="N10">
        <v>0.2608695652173913</v>
      </c>
      <c r="O10">
        <v>13</v>
      </c>
      <c r="P10">
        <v>0.01924487649145656</v>
      </c>
      <c r="Q10">
        <v>0.166037663921927</v>
      </c>
      <c r="R10" t="s">
        <v>780</v>
      </c>
      <c r="S10" t="s">
        <v>789</v>
      </c>
      <c r="T10">
        <v>5002.972422</v>
      </c>
      <c r="U10" s="2">
        <v>44503</v>
      </c>
      <c r="V10" t="s">
        <v>800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41.88</v>
      </c>
      <c r="D11">
        <v>43</v>
      </c>
      <c r="E11">
        <v>0.9739534883720931</v>
      </c>
      <c r="F11">
        <v>0.01337153772683859</v>
      </c>
      <c r="G11">
        <v>0.005292300948487316</v>
      </c>
      <c r="H11">
        <v>0.09</v>
      </c>
      <c r="I11">
        <v>0.1079359861687108</v>
      </c>
      <c r="J11" t="s">
        <v>776</v>
      </c>
      <c r="K11" t="s">
        <v>345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0.130908191041821</v>
      </c>
      <c r="R11" t="s">
        <v>780</v>
      </c>
      <c r="S11" t="s">
        <v>790</v>
      </c>
      <c r="T11">
        <v>4541.172719</v>
      </c>
      <c r="U11" s="2">
        <v>44500</v>
      </c>
      <c r="V11" t="s">
        <v>796</v>
      </c>
    </row>
    <row r="12" spans="1:22">
      <c r="A12" s="1" t="s">
        <v>32</v>
      </c>
      <c r="B12">
        <f>HYPERLINK("https://www.suredividend.com/sure-analysis-FDX/","Fedex Corp")</f>
        <v>0</v>
      </c>
      <c r="C12">
        <v>256.25</v>
      </c>
      <c r="D12">
        <v>305</v>
      </c>
      <c r="E12">
        <v>0.8401639344262295</v>
      </c>
      <c r="F12">
        <v>0.01170731707317073</v>
      </c>
      <c r="G12">
        <v>0.03544537610014631</v>
      </c>
      <c r="H12">
        <v>0.06</v>
      </c>
      <c r="I12">
        <v>0.1070411669736318</v>
      </c>
      <c r="J12" t="s">
        <v>776</v>
      </c>
      <c r="K12" t="s">
        <v>345</v>
      </c>
      <c r="L12">
        <v>21</v>
      </c>
      <c r="M12">
        <v>3</v>
      </c>
      <c r="N12">
        <v>0.1428571428571428</v>
      </c>
      <c r="O12">
        <v>1</v>
      </c>
      <c r="P12">
        <v>0.05975292415044642</v>
      </c>
      <c r="Q12">
        <v>-0.04539399405317501</v>
      </c>
      <c r="R12" t="s">
        <v>780</v>
      </c>
      <c r="S12" t="s">
        <v>786</v>
      </c>
      <c r="T12">
        <v>67254.518386</v>
      </c>
      <c r="U12" s="2">
        <v>44548</v>
      </c>
      <c r="V12" t="s">
        <v>796</v>
      </c>
    </row>
    <row r="13" spans="1:22">
      <c r="A13" s="1" t="s">
        <v>33</v>
      </c>
      <c r="B13">
        <f>HYPERLINK("https://www.suredividend.com/sure-analysis-LEG/","Leggett &amp; Platt, Inc.")</f>
        <v>0</v>
      </c>
      <c r="C13">
        <v>39.93</v>
      </c>
      <c r="D13">
        <v>44</v>
      </c>
      <c r="E13">
        <v>0.9075</v>
      </c>
      <c r="F13">
        <v>0.04207362885048836</v>
      </c>
      <c r="G13">
        <v>0.01960198725209605</v>
      </c>
      <c r="H13">
        <v>0.05</v>
      </c>
      <c r="I13">
        <v>0.1044144787497769</v>
      </c>
      <c r="J13" t="s">
        <v>776</v>
      </c>
      <c r="K13" t="s">
        <v>776</v>
      </c>
      <c r="L13">
        <v>2.75</v>
      </c>
      <c r="M13">
        <v>1.68</v>
      </c>
      <c r="N13">
        <v>0.6109090909090908</v>
      </c>
      <c r="O13">
        <v>48</v>
      </c>
      <c r="P13">
        <v>0.03959498820755258</v>
      </c>
      <c r="Q13">
        <v>-0.035089858323782</v>
      </c>
      <c r="R13" t="s">
        <v>780</v>
      </c>
      <c r="S13" t="s">
        <v>788</v>
      </c>
      <c r="T13">
        <v>5277.735725</v>
      </c>
      <c r="U13" s="2">
        <v>44506</v>
      </c>
      <c r="V13" t="s">
        <v>798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66.06999999999999</v>
      </c>
      <c r="D14">
        <v>74</v>
      </c>
      <c r="E14">
        <v>0.8928378378378378</v>
      </c>
      <c r="F14">
        <v>0.02240048433479643</v>
      </c>
      <c r="G14">
        <v>0.0229289801409589</v>
      </c>
      <c r="H14">
        <v>0.06</v>
      </c>
      <c r="I14">
        <v>0.1015008145258063</v>
      </c>
      <c r="J14" t="s">
        <v>776</v>
      </c>
      <c r="K14" t="s">
        <v>777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0.355659734378528</v>
      </c>
      <c r="R14" t="s">
        <v>780</v>
      </c>
      <c r="S14" t="s">
        <v>791</v>
      </c>
      <c r="T14">
        <v>36609.836054</v>
      </c>
      <c r="U14" s="2">
        <v>44507</v>
      </c>
      <c r="V14" t="s">
        <v>799</v>
      </c>
    </row>
    <row r="15" spans="1:22">
      <c r="A15" s="1" t="s">
        <v>35</v>
      </c>
      <c r="B15">
        <f>HYPERLINK("https://www.suredividend.com/sure-analysis-RGLD/","Royal Gold, Inc.")</f>
        <v>0</v>
      </c>
      <c r="C15">
        <v>104.63</v>
      </c>
      <c r="D15">
        <v>128</v>
      </c>
      <c r="E15">
        <v>0.817421875</v>
      </c>
      <c r="F15">
        <v>0.01338048360890758</v>
      </c>
      <c r="G15">
        <v>0.04114387580063816</v>
      </c>
      <c r="H15">
        <v>0.045</v>
      </c>
      <c r="I15">
        <v>0.1001635883702059</v>
      </c>
      <c r="J15" t="s">
        <v>776</v>
      </c>
      <c r="K15" t="s">
        <v>345</v>
      </c>
      <c r="L15">
        <v>4.18</v>
      </c>
      <c r="M15">
        <v>1.4</v>
      </c>
      <c r="N15">
        <v>0.3349282296650718</v>
      </c>
      <c r="O15">
        <v>21</v>
      </c>
      <c r="P15">
        <v>0.08958743119932766</v>
      </c>
      <c r="Q15">
        <v>-0.035379053306872</v>
      </c>
      <c r="R15" t="s">
        <v>780</v>
      </c>
      <c r="S15" t="s">
        <v>790</v>
      </c>
      <c r="T15">
        <v>6801.992466</v>
      </c>
      <c r="U15" s="2">
        <v>44508</v>
      </c>
      <c r="V15" t="s">
        <v>795</v>
      </c>
    </row>
    <row r="16" spans="1:22">
      <c r="A16" s="1" t="s">
        <v>36</v>
      </c>
      <c r="B16">
        <f>HYPERLINK("https://www.suredividend.com/sure-analysis-EFSI/","Eagle Financial Services, Inc.")</f>
        <v>0</v>
      </c>
      <c r="C16">
        <v>34.7</v>
      </c>
      <c r="D16">
        <v>37</v>
      </c>
      <c r="E16">
        <v>0.9378378378378379</v>
      </c>
      <c r="F16">
        <v>0.03227665706051873</v>
      </c>
      <c r="G16">
        <v>0.01291837561876408</v>
      </c>
      <c r="H16">
        <v>0.055</v>
      </c>
      <c r="I16">
        <v>0.09558656181549874</v>
      </c>
      <c r="J16" t="s">
        <v>776</v>
      </c>
      <c r="K16" t="s">
        <v>776</v>
      </c>
      <c r="L16">
        <v>3.4</v>
      </c>
      <c r="M16">
        <v>1.12</v>
      </c>
      <c r="N16">
        <v>0.3294117647058824</v>
      </c>
      <c r="O16">
        <v>35</v>
      </c>
      <c r="P16">
        <v>0.04563955259127317</v>
      </c>
      <c r="Q16">
        <v>0.213415232726099</v>
      </c>
      <c r="R16" t="s">
        <v>780</v>
      </c>
      <c r="S16" t="s">
        <v>789</v>
      </c>
      <c r="T16">
        <v>119.54737</v>
      </c>
      <c r="U16" s="2">
        <v>44505</v>
      </c>
      <c r="V16" t="s">
        <v>798</v>
      </c>
    </row>
    <row r="17" spans="1:22">
      <c r="A17" s="1" t="s">
        <v>37</v>
      </c>
      <c r="B17">
        <f>HYPERLINK("https://www.suredividend.com/sure-analysis-WBA/","Walgreens Boots Alliance Inc")</f>
        <v>0</v>
      </c>
      <c r="C17">
        <v>50.73</v>
      </c>
      <c r="D17">
        <v>54</v>
      </c>
      <c r="E17">
        <v>0.9394444444444444</v>
      </c>
      <c r="F17">
        <v>0.03765030553912872</v>
      </c>
      <c r="G17">
        <v>0.01257168652369733</v>
      </c>
      <c r="H17">
        <v>0.05</v>
      </c>
      <c r="I17">
        <v>0.09540065049064439</v>
      </c>
      <c r="J17" t="s">
        <v>776</v>
      </c>
      <c r="K17" t="s">
        <v>776</v>
      </c>
      <c r="L17">
        <v>5.35</v>
      </c>
      <c r="M17">
        <v>1.91</v>
      </c>
      <c r="N17">
        <v>0.3570093457943925</v>
      </c>
      <c r="O17">
        <v>46</v>
      </c>
      <c r="P17">
        <v>0.0501982537579746</v>
      </c>
      <c r="Q17">
        <v>0.322709038075049</v>
      </c>
      <c r="R17" t="s">
        <v>780</v>
      </c>
      <c r="S17" t="s">
        <v>785</v>
      </c>
      <c r="T17">
        <v>43696.111832</v>
      </c>
      <c r="U17" s="2">
        <v>44483</v>
      </c>
      <c r="V17" t="s">
        <v>800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251.32</v>
      </c>
      <c r="D18">
        <v>231</v>
      </c>
      <c r="E18">
        <v>1.087965367965368</v>
      </c>
      <c r="F18">
        <v>0.01384688842909438</v>
      </c>
      <c r="G18">
        <v>-0.0167204978612624</v>
      </c>
      <c r="H18">
        <v>0.1</v>
      </c>
      <c r="I18">
        <v>0.09486062883198421</v>
      </c>
      <c r="J18" t="s">
        <v>776</v>
      </c>
      <c r="K18" t="s">
        <v>777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0.017463368293861</v>
      </c>
      <c r="R18" t="s">
        <v>780</v>
      </c>
      <c r="S18" t="s">
        <v>785</v>
      </c>
      <c r="T18">
        <v>70950.145227</v>
      </c>
      <c r="U18" s="2">
        <v>44507</v>
      </c>
      <c r="V18" t="s">
        <v>797</v>
      </c>
    </row>
    <row r="19" spans="1:22">
      <c r="A19" s="1" t="s">
        <v>39</v>
      </c>
      <c r="B19">
        <f>HYPERLINK("https://www.suredividend.com/sure-analysis-CINF/","Cincinnati Financial Corp.")</f>
        <v>0</v>
      </c>
      <c r="C19">
        <v>114.12</v>
      </c>
      <c r="D19">
        <v>112.03</v>
      </c>
      <c r="E19">
        <v>1.018655717218602</v>
      </c>
      <c r="F19">
        <v>0.02208201892744479</v>
      </c>
      <c r="G19">
        <v>-0.003689942124991741</v>
      </c>
      <c r="H19">
        <v>0.08</v>
      </c>
      <c r="I19">
        <v>0.09449746794201497</v>
      </c>
      <c r="J19" t="s">
        <v>776</v>
      </c>
      <c r="K19" t="s">
        <v>777</v>
      </c>
      <c r="L19">
        <v>5.58</v>
      </c>
      <c r="M19">
        <v>2.52</v>
      </c>
      <c r="N19">
        <v>0.4516129032258064</v>
      </c>
      <c r="O19">
        <v>60</v>
      </c>
      <c r="P19">
        <v>0.05024607263868264</v>
      </c>
      <c r="Q19">
        <v>0.347157466566895</v>
      </c>
      <c r="R19" t="s">
        <v>780</v>
      </c>
      <c r="S19" t="s">
        <v>789</v>
      </c>
      <c r="T19">
        <v>18102.579715</v>
      </c>
      <c r="U19" s="2">
        <v>44499</v>
      </c>
      <c r="V19" t="s">
        <v>799</v>
      </c>
    </row>
    <row r="20" spans="1:22">
      <c r="A20" s="1" t="s">
        <v>40</v>
      </c>
      <c r="B20">
        <f>HYPERLINK("https://www.suredividend.com/sure-analysis-LHX/","L3Harris Technologies Inc")</f>
        <v>0</v>
      </c>
      <c r="C20">
        <v>210.33</v>
      </c>
      <c r="D20">
        <v>206</v>
      </c>
      <c r="E20">
        <v>1.021019417475728</v>
      </c>
      <c r="F20">
        <v>0.01939808871772928</v>
      </c>
      <c r="G20">
        <v>-0.004151669312699835</v>
      </c>
      <c r="H20">
        <v>0.08</v>
      </c>
      <c r="I20">
        <v>0.09328110744305773</v>
      </c>
      <c r="J20" t="s">
        <v>776</v>
      </c>
      <c r="K20" t="s">
        <v>777</v>
      </c>
      <c r="L20">
        <v>12.9</v>
      </c>
      <c r="M20">
        <v>4.08</v>
      </c>
      <c r="N20">
        <v>0.3162790697674419</v>
      </c>
      <c r="O20">
        <v>20</v>
      </c>
      <c r="P20">
        <v>0.07982488529298792</v>
      </c>
      <c r="Q20">
        <v>0.146377538354326</v>
      </c>
      <c r="R20" t="s">
        <v>780</v>
      </c>
      <c r="S20" t="s">
        <v>786</v>
      </c>
      <c r="T20">
        <v>40865.916174</v>
      </c>
      <c r="U20" s="2">
        <v>44509</v>
      </c>
      <c r="V20" t="s">
        <v>801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184.1</v>
      </c>
      <c r="D21">
        <v>182</v>
      </c>
      <c r="E21">
        <v>1.011538461538461</v>
      </c>
      <c r="F21">
        <v>0.0171645844649647</v>
      </c>
      <c r="G21">
        <v>-0.002291849924793032</v>
      </c>
      <c r="H21">
        <v>0.08</v>
      </c>
      <c r="I21">
        <v>0.09319069496590537</v>
      </c>
      <c r="J21" t="s">
        <v>776</v>
      </c>
      <c r="K21" t="s">
        <v>777</v>
      </c>
      <c r="L21">
        <v>11</v>
      </c>
      <c r="M21">
        <v>3.16</v>
      </c>
      <c r="N21">
        <v>0.2872727272727273</v>
      </c>
      <c r="O21">
        <v>54</v>
      </c>
      <c r="P21">
        <v>0.07985683020954282</v>
      </c>
      <c r="Q21">
        <v>0.02846801729768</v>
      </c>
      <c r="R21" t="s">
        <v>780</v>
      </c>
      <c r="S21" t="s">
        <v>786</v>
      </c>
      <c r="T21">
        <v>29704.651044</v>
      </c>
      <c r="U21" s="2">
        <v>44500</v>
      </c>
      <c r="V21" t="s">
        <v>797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384.21</v>
      </c>
      <c r="D22">
        <v>381</v>
      </c>
      <c r="E22">
        <v>1.008425196850394</v>
      </c>
      <c r="F22">
        <v>0.01634522787017516</v>
      </c>
      <c r="G22">
        <v>-0.001676573573533124</v>
      </c>
      <c r="H22">
        <v>0.08</v>
      </c>
      <c r="I22">
        <v>0.09310064385714556</v>
      </c>
      <c r="J22" t="s">
        <v>776</v>
      </c>
      <c r="K22" t="s">
        <v>777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0.289363436633725</v>
      </c>
      <c r="R22" t="s">
        <v>780</v>
      </c>
      <c r="S22" t="s">
        <v>786</v>
      </c>
      <c r="T22">
        <v>60429.793382</v>
      </c>
      <c r="U22" s="2">
        <v>44504</v>
      </c>
      <c r="V22" t="s">
        <v>801</v>
      </c>
    </row>
    <row r="23" spans="1:22">
      <c r="A23" s="1" t="s">
        <v>43</v>
      </c>
      <c r="B23">
        <f>HYPERLINK("https://www.suredividend.com/sure-analysis-PH/","Parker-Hannifin Corp.")</f>
        <v>0</v>
      </c>
      <c r="C23">
        <v>316.53</v>
      </c>
      <c r="D23">
        <v>289</v>
      </c>
      <c r="E23">
        <v>1.095259515570934</v>
      </c>
      <c r="F23">
        <v>0.01301614380943355</v>
      </c>
      <c r="G23">
        <v>-0.01803367859947513</v>
      </c>
      <c r="H23">
        <v>0.1</v>
      </c>
      <c r="I23">
        <v>0.09271582123109012</v>
      </c>
      <c r="J23" t="s">
        <v>776</v>
      </c>
      <c r="K23" t="s">
        <v>777</v>
      </c>
      <c r="L23">
        <v>17.5</v>
      </c>
      <c r="M23">
        <v>4.12</v>
      </c>
      <c r="N23">
        <v>0.2354285714285714</v>
      </c>
      <c r="O23">
        <v>65</v>
      </c>
      <c r="P23">
        <v>0.10015574926841</v>
      </c>
      <c r="Q23">
        <v>0.172605640342536</v>
      </c>
      <c r="R23" t="s">
        <v>780</v>
      </c>
      <c r="S23" t="s">
        <v>786</v>
      </c>
      <c r="T23">
        <v>40082.528691</v>
      </c>
      <c r="U23" s="2">
        <v>44508</v>
      </c>
      <c r="V23" t="s">
        <v>803</v>
      </c>
    </row>
    <row r="24" spans="1:22">
      <c r="A24" s="1" t="s">
        <v>44</v>
      </c>
      <c r="B24">
        <f>HYPERLINK("https://www.suredividend.com/sure-analysis-TNC/","Tennant Co.")</f>
        <v>0</v>
      </c>
      <c r="C24">
        <v>81.31</v>
      </c>
      <c r="D24">
        <v>82</v>
      </c>
      <c r="E24">
        <v>0.9915853658536585</v>
      </c>
      <c r="F24">
        <v>0.01229861025704095</v>
      </c>
      <c r="G24">
        <v>0.001691476343899545</v>
      </c>
      <c r="H24">
        <v>0.08</v>
      </c>
      <c r="I24">
        <v>0.09206882460788246</v>
      </c>
      <c r="J24" t="s">
        <v>776</v>
      </c>
      <c r="K24" t="s">
        <v>777</v>
      </c>
      <c r="L24">
        <v>4.3</v>
      </c>
      <c r="M24">
        <v>1</v>
      </c>
      <c r="N24">
        <v>0.2325581395348837</v>
      </c>
      <c r="O24">
        <v>49</v>
      </c>
      <c r="P24">
        <v>0.05061112176150684</v>
      </c>
      <c r="Q24">
        <v>0.169611070843267</v>
      </c>
      <c r="R24" t="s">
        <v>780</v>
      </c>
      <c r="S24" t="s">
        <v>786</v>
      </c>
      <c r="T24">
        <v>1489.570237</v>
      </c>
      <c r="U24" s="2">
        <v>44510</v>
      </c>
      <c r="V24" t="s">
        <v>798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69.84999999999999</v>
      </c>
      <c r="D25">
        <v>74</v>
      </c>
      <c r="E25">
        <v>0.9439189189189189</v>
      </c>
      <c r="F25">
        <v>0.02061560486757337</v>
      </c>
      <c r="G25">
        <v>0.01160987901676847</v>
      </c>
      <c r="H25">
        <v>0.06</v>
      </c>
      <c r="I25">
        <v>0.09034155574934455</v>
      </c>
      <c r="J25" t="s">
        <v>776</v>
      </c>
      <c r="K25" t="s">
        <v>777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0.215310449383462</v>
      </c>
      <c r="R25" t="s">
        <v>780</v>
      </c>
      <c r="S25" t="s">
        <v>789</v>
      </c>
      <c r="T25">
        <v>2250.740195</v>
      </c>
      <c r="U25" s="2">
        <v>44492</v>
      </c>
      <c r="V25" t="s">
        <v>799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29.8</v>
      </c>
      <c r="D26">
        <v>32</v>
      </c>
      <c r="E26">
        <v>0.93125</v>
      </c>
      <c r="F26">
        <v>0.02919463087248322</v>
      </c>
      <c r="G26">
        <v>0.0143474525569729</v>
      </c>
      <c r="H26">
        <v>0.05</v>
      </c>
      <c r="I26">
        <v>0.08840149871380909</v>
      </c>
      <c r="J26" t="s">
        <v>776</v>
      </c>
      <c r="K26" t="s">
        <v>776</v>
      </c>
      <c r="L26">
        <v>2</v>
      </c>
      <c r="M26">
        <v>0.87</v>
      </c>
      <c r="N26">
        <v>0.435</v>
      </c>
      <c r="O26">
        <v>30</v>
      </c>
      <c r="P26">
        <v>0.02409763832975087</v>
      </c>
      <c r="Q26">
        <v>0.177410017367696</v>
      </c>
      <c r="R26" t="s">
        <v>780</v>
      </c>
      <c r="S26" t="s">
        <v>790</v>
      </c>
      <c r="T26">
        <v>5969.688126</v>
      </c>
      <c r="U26" s="2">
        <v>44524</v>
      </c>
      <c r="V26" t="s">
        <v>802</v>
      </c>
    </row>
    <row r="27" spans="1:22">
      <c r="A27" s="1" t="s">
        <v>47</v>
      </c>
      <c r="B27">
        <f>HYPERLINK("https://www.suredividend.com/sure-analysis-CAH/","Cardinal Health, Inc.")</f>
        <v>0</v>
      </c>
      <c r="C27">
        <v>51.36</v>
      </c>
      <c r="D27">
        <v>58</v>
      </c>
      <c r="E27">
        <v>0.8855172413793103</v>
      </c>
      <c r="F27">
        <v>0.0381619937694704</v>
      </c>
      <c r="G27">
        <v>0.02461473150754578</v>
      </c>
      <c r="H27">
        <v>0.03</v>
      </c>
      <c r="I27">
        <v>0.08789967539232513</v>
      </c>
      <c r="J27" t="s">
        <v>776</v>
      </c>
      <c r="K27" t="s">
        <v>776</v>
      </c>
      <c r="L27">
        <v>5.75</v>
      </c>
      <c r="M27">
        <v>1.96</v>
      </c>
      <c r="N27">
        <v>0.3408695652173913</v>
      </c>
      <c r="O27">
        <v>34</v>
      </c>
      <c r="P27">
        <v>0.03959498820755258</v>
      </c>
      <c r="Q27">
        <v>-0.022990054712556</v>
      </c>
      <c r="R27" t="s">
        <v>780</v>
      </c>
      <c r="S27" t="s">
        <v>785</v>
      </c>
      <c r="T27">
        <v>14300.741102</v>
      </c>
      <c r="U27" s="2">
        <v>44511</v>
      </c>
      <c r="V27" t="s">
        <v>800</v>
      </c>
    </row>
    <row r="28" spans="1:22">
      <c r="A28" s="1" t="s">
        <v>48</v>
      </c>
      <c r="B28">
        <f>HYPERLINK("https://www.suredividend.com/sure-analysis-SYK/","Stryker Corp.")</f>
        <v>0</v>
      </c>
      <c r="C28">
        <v>270.42</v>
      </c>
      <c r="D28">
        <v>223</v>
      </c>
      <c r="E28">
        <v>1.212645739910314</v>
      </c>
      <c r="F28">
        <v>0.01028030471119</v>
      </c>
      <c r="G28">
        <v>-0.03782690001998634</v>
      </c>
      <c r="H28">
        <v>0.12</v>
      </c>
      <c r="I28">
        <v>0.08763081739921552</v>
      </c>
      <c r="J28" t="s">
        <v>776</v>
      </c>
      <c r="K28" t="s">
        <v>345</v>
      </c>
      <c r="L28">
        <v>9.119999999999999</v>
      </c>
      <c r="M28">
        <v>2.78</v>
      </c>
      <c r="N28">
        <v>0.3048245614035088</v>
      </c>
      <c r="O28">
        <v>28</v>
      </c>
      <c r="P28">
        <v>0.09816509304403764</v>
      </c>
      <c r="Q28">
        <v>0.142946009914763</v>
      </c>
      <c r="R28" t="s">
        <v>780</v>
      </c>
      <c r="S28" t="s">
        <v>785</v>
      </c>
      <c r="T28">
        <v>101156.074964</v>
      </c>
      <c r="U28" s="2">
        <v>44500</v>
      </c>
      <c r="V28" t="s">
        <v>797</v>
      </c>
    </row>
    <row r="29" spans="1:22">
      <c r="A29" s="1" t="s">
        <v>49</v>
      </c>
      <c r="B29">
        <f>HYPERLINK("https://www.suredividend.com/sure-analysis-MMM/","3M Co.")</f>
        <v>0</v>
      </c>
      <c r="C29">
        <v>176.7</v>
      </c>
      <c r="D29">
        <v>186</v>
      </c>
      <c r="E29">
        <v>0.95</v>
      </c>
      <c r="F29">
        <v>0.03350311262026033</v>
      </c>
      <c r="G29">
        <v>0.01031145931793609</v>
      </c>
      <c r="H29">
        <v>0.05</v>
      </c>
      <c r="I29">
        <v>0.08754238680466964</v>
      </c>
      <c r="J29" t="s">
        <v>776</v>
      </c>
      <c r="K29" t="s">
        <v>776</v>
      </c>
      <c r="L29">
        <v>9.800000000000001</v>
      </c>
      <c r="M29">
        <v>5.92</v>
      </c>
      <c r="N29">
        <v>0.6040816326530611</v>
      </c>
      <c r="O29">
        <v>63</v>
      </c>
      <c r="P29">
        <v>0.02011987338221144</v>
      </c>
      <c r="Q29">
        <v>0.034401827007719</v>
      </c>
      <c r="R29" t="s">
        <v>780</v>
      </c>
      <c r="S29" t="s">
        <v>786</v>
      </c>
      <c r="T29">
        <v>101244.335127</v>
      </c>
      <c r="U29" s="2">
        <v>44496</v>
      </c>
      <c r="V29" t="s">
        <v>797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32.28</v>
      </c>
      <c r="D30">
        <v>33</v>
      </c>
      <c r="E30">
        <v>0.9781818181818183</v>
      </c>
      <c r="F30">
        <v>0.02540272614622057</v>
      </c>
      <c r="G30">
        <v>0.004421690565231229</v>
      </c>
      <c r="H30">
        <v>0.06</v>
      </c>
      <c r="I30">
        <v>0.08736165513888317</v>
      </c>
      <c r="J30" t="s">
        <v>776</v>
      </c>
      <c r="K30" t="s">
        <v>777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-0.20744365361803</v>
      </c>
      <c r="R30" t="s">
        <v>780</v>
      </c>
      <c r="S30" t="s">
        <v>785</v>
      </c>
      <c r="T30">
        <v>18792.648565</v>
      </c>
      <c r="U30" s="2">
        <v>44503</v>
      </c>
      <c r="V30" t="s">
        <v>797</v>
      </c>
    </row>
    <row r="31" spans="1:22">
      <c r="A31" s="1" t="s">
        <v>51</v>
      </c>
      <c r="B31">
        <f>HYPERLINK("https://www.suredividend.com/sure-analysis-INTU/","Intuit Inc")</f>
        <v>0</v>
      </c>
      <c r="C31">
        <v>652.77</v>
      </c>
      <c r="D31">
        <v>462</v>
      </c>
      <c r="E31">
        <v>1.412922077922078</v>
      </c>
      <c r="F31">
        <v>0.004166858158309972</v>
      </c>
      <c r="G31">
        <v>-0.06679650263149928</v>
      </c>
      <c r="H31">
        <v>0.16</v>
      </c>
      <c r="I31">
        <v>0.08731307255170817</v>
      </c>
      <c r="J31" t="s">
        <v>776</v>
      </c>
      <c r="K31" t="s">
        <v>523</v>
      </c>
      <c r="L31">
        <v>11.56</v>
      </c>
      <c r="M31">
        <v>2.72</v>
      </c>
      <c r="N31">
        <v>0.2352941176470588</v>
      </c>
      <c r="O31">
        <v>10</v>
      </c>
      <c r="P31">
        <v>0.1598810174248351</v>
      </c>
      <c r="Q31">
        <v>0.676988632691451</v>
      </c>
      <c r="R31" t="s">
        <v>780</v>
      </c>
      <c r="S31" t="s">
        <v>787</v>
      </c>
      <c r="T31">
        <v>174213.141864</v>
      </c>
      <c r="U31" s="2">
        <v>44520</v>
      </c>
      <c r="V31" t="s">
        <v>796</v>
      </c>
    </row>
    <row r="32" spans="1:22">
      <c r="A32" s="1" t="s">
        <v>52</v>
      </c>
      <c r="B32">
        <f>HYPERLINK("https://www.suredividend.com/sure-analysis-WSM/","Williams-Sonoma, Inc.")</f>
        <v>0</v>
      </c>
      <c r="C32">
        <v>168.61</v>
      </c>
      <c r="D32">
        <v>216</v>
      </c>
      <c r="E32">
        <v>0.7806018518518519</v>
      </c>
      <c r="F32">
        <v>0.01684360358223118</v>
      </c>
      <c r="G32">
        <v>0.05078553221192728</v>
      </c>
      <c r="H32">
        <v>0.02</v>
      </c>
      <c r="I32">
        <v>0.08663689569289024</v>
      </c>
      <c r="J32" t="s">
        <v>776</v>
      </c>
      <c r="K32" t="s">
        <v>777</v>
      </c>
      <c r="L32">
        <v>13.5</v>
      </c>
      <c r="M32">
        <v>2.84</v>
      </c>
      <c r="N32">
        <v>0.2103703703703703</v>
      </c>
      <c r="O32">
        <v>15</v>
      </c>
      <c r="P32">
        <v>0.05996872493653238</v>
      </c>
      <c r="Q32">
        <v>0.592968912781746</v>
      </c>
      <c r="R32" t="s">
        <v>780</v>
      </c>
      <c r="S32" t="s">
        <v>788</v>
      </c>
      <c r="T32">
        <v>12326.39553</v>
      </c>
      <c r="U32" s="2">
        <v>44520</v>
      </c>
      <c r="V32" t="s">
        <v>800</v>
      </c>
    </row>
    <row r="33" spans="1:22">
      <c r="A33" s="1" t="s">
        <v>53</v>
      </c>
      <c r="B33">
        <f>HYPERLINK("https://www.suredividend.com/sure-analysis-JW.A/","John Wiley &amp; Sons Inc.")</f>
        <v>0</v>
      </c>
      <c r="C33">
        <v>55.99</v>
      </c>
      <c r="D33">
        <v>62</v>
      </c>
      <c r="E33">
        <v>0.9030645161290323</v>
      </c>
      <c r="F33">
        <v>0.02464725843900696</v>
      </c>
      <c r="G33">
        <v>0.02060159896417235</v>
      </c>
      <c r="H33">
        <v>0.045</v>
      </c>
      <c r="I33">
        <v>0.0865947283692341</v>
      </c>
      <c r="J33" t="s">
        <v>776</v>
      </c>
      <c r="K33" t="s">
        <v>777</v>
      </c>
      <c r="L33">
        <v>4.12</v>
      </c>
      <c r="M33">
        <v>1.38</v>
      </c>
      <c r="N33">
        <v>0.3349514563106796</v>
      </c>
      <c r="O33">
        <v>28</v>
      </c>
      <c r="P33">
        <v>0.03002598081465924</v>
      </c>
      <c r="Q33">
        <v>0.257198327969317</v>
      </c>
      <c r="R33" t="s">
        <v>780</v>
      </c>
      <c r="S33" t="s">
        <v>784</v>
      </c>
      <c r="T33">
        <v>3089.16426</v>
      </c>
      <c r="U33" s="2">
        <v>44545</v>
      </c>
      <c r="V33" t="s">
        <v>798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71.42</v>
      </c>
      <c r="D34">
        <v>64</v>
      </c>
      <c r="E34">
        <v>1.1159375</v>
      </c>
      <c r="F34">
        <v>0.008541024922990758</v>
      </c>
      <c r="G34">
        <v>-0.02170006284850634</v>
      </c>
      <c r="H34">
        <v>0.1</v>
      </c>
      <c r="I34">
        <v>0.08584537408073056</v>
      </c>
      <c r="J34" t="s">
        <v>776</v>
      </c>
      <c r="K34" t="s">
        <v>523</v>
      </c>
      <c r="L34">
        <v>3.06</v>
      </c>
      <c r="M34">
        <v>0.61</v>
      </c>
      <c r="N34">
        <v>0.1993464052287582</v>
      </c>
      <c r="O34">
        <v>5</v>
      </c>
      <c r="P34">
        <v>0.1505753231079818</v>
      </c>
      <c r="Q34">
        <v>0.043628810892994</v>
      </c>
      <c r="R34" t="s">
        <v>780</v>
      </c>
      <c r="S34" t="s">
        <v>786</v>
      </c>
      <c r="T34">
        <v>66232.104251</v>
      </c>
      <c r="U34" s="2">
        <v>44491</v>
      </c>
      <c r="V34" t="s">
        <v>804</v>
      </c>
    </row>
    <row r="35" spans="1:22">
      <c r="A35" s="1" t="s">
        <v>55</v>
      </c>
      <c r="B35">
        <f>HYPERLINK("https://www.suredividend.com/sure-analysis-UGI/","UGI Corp.")</f>
        <v>0</v>
      </c>
      <c r="C35">
        <v>45.7</v>
      </c>
      <c r="D35">
        <v>49.9</v>
      </c>
      <c r="E35">
        <v>0.9158316633266534</v>
      </c>
      <c r="F35">
        <v>0.03063457330415754</v>
      </c>
      <c r="G35">
        <v>0.01774005924718614</v>
      </c>
      <c r="H35">
        <v>0.04</v>
      </c>
      <c r="I35">
        <v>0.08521842130427837</v>
      </c>
      <c r="J35" t="s">
        <v>776</v>
      </c>
      <c r="K35" t="s">
        <v>776</v>
      </c>
      <c r="L35">
        <v>3.22</v>
      </c>
      <c r="M35">
        <v>1.4</v>
      </c>
      <c r="N35">
        <v>0.4347826086956521</v>
      </c>
      <c r="O35">
        <v>34</v>
      </c>
      <c r="P35">
        <v>0.04801873431401682</v>
      </c>
      <c r="Q35">
        <v>0.340253558299556</v>
      </c>
      <c r="R35" t="s">
        <v>780</v>
      </c>
      <c r="S35" t="s">
        <v>792</v>
      </c>
      <c r="T35">
        <v>9519.587122999999</v>
      </c>
      <c r="U35" s="2">
        <v>44521</v>
      </c>
      <c r="V35" t="s">
        <v>805</v>
      </c>
    </row>
    <row r="36" spans="1:22">
      <c r="A36" s="1" t="s">
        <v>56</v>
      </c>
      <c r="B36">
        <f>HYPERLINK("https://www.suredividend.com/sure-analysis-ATO/","Atmos Energy Corp.")</f>
        <v>0</v>
      </c>
      <c r="C36">
        <v>104.06</v>
      </c>
      <c r="D36">
        <v>104</v>
      </c>
      <c r="E36">
        <v>1.000576923076923</v>
      </c>
      <c r="F36">
        <v>0.0261387660964828</v>
      </c>
      <c r="G36">
        <v>-0.0001153446914464729</v>
      </c>
      <c r="H36">
        <v>0.06</v>
      </c>
      <c r="I36">
        <v>0.08492786483297232</v>
      </c>
      <c r="J36" t="s">
        <v>776</v>
      </c>
      <c r="K36" t="s">
        <v>777</v>
      </c>
      <c r="L36">
        <v>5.45</v>
      </c>
      <c r="M36">
        <v>2.72</v>
      </c>
      <c r="N36">
        <v>0.4990825688073395</v>
      </c>
      <c r="O36">
        <v>38</v>
      </c>
      <c r="P36">
        <v>0.0801851873035635</v>
      </c>
      <c r="Q36">
        <v>0.129084730263823</v>
      </c>
      <c r="R36" t="s">
        <v>780</v>
      </c>
      <c r="S36" t="s">
        <v>792</v>
      </c>
      <c r="T36">
        <v>13632.808997</v>
      </c>
      <c r="U36" s="2">
        <v>44524</v>
      </c>
      <c r="V36" t="s">
        <v>802</v>
      </c>
    </row>
    <row r="37" spans="1:22">
      <c r="A37" s="1" t="s">
        <v>57</v>
      </c>
      <c r="B37">
        <f>HYPERLINK("https://www.suredividend.com/sure-analysis-WMT/","Walmart Inc")</f>
        <v>0</v>
      </c>
      <c r="C37">
        <v>140.76</v>
      </c>
      <c r="D37">
        <v>154</v>
      </c>
      <c r="E37">
        <v>0.914025974025974</v>
      </c>
      <c r="F37">
        <v>0.01562944018186985</v>
      </c>
      <c r="G37">
        <v>0.01814185786426314</v>
      </c>
      <c r="H37">
        <v>0.05</v>
      </c>
      <c r="I37">
        <v>0.08259331986737317</v>
      </c>
      <c r="J37" t="s">
        <v>776</v>
      </c>
      <c r="K37" t="s">
        <v>777</v>
      </c>
      <c r="L37">
        <v>6.4</v>
      </c>
      <c r="M37">
        <v>2.2</v>
      </c>
      <c r="N37">
        <v>0.34375</v>
      </c>
      <c r="O37">
        <v>48</v>
      </c>
      <c r="P37">
        <v>0.05016303610438722</v>
      </c>
      <c r="Q37">
        <v>-0.012486044613344</v>
      </c>
      <c r="R37" t="s">
        <v>780</v>
      </c>
      <c r="S37" t="s">
        <v>791</v>
      </c>
      <c r="T37">
        <v>386928.306106</v>
      </c>
      <c r="U37" s="2">
        <v>44534</v>
      </c>
      <c r="V37" t="s">
        <v>802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43.61</v>
      </c>
      <c r="D38">
        <v>48</v>
      </c>
      <c r="E38">
        <v>0.9085416666666667</v>
      </c>
      <c r="F38">
        <v>0.03668883283650539</v>
      </c>
      <c r="G38">
        <v>0.01936807991220491</v>
      </c>
      <c r="H38">
        <v>0.03</v>
      </c>
      <c r="I38">
        <v>0.0813104790088468</v>
      </c>
      <c r="J38" t="s">
        <v>776</v>
      </c>
      <c r="K38" t="s">
        <v>776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0.209874816420728</v>
      </c>
      <c r="R38" t="s">
        <v>780</v>
      </c>
      <c r="S38" t="s">
        <v>789</v>
      </c>
      <c r="T38">
        <v>771.713253</v>
      </c>
      <c r="U38" s="2">
        <v>44490</v>
      </c>
      <c r="V38" t="s">
        <v>803</v>
      </c>
    </row>
    <row r="39" spans="1:22">
      <c r="A39" s="1" t="s">
        <v>59</v>
      </c>
      <c r="B39">
        <f>HYPERLINK("https://www.suredividend.com/sure-analysis-MATW/","Matthews International Corp.")</f>
        <v>0</v>
      </c>
      <c r="C39">
        <v>36.4</v>
      </c>
      <c r="D39">
        <v>42</v>
      </c>
      <c r="E39">
        <v>0.8666666666666666</v>
      </c>
      <c r="F39">
        <v>0.02417582417582418</v>
      </c>
      <c r="G39">
        <v>0.02903366107118788</v>
      </c>
      <c r="H39">
        <v>0.03</v>
      </c>
      <c r="I39">
        <v>0.08122030012636383</v>
      </c>
      <c r="J39" t="s">
        <v>776</v>
      </c>
      <c r="K39" t="s">
        <v>777</v>
      </c>
      <c r="L39">
        <v>2.94</v>
      </c>
      <c r="M39">
        <v>0.88</v>
      </c>
      <c r="N39">
        <v>0.2993197278911565</v>
      </c>
      <c r="O39">
        <v>28</v>
      </c>
      <c r="P39">
        <v>0.04941452284458392</v>
      </c>
      <c r="Q39">
        <v>0.302840140457324</v>
      </c>
      <c r="R39" t="s">
        <v>780</v>
      </c>
      <c r="S39" t="s">
        <v>786</v>
      </c>
      <c r="T39">
        <v>1124.427102</v>
      </c>
      <c r="U39" s="2">
        <v>44532</v>
      </c>
      <c r="V39" t="s">
        <v>795</v>
      </c>
    </row>
    <row r="40" spans="1:22">
      <c r="A40" s="1" t="s">
        <v>60</v>
      </c>
      <c r="B40">
        <f>HYPERLINK("https://www.suredividend.com/sure-analysis-NIDB/","Northeast Indiana Bancorp Inc.")</f>
        <v>0</v>
      </c>
      <c r="C40">
        <v>47</v>
      </c>
      <c r="D40">
        <v>54</v>
      </c>
      <c r="E40">
        <v>0.8703703703703703</v>
      </c>
      <c r="F40">
        <v>0.02553191489361702</v>
      </c>
      <c r="G40">
        <v>0.02815639324725039</v>
      </c>
      <c r="H40">
        <v>0.03</v>
      </c>
      <c r="I40">
        <v>0.08031639016689662</v>
      </c>
      <c r="J40" t="s">
        <v>776</v>
      </c>
      <c r="K40" t="s">
        <v>776</v>
      </c>
      <c r="L40">
        <v>6</v>
      </c>
      <c r="M40">
        <v>1.2</v>
      </c>
      <c r="N40">
        <v>0.2</v>
      </c>
      <c r="O40">
        <v>27</v>
      </c>
      <c r="P40">
        <v>0.02983277847878951</v>
      </c>
      <c r="Q40">
        <v>0.209781209781209</v>
      </c>
      <c r="R40" t="s">
        <v>780</v>
      </c>
      <c r="S40" t="s">
        <v>789</v>
      </c>
      <c r="T40">
        <v>56.655445</v>
      </c>
      <c r="U40" s="2">
        <v>44503</v>
      </c>
      <c r="V40" t="s">
        <v>797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62.49</v>
      </c>
      <c r="D41">
        <v>77</v>
      </c>
      <c r="E41">
        <v>0.8115584415584416</v>
      </c>
      <c r="F41">
        <v>0.03072491598655785</v>
      </c>
      <c r="G41">
        <v>0.04264398012128012</v>
      </c>
      <c r="H41">
        <v>0.01</v>
      </c>
      <c r="I41">
        <v>0.07984998856994086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0.377434422483083</v>
      </c>
      <c r="R41" t="s">
        <v>780</v>
      </c>
      <c r="S41" t="s">
        <v>789</v>
      </c>
      <c r="T41">
        <v>51966.876724</v>
      </c>
      <c r="U41" s="2">
        <v>44511</v>
      </c>
      <c r="V41" t="s">
        <v>800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169.67</v>
      </c>
      <c r="D42">
        <v>167</v>
      </c>
      <c r="E42">
        <v>1.015988023952096</v>
      </c>
      <c r="F42">
        <v>0.02498968586078859</v>
      </c>
      <c r="G42">
        <v>-0.003167285861444991</v>
      </c>
      <c r="H42">
        <v>0.06</v>
      </c>
      <c r="I42">
        <v>0.07957232568801564</v>
      </c>
      <c r="J42" t="s">
        <v>776</v>
      </c>
      <c r="K42" t="s">
        <v>776</v>
      </c>
      <c r="L42">
        <v>9.800000000000001</v>
      </c>
      <c r="M42">
        <v>4.24</v>
      </c>
      <c r="N42">
        <v>0.4326530612244898</v>
      </c>
      <c r="O42">
        <v>59</v>
      </c>
      <c r="P42">
        <v>0.05984764821935884</v>
      </c>
      <c r="Q42">
        <v>0.131306149262482</v>
      </c>
      <c r="R42" t="s">
        <v>780</v>
      </c>
      <c r="S42" t="s">
        <v>785</v>
      </c>
      <c r="T42">
        <v>442934.440034</v>
      </c>
      <c r="U42" s="2">
        <v>44489</v>
      </c>
      <c r="V42" t="s">
        <v>797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253.7</v>
      </c>
      <c r="D43">
        <v>251</v>
      </c>
      <c r="E43">
        <v>1.010756972111554</v>
      </c>
      <c r="F43">
        <v>0.01261332282223098</v>
      </c>
      <c r="G43">
        <v>-0.002137617529228253</v>
      </c>
      <c r="H43">
        <v>0.07000000000000001</v>
      </c>
      <c r="I43">
        <v>0.07940107203204461</v>
      </c>
      <c r="J43" t="s">
        <v>776</v>
      </c>
      <c r="K43" t="s">
        <v>777</v>
      </c>
      <c r="L43">
        <v>11.94</v>
      </c>
      <c r="M43">
        <v>3.2</v>
      </c>
      <c r="N43">
        <v>0.2680067001675042</v>
      </c>
      <c r="O43">
        <v>59</v>
      </c>
      <c r="P43">
        <v>0.07008745458377241</v>
      </c>
      <c r="Q43">
        <v>0.5530154606045511</v>
      </c>
      <c r="R43" t="s">
        <v>780</v>
      </c>
      <c r="S43" t="s">
        <v>788</v>
      </c>
      <c r="T43">
        <v>168497.434497</v>
      </c>
      <c r="U43" s="2">
        <v>44532</v>
      </c>
      <c r="V43" t="s">
        <v>795</v>
      </c>
    </row>
    <row r="44" spans="1:22">
      <c r="A44" s="1" t="s">
        <v>64</v>
      </c>
      <c r="B44">
        <f>HYPERLINK("https://www.suredividend.com/sure-analysis-SEIC/","SEI Investments Co.")</f>
        <v>0</v>
      </c>
      <c r="C44">
        <v>62</v>
      </c>
      <c r="D44">
        <v>64</v>
      </c>
      <c r="E44">
        <v>0.96875</v>
      </c>
      <c r="F44">
        <v>0.01290322580645161</v>
      </c>
      <c r="G44">
        <v>0.006369941997027784</v>
      </c>
      <c r="H44">
        <v>0.06</v>
      </c>
      <c r="I44">
        <v>0.07853134390828198</v>
      </c>
      <c r="J44" t="s">
        <v>776</v>
      </c>
      <c r="K44" t="s">
        <v>777</v>
      </c>
      <c r="L44">
        <v>3.75</v>
      </c>
      <c r="M44">
        <v>0.8</v>
      </c>
      <c r="N44">
        <v>0.2133333333333333</v>
      </c>
      <c r="O44">
        <v>31</v>
      </c>
      <c r="P44">
        <v>0.06381792112252427</v>
      </c>
      <c r="Q44">
        <v>0.08919265699929001</v>
      </c>
      <c r="R44" t="s">
        <v>780</v>
      </c>
      <c r="S44" t="s">
        <v>789</v>
      </c>
      <c r="T44">
        <v>8475.923375</v>
      </c>
      <c r="U44" s="2">
        <v>44493</v>
      </c>
      <c r="V44" t="s">
        <v>802</v>
      </c>
    </row>
    <row r="45" spans="1:22">
      <c r="A45" s="1" t="s">
        <v>65</v>
      </c>
      <c r="B45">
        <f>HYPERLINK("https://www.suredividend.com/sure-analysis-EMR/","Emerson Electric Co.")</f>
        <v>0</v>
      </c>
      <c r="C45">
        <v>92.17</v>
      </c>
      <c r="D45">
        <v>92</v>
      </c>
      <c r="E45">
        <v>1.001847826086957</v>
      </c>
      <c r="F45">
        <v>0.0223500054247586</v>
      </c>
      <c r="G45">
        <v>-0.0003691560364431634</v>
      </c>
      <c r="H45">
        <v>0.06</v>
      </c>
      <c r="I45">
        <v>0.07833482088205512</v>
      </c>
      <c r="J45" t="s">
        <v>776</v>
      </c>
      <c r="K45" t="s">
        <v>776</v>
      </c>
      <c r="L45">
        <v>4.85</v>
      </c>
      <c r="M45">
        <v>2.06</v>
      </c>
      <c r="N45">
        <v>0.4247422680412372</v>
      </c>
      <c r="O45">
        <v>65</v>
      </c>
      <c r="P45">
        <v>0.03016344758557654</v>
      </c>
      <c r="Q45">
        <v>0.166122654947525</v>
      </c>
      <c r="R45" t="s">
        <v>780</v>
      </c>
      <c r="S45" t="s">
        <v>786</v>
      </c>
      <c r="T45">
        <v>54302.472</v>
      </c>
      <c r="U45" s="2">
        <v>44524</v>
      </c>
      <c r="V45" t="s">
        <v>802</v>
      </c>
    </row>
    <row r="46" spans="1:22">
      <c r="A46" s="1" t="s">
        <v>66</v>
      </c>
      <c r="B46">
        <f>HYPERLINK("https://www.suredividend.com/sure-analysis-BKH/","Black Hills Corporation")</f>
        <v>0</v>
      </c>
      <c r="C46">
        <v>69.15000000000001</v>
      </c>
      <c r="D46">
        <v>71</v>
      </c>
      <c r="E46">
        <v>0.973943661971831</v>
      </c>
      <c r="F46">
        <v>0.03441793203181489</v>
      </c>
      <c r="G46">
        <v>0.005294329477456339</v>
      </c>
      <c r="H46">
        <v>0.04</v>
      </c>
      <c r="I46">
        <v>0.07699380841874603</v>
      </c>
      <c r="J46" t="s">
        <v>776</v>
      </c>
      <c r="K46" t="s">
        <v>776</v>
      </c>
      <c r="L46">
        <v>3.92</v>
      </c>
      <c r="M46">
        <v>2.38</v>
      </c>
      <c r="N46">
        <v>0.6071428571428571</v>
      </c>
      <c r="O46">
        <v>50</v>
      </c>
      <c r="P46">
        <v>0.05016931709648742</v>
      </c>
      <c r="Q46">
        <v>0.185917467464529</v>
      </c>
      <c r="R46" t="s">
        <v>780</v>
      </c>
      <c r="S46" t="s">
        <v>792</v>
      </c>
      <c r="T46">
        <v>4360.459746</v>
      </c>
      <c r="U46" s="2">
        <v>44533</v>
      </c>
      <c r="V46" t="s">
        <v>798</v>
      </c>
    </row>
    <row r="47" spans="1:22">
      <c r="A47" s="1" t="s">
        <v>67</v>
      </c>
      <c r="B47">
        <f>HYPERLINK("https://www.suredividend.com/sure-analysis-MCK/","Mckesson Corporation")</f>
        <v>0</v>
      </c>
      <c r="C47">
        <v>245.34</v>
      </c>
      <c r="D47">
        <v>269</v>
      </c>
      <c r="E47">
        <v>0.9120446096654276</v>
      </c>
      <c r="F47">
        <v>0.007662835249042145</v>
      </c>
      <c r="G47">
        <v>0.01858384485819031</v>
      </c>
      <c r="H47">
        <v>0.05</v>
      </c>
      <c r="I47">
        <v>0.07663062383036534</v>
      </c>
      <c r="J47" t="s">
        <v>776</v>
      </c>
      <c r="K47" t="s">
        <v>345</v>
      </c>
      <c r="L47">
        <v>22.45</v>
      </c>
      <c r="M47">
        <v>1.88</v>
      </c>
      <c r="N47">
        <v>0.08374164810690422</v>
      </c>
      <c r="O47">
        <v>14</v>
      </c>
      <c r="P47">
        <v>0.0702598056972048</v>
      </c>
      <c r="Q47">
        <v>0.422759543710059</v>
      </c>
      <c r="R47" t="s">
        <v>780</v>
      </c>
      <c r="S47" t="s">
        <v>785</v>
      </c>
      <c r="T47">
        <v>36762.811929</v>
      </c>
      <c r="U47" s="2">
        <v>44524</v>
      </c>
      <c r="V47" t="s">
        <v>802</v>
      </c>
    </row>
    <row r="48" spans="1:22">
      <c r="A48" s="1" t="s">
        <v>68</v>
      </c>
      <c r="B48">
        <f>HYPERLINK("https://www.suredividend.com/sure-analysis-FMCB/","Farmers &amp; Merchants Bancorp")</f>
        <v>0</v>
      </c>
      <c r="C48">
        <v>957</v>
      </c>
      <c r="D48">
        <v>1008</v>
      </c>
      <c r="E48">
        <v>0.9494047619047619</v>
      </c>
      <c r="F48">
        <v>0.01598746081504702</v>
      </c>
      <c r="G48">
        <v>0.01043811238187864</v>
      </c>
      <c r="H48">
        <v>0.05</v>
      </c>
      <c r="I48">
        <v>0.07521461120178619</v>
      </c>
      <c r="J48" t="s">
        <v>776</v>
      </c>
      <c r="K48" t="s">
        <v>777</v>
      </c>
      <c r="L48">
        <v>84</v>
      </c>
      <c r="M48">
        <v>15.3</v>
      </c>
      <c r="N48">
        <v>0.1821428571428572</v>
      </c>
      <c r="O48">
        <v>56</v>
      </c>
      <c r="P48">
        <v>0.0500311005456211</v>
      </c>
      <c r="Q48">
        <v>0.305824329434773</v>
      </c>
      <c r="R48" t="s">
        <v>780</v>
      </c>
      <c r="S48" t="s">
        <v>789</v>
      </c>
      <c r="T48">
        <v>762.823672</v>
      </c>
      <c r="U48" s="2">
        <v>44498</v>
      </c>
      <c r="V48" t="s">
        <v>803</v>
      </c>
    </row>
    <row r="49" spans="1:22">
      <c r="A49" s="1" t="s">
        <v>69</v>
      </c>
      <c r="B49">
        <f>HYPERLINK("https://www.suredividend.com/sure-analysis-SON/","Sonoco Products Co.")</f>
        <v>0</v>
      </c>
      <c r="C49">
        <v>57.03</v>
      </c>
      <c r="D49">
        <v>56</v>
      </c>
      <c r="E49">
        <v>1.018392857142857</v>
      </c>
      <c r="F49">
        <v>0.03156233561283535</v>
      </c>
      <c r="G49">
        <v>-0.003638515389078223</v>
      </c>
      <c r="H49">
        <v>0.05</v>
      </c>
      <c r="I49">
        <v>0.07512825816141544</v>
      </c>
      <c r="J49" t="s">
        <v>776</v>
      </c>
      <c r="K49" t="s">
        <v>776</v>
      </c>
      <c r="L49">
        <v>3.52</v>
      </c>
      <c r="M49">
        <v>1.8</v>
      </c>
      <c r="N49">
        <v>0.5113636363636364</v>
      </c>
      <c r="O49">
        <v>38</v>
      </c>
      <c r="P49">
        <v>0.05024607263868264</v>
      </c>
      <c r="Q49">
        <v>-0.039480336008753</v>
      </c>
      <c r="R49" t="s">
        <v>780</v>
      </c>
      <c r="S49" t="s">
        <v>788</v>
      </c>
      <c r="T49">
        <v>5455.143568</v>
      </c>
      <c r="U49" s="2">
        <v>44491</v>
      </c>
      <c r="V49" t="s">
        <v>797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58.2</v>
      </c>
      <c r="D50">
        <v>61</v>
      </c>
      <c r="E50">
        <v>0.9540983606557377</v>
      </c>
      <c r="F50">
        <v>0.0274914089347079</v>
      </c>
      <c r="G50">
        <v>0.009441998942330665</v>
      </c>
      <c r="H50">
        <v>0.04</v>
      </c>
      <c r="I50">
        <v>0.07426046934561437</v>
      </c>
      <c r="J50" t="s">
        <v>776</v>
      </c>
      <c r="K50" t="s">
        <v>776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0.338977976144885</v>
      </c>
      <c r="R50" t="s">
        <v>780</v>
      </c>
      <c r="S50" t="s">
        <v>789</v>
      </c>
      <c r="T50">
        <v>38163.562954</v>
      </c>
      <c r="U50" s="2">
        <v>44497</v>
      </c>
      <c r="V50" t="s">
        <v>800</v>
      </c>
    </row>
    <row r="51" spans="1:22">
      <c r="A51" s="1" t="s">
        <v>71</v>
      </c>
      <c r="B51">
        <f>HYPERLINK("https://www.suredividend.com/sure-analysis-ROP/","Roper Technologies Inc")</f>
        <v>0</v>
      </c>
      <c r="C51">
        <v>488.02</v>
      </c>
      <c r="D51">
        <v>423</v>
      </c>
      <c r="E51">
        <v>1.15371158392435</v>
      </c>
      <c r="F51">
        <v>0.005081758944305561</v>
      </c>
      <c r="G51">
        <v>-0.02819182217567751</v>
      </c>
      <c r="H51">
        <v>0.1</v>
      </c>
      <c r="I51">
        <v>0.07416209927426176</v>
      </c>
      <c r="J51" t="s">
        <v>776</v>
      </c>
      <c r="K51" t="s">
        <v>345</v>
      </c>
      <c r="L51">
        <v>14.1</v>
      </c>
      <c r="M51">
        <v>2.48</v>
      </c>
      <c r="N51">
        <v>0.175886524822695</v>
      </c>
      <c r="O51">
        <v>29</v>
      </c>
      <c r="P51">
        <v>0.09977601258252333</v>
      </c>
      <c r="Q51">
        <v>0.144463481750146</v>
      </c>
      <c r="R51" t="s">
        <v>780</v>
      </c>
      <c r="S51" t="s">
        <v>786</v>
      </c>
      <c r="T51">
        <v>50427.387301</v>
      </c>
      <c r="U51" s="2">
        <v>44494</v>
      </c>
      <c r="V51" t="s">
        <v>796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153.36</v>
      </c>
      <c r="D52">
        <v>138</v>
      </c>
      <c r="E52">
        <v>1.111304347826087</v>
      </c>
      <c r="F52">
        <v>0.01773604590505999</v>
      </c>
      <c r="G52">
        <v>-0.02088569142001062</v>
      </c>
      <c r="H52">
        <v>0.08</v>
      </c>
      <c r="I52">
        <v>0.07387670121690748</v>
      </c>
      <c r="J52" t="s">
        <v>776</v>
      </c>
      <c r="K52" t="s">
        <v>777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0.163785988102298</v>
      </c>
      <c r="R52" t="s">
        <v>780</v>
      </c>
      <c r="S52" t="s">
        <v>789</v>
      </c>
      <c r="T52">
        <v>8676.413247</v>
      </c>
      <c r="U52" s="2">
        <v>44512</v>
      </c>
      <c r="V52" t="s">
        <v>803</v>
      </c>
    </row>
    <row r="53" spans="1:22">
      <c r="A53" s="1" t="s">
        <v>73</v>
      </c>
      <c r="B53">
        <f>HYPERLINK("https://www.suredividend.com/sure-analysis-BRC/","Brady Corp.")</f>
        <v>0</v>
      </c>
      <c r="C53">
        <v>54.29</v>
      </c>
      <c r="D53">
        <v>57</v>
      </c>
      <c r="E53">
        <v>0.9524561403508772</v>
      </c>
      <c r="F53">
        <v>0.01657763860747836</v>
      </c>
      <c r="G53">
        <v>0.009789854126629471</v>
      </c>
      <c r="H53">
        <v>0.05</v>
      </c>
      <c r="I53">
        <v>0.07382313003118246</v>
      </c>
      <c r="J53" t="s">
        <v>776</v>
      </c>
      <c r="K53" t="s">
        <v>777</v>
      </c>
      <c r="L53">
        <v>3</v>
      </c>
      <c r="M53">
        <v>0.9</v>
      </c>
      <c r="N53">
        <v>0.3</v>
      </c>
      <c r="O53">
        <v>36</v>
      </c>
      <c r="P53">
        <v>0.01924487649145656</v>
      </c>
      <c r="Q53">
        <v>0.096144951926505</v>
      </c>
      <c r="R53" t="s">
        <v>780</v>
      </c>
      <c r="S53" t="s">
        <v>786</v>
      </c>
      <c r="T53">
        <v>2598.145162</v>
      </c>
      <c r="U53" s="2">
        <v>44519</v>
      </c>
      <c r="V53" t="s">
        <v>797</v>
      </c>
    </row>
    <row r="54" spans="1:22">
      <c r="A54" s="1" t="s">
        <v>74</v>
      </c>
      <c r="B54">
        <f>HYPERLINK("https://www.suredividend.com/sure-analysis-V/","Visa Inc")</f>
        <v>0</v>
      </c>
      <c r="C54">
        <v>217.63</v>
      </c>
      <c r="D54">
        <v>178</v>
      </c>
      <c r="E54">
        <v>1.222640449438202</v>
      </c>
      <c r="F54">
        <v>0.006892432109543721</v>
      </c>
      <c r="G54">
        <v>-0.03940516303376451</v>
      </c>
      <c r="H54">
        <v>0.11</v>
      </c>
      <c r="I54">
        <v>0.0732249332376802</v>
      </c>
      <c r="J54" t="s">
        <v>776</v>
      </c>
      <c r="K54" t="s">
        <v>345</v>
      </c>
      <c r="L54">
        <v>7.1</v>
      </c>
      <c r="M54">
        <v>1.5</v>
      </c>
      <c r="N54">
        <v>0.2112676056338028</v>
      </c>
      <c r="O54">
        <v>14</v>
      </c>
      <c r="P54">
        <v>0.09487401536266371</v>
      </c>
      <c r="Q54">
        <v>0.044325247871769</v>
      </c>
      <c r="R54" t="s">
        <v>780</v>
      </c>
      <c r="S54" t="s">
        <v>789</v>
      </c>
      <c r="T54">
        <v>477430.48</v>
      </c>
      <c r="U54" s="2">
        <v>44497</v>
      </c>
      <c r="V54" t="s">
        <v>800</v>
      </c>
    </row>
    <row r="55" spans="1:22">
      <c r="A55" s="1" t="s">
        <v>75</v>
      </c>
      <c r="B55">
        <f>HYPERLINK("https://www.suredividend.com/sure-analysis-SYY/","Sysco Corp.")</f>
        <v>0</v>
      </c>
      <c r="C55">
        <v>77.51000000000001</v>
      </c>
      <c r="D55">
        <v>69</v>
      </c>
      <c r="E55">
        <v>1.123333333333334</v>
      </c>
      <c r="F55">
        <v>0.0242549348471165</v>
      </c>
      <c r="G55">
        <v>-0.02299166048768853</v>
      </c>
      <c r="H55">
        <v>0.07000000000000001</v>
      </c>
      <c r="I55">
        <v>0.06993990532358763</v>
      </c>
      <c r="J55" t="s">
        <v>776</v>
      </c>
      <c r="K55" t="s">
        <v>777</v>
      </c>
      <c r="L55">
        <v>3.47</v>
      </c>
      <c r="M55">
        <v>1.88</v>
      </c>
      <c r="N55">
        <v>0.5417867435158501</v>
      </c>
      <c r="O55">
        <v>51</v>
      </c>
      <c r="P55">
        <v>0.07981721406627784</v>
      </c>
      <c r="Q55">
        <v>0.083549972646194</v>
      </c>
      <c r="R55" t="s">
        <v>780</v>
      </c>
      <c r="S55" t="s">
        <v>791</v>
      </c>
      <c r="T55">
        <v>39295.108691</v>
      </c>
      <c r="U55" s="2">
        <v>44513</v>
      </c>
      <c r="V55" t="s">
        <v>799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104.43</v>
      </c>
      <c r="D56">
        <v>97</v>
      </c>
      <c r="E56">
        <v>1.07659793814433</v>
      </c>
      <c r="F56">
        <v>0.02413099683998851</v>
      </c>
      <c r="G56">
        <v>-0.0146527899377864</v>
      </c>
      <c r="H56">
        <v>0.06</v>
      </c>
      <c r="I56">
        <v>0.06865300331322932</v>
      </c>
      <c r="J56" t="s">
        <v>776</v>
      </c>
      <c r="K56" t="s">
        <v>777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-0.078182487617276</v>
      </c>
      <c r="R56" t="s">
        <v>780</v>
      </c>
      <c r="S56" t="s">
        <v>785</v>
      </c>
      <c r="T56">
        <v>138354.995974</v>
      </c>
      <c r="U56" s="2">
        <v>44525</v>
      </c>
      <c r="V56" t="s">
        <v>800</v>
      </c>
    </row>
    <row r="57" spans="1:22">
      <c r="A57" s="1" t="s">
        <v>77</v>
      </c>
      <c r="B57">
        <f>HYPERLINK("https://www.suredividend.com/sure-analysis-TGT/","Target Corp")</f>
        <v>0</v>
      </c>
      <c r="C57">
        <v>224.1</v>
      </c>
      <c r="D57">
        <v>239</v>
      </c>
      <c r="E57">
        <v>0.9376569037656903</v>
      </c>
      <c r="F57">
        <v>0.01606425702811245</v>
      </c>
      <c r="G57">
        <v>0.01295746396791086</v>
      </c>
      <c r="H57">
        <v>0.04</v>
      </c>
      <c r="I57">
        <v>0.06862522995129972</v>
      </c>
      <c r="J57" t="s">
        <v>776</v>
      </c>
      <c r="K57" t="s">
        <v>777</v>
      </c>
      <c r="L57">
        <v>13.25</v>
      </c>
      <c r="M57">
        <v>3.6</v>
      </c>
      <c r="N57">
        <v>0.2716981132075472</v>
      </c>
      <c r="O57">
        <v>54</v>
      </c>
      <c r="P57">
        <v>0.06010506010596317</v>
      </c>
      <c r="Q57">
        <v>0.274324955458303</v>
      </c>
      <c r="R57" t="s">
        <v>780</v>
      </c>
      <c r="S57" t="s">
        <v>791</v>
      </c>
      <c r="T57">
        <v>105891.177117</v>
      </c>
      <c r="U57" s="2">
        <v>44536</v>
      </c>
      <c r="V57" t="s">
        <v>802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230.62</v>
      </c>
      <c r="D58">
        <v>289</v>
      </c>
      <c r="E58">
        <v>0.7979930795847751</v>
      </c>
      <c r="F58">
        <v>0.02428236926545833</v>
      </c>
      <c r="G58">
        <v>0.04616497255444019</v>
      </c>
      <c r="H58">
        <v>0</v>
      </c>
      <c r="I58">
        <v>0.06806037003008947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0.205714131105429</v>
      </c>
      <c r="R58" t="s">
        <v>780</v>
      </c>
      <c r="S58" t="s">
        <v>788</v>
      </c>
      <c r="T58">
        <v>14250.623309</v>
      </c>
      <c r="U58" s="2">
        <v>44494</v>
      </c>
      <c r="V58" t="s">
        <v>800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29.75</v>
      </c>
      <c r="D59">
        <v>38</v>
      </c>
      <c r="E59">
        <v>0.7828947368421053</v>
      </c>
      <c r="F59">
        <v>0.01882352941176471</v>
      </c>
      <c r="G59">
        <v>0.05016931709648742</v>
      </c>
      <c r="H59">
        <v>0</v>
      </c>
      <c r="I59">
        <v>0.06703342292770875</v>
      </c>
      <c r="J59" t="s">
        <v>776</v>
      </c>
      <c r="K59" t="s">
        <v>777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0.4050316663439421</v>
      </c>
      <c r="R59" t="s">
        <v>780</v>
      </c>
      <c r="S59" t="s">
        <v>789</v>
      </c>
      <c r="T59">
        <v>141.274747</v>
      </c>
      <c r="U59" s="2">
        <v>44507</v>
      </c>
      <c r="V59" t="s">
        <v>802</v>
      </c>
    </row>
    <row r="60" spans="1:22">
      <c r="A60" s="1" t="s">
        <v>80</v>
      </c>
      <c r="B60">
        <f>HYPERLINK("https://www.suredividend.com/sure-analysis-TMO/","Thermo Fisher Scientific Inc.")</f>
        <v>0</v>
      </c>
      <c r="C60">
        <v>662.21</v>
      </c>
      <c r="D60">
        <v>561</v>
      </c>
      <c r="E60">
        <v>1.180409982174688</v>
      </c>
      <c r="F60">
        <v>0.001570498784373537</v>
      </c>
      <c r="G60">
        <v>-0.03262819498220271</v>
      </c>
      <c r="H60">
        <v>0.1</v>
      </c>
      <c r="I60">
        <v>0.06600064786844251</v>
      </c>
      <c r="J60" t="s">
        <v>776</v>
      </c>
      <c r="K60" t="s">
        <v>523</v>
      </c>
      <c r="L60">
        <v>23.37</v>
      </c>
      <c r="M60">
        <v>1.04</v>
      </c>
      <c r="N60">
        <v>0.04450149764655541</v>
      </c>
      <c r="O60">
        <v>4</v>
      </c>
      <c r="P60">
        <v>0.1498007546802556</v>
      </c>
      <c r="Q60">
        <v>0.42331271166773</v>
      </c>
      <c r="R60" t="s">
        <v>780</v>
      </c>
      <c r="S60" t="s">
        <v>785</v>
      </c>
      <c r="T60">
        <v>256407.090211</v>
      </c>
      <c r="U60" s="2">
        <v>44499</v>
      </c>
      <c r="V60" t="s">
        <v>796</v>
      </c>
    </row>
    <row r="61" spans="1:22">
      <c r="A61" s="1" t="s">
        <v>81</v>
      </c>
      <c r="B61">
        <f>HYPERLINK("https://www.suredividend.com/sure-analysis-KO/","Coca-Cola Co")</f>
        <v>0</v>
      </c>
      <c r="C61">
        <v>58.65</v>
      </c>
      <c r="D61">
        <v>53</v>
      </c>
      <c r="E61">
        <v>1.106603773584906</v>
      </c>
      <c r="F61">
        <v>0.02864450127877238</v>
      </c>
      <c r="G61">
        <v>-0.02005529493209135</v>
      </c>
      <c r="H61">
        <v>0.06</v>
      </c>
      <c r="I61">
        <v>0.06505945583209938</v>
      </c>
      <c r="J61" t="s">
        <v>776</v>
      </c>
      <c r="K61" t="s">
        <v>777</v>
      </c>
      <c r="L61">
        <v>2.3</v>
      </c>
      <c r="M61">
        <v>1.68</v>
      </c>
      <c r="N61">
        <v>0.7304347826086957</v>
      </c>
      <c r="O61">
        <v>59</v>
      </c>
      <c r="P61">
        <v>0.03959498820755258</v>
      </c>
      <c r="Q61">
        <v>0.123792868489982</v>
      </c>
      <c r="R61" t="s">
        <v>780</v>
      </c>
      <c r="S61" t="s">
        <v>791</v>
      </c>
      <c r="T61">
        <v>251476.64614</v>
      </c>
      <c r="U61" s="2">
        <v>44512</v>
      </c>
      <c r="V61" t="s">
        <v>802</v>
      </c>
    </row>
    <row r="62" spans="1:22">
      <c r="A62" s="1" t="s">
        <v>82</v>
      </c>
      <c r="B62">
        <f>HYPERLINK("https://www.suredividend.com/sure-analysis-BEN/","Franklin Resources, Inc.")</f>
        <v>0</v>
      </c>
      <c r="C62">
        <v>34.05</v>
      </c>
      <c r="D62">
        <v>33</v>
      </c>
      <c r="E62">
        <v>1.031818181818182</v>
      </c>
      <c r="F62">
        <v>0.03406754772393539</v>
      </c>
      <c r="G62">
        <v>-0.006244913191617352</v>
      </c>
      <c r="H62">
        <v>0.04</v>
      </c>
      <c r="I62">
        <v>0.0644761343239113</v>
      </c>
      <c r="J62" t="s">
        <v>776</v>
      </c>
      <c r="K62" t="s">
        <v>776</v>
      </c>
      <c r="L62">
        <v>3.3</v>
      </c>
      <c r="M62">
        <v>1.16</v>
      </c>
      <c r="N62">
        <v>0.3515151515151515</v>
      </c>
      <c r="O62">
        <v>42</v>
      </c>
      <c r="P62">
        <v>0.03232437953530787</v>
      </c>
      <c r="Q62">
        <v>0.400371253420266</v>
      </c>
      <c r="R62" t="s">
        <v>780</v>
      </c>
      <c r="S62" t="s">
        <v>789</v>
      </c>
      <c r="T62">
        <v>16805.386829</v>
      </c>
      <c r="U62" s="2">
        <v>44507</v>
      </c>
      <c r="V62" t="s">
        <v>800</v>
      </c>
    </row>
    <row r="63" spans="1:22">
      <c r="A63" s="1" t="s">
        <v>83</v>
      </c>
      <c r="B63">
        <f>HYPERLINK("https://www.suredividend.com/sure-analysis-ANTM/","Anthem Inc")</f>
        <v>0</v>
      </c>
      <c r="C63">
        <v>459.52</v>
      </c>
      <c r="D63">
        <v>388</v>
      </c>
      <c r="E63">
        <v>1.184329896907216</v>
      </c>
      <c r="F63">
        <v>0.009836350974930361</v>
      </c>
      <c r="G63">
        <v>-0.03326940911399079</v>
      </c>
      <c r="H63">
        <v>0.09</v>
      </c>
      <c r="I63">
        <v>0.06394133321167339</v>
      </c>
      <c r="J63" t="s">
        <v>776</v>
      </c>
      <c r="K63" t="s">
        <v>345</v>
      </c>
      <c r="L63">
        <v>25.85</v>
      </c>
      <c r="M63">
        <v>4.52</v>
      </c>
      <c r="N63">
        <v>0.1748549323017408</v>
      </c>
      <c r="O63">
        <v>11</v>
      </c>
      <c r="P63">
        <v>0.0898563876885603</v>
      </c>
      <c r="Q63">
        <v>0.494290865187557</v>
      </c>
      <c r="R63" t="s">
        <v>780</v>
      </c>
      <c r="S63" t="s">
        <v>785</v>
      </c>
      <c r="T63">
        <v>110607.505</v>
      </c>
      <c r="U63" s="2">
        <v>44490</v>
      </c>
      <c r="V63" t="s">
        <v>797</v>
      </c>
    </row>
    <row r="64" spans="1:22">
      <c r="A64" s="1" t="s">
        <v>84</v>
      </c>
      <c r="B64">
        <f>HYPERLINK("https://www.suredividend.com/sure-analysis-VFC/","VF Corp.")</f>
        <v>0</v>
      </c>
      <c r="C64">
        <v>71.08</v>
      </c>
      <c r="D64">
        <v>61</v>
      </c>
      <c r="E64">
        <v>1.165245901639344</v>
      </c>
      <c r="F64">
        <v>0.02813731007315701</v>
      </c>
      <c r="G64">
        <v>-0.03012339587838264</v>
      </c>
      <c r="H64">
        <v>0.07000000000000001</v>
      </c>
      <c r="I64">
        <v>0.06367981242904852</v>
      </c>
      <c r="J64" t="s">
        <v>776</v>
      </c>
      <c r="K64" t="s">
        <v>777</v>
      </c>
      <c r="L64">
        <v>3.2</v>
      </c>
      <c r="M64">
        <v>2</v>
      </c>
      <c r="N64">
        <v>0.625</v>
      </c>
      <c r="O64">
        <v>49</v>
      </c>
      <c r="P64">
        <v>0.03886011825408464</v>
      </c>
      <c r="Q64">
        <v>-0.1507630904153</v>
      </c>
      <c r="R64" t="s">
        <v>780</v>
      </c>
      <c r="S64" t="s">
        <v>788</v>
      </c>
      <c r="T64">
        <v>27278.728929</v>
      </c>
      <c r="U64" s="2">
        <v>44493</v>
      </c>
      <c r="V64" t="s">
        <v>800</v>
      </c>
    </row>
    <row r="65" spans="1:22">
      <c r="A65" s="1" t="s">
        <v>85</v>
      </c>
      <c r="B65">
        <f>HYPERLINK("https://www.suredividend.com/sure-analysis-ABC/","Amerisource Bergen Corp.")</f>
        <v>0</v>
      </c>
      <c r="C65">
        <v>131.9</v>
      </c>
      <c r="D65">
        <v>138</v>
      </c>
      <c r="E65">
        <v>0.9557971014492754</v>
      </c>
      <c r="F65">
        <v>0.01394996209249431</v>
      </c>
      <c r="G65">
        <v>0.00908292677632172</v>
      </c>
      <c r="H65">
        <v>0.04</v>
      </c>
      <c r="I65">
        <v>0.06323064113487065</v>
      </c>
      <c r="J65" t="s">
        <v>776</v>
      </c>
      <c r="K65" t="s">
        <v>777</v>
      </c>
      <c r="L65">
        <v>10.65</v>
      </c>
      <c r="M65">
        <v>1.84</v>
      </c>
      <c r="N65">
        <v>0.1727699530516432</v>
      </c>
      <c r="O65">
        <v>18</v>
      </c>
      <c r="P65">
        <v>0.06994234673120125</v>
      </c>
      <c r="Q65">
        <v>0.356203008502836</v>
      </c>
      <c r="R65" t="s">
        <v>780</v>
      </c>
      <c r="S65" t="s">
        <v>785</v>
      </c>
      <c r="T65">
        <v>26959.51425</v>
      </c>
      <c r="U65" s="2">
        <v>44511</v>
      </c>
      <c r="V65" t="s">
        <v>800</v>
      </c>
    </row>
    <row r="66" spans="1:22">
      <c r="A66" s="1" t="s">
        <v>86</v>
      </c>
      <c r="B66">
        <f>HYPERLINK("https://www.suredividend.com/sure-analysis-NWN/","Northwest Natural Holding Co")</f>
        <v>0</v>
      </c>
      <c r="C66">
        <v>48.35</v>
      </c>
      <c r="D66">
        <v>50.8</v>
      </c>
      <c r="E66">
        <v>0.9517716535433072</v>
      </c>
      <c r="F66">
        <v>0.03971044467425026</v>
      </c>
      <c r="G66">
        <v>0.009935054728850146</v>
      </c>
      <c r="H66">
        <v>0.016</v>
      </c>
      <c r="I66">
        <v>0.0619639632374358</v>
      </c>
      <c r="J66" t="s">
        <v>776</v>
      </c>
      <c r="K66" t="s">
        <v>776</v>
      </c>
      <c r="L66">
        <v>2.54</v>
      </c>
      <c r="M66">
        <v>1.92</v>
      </c>
      <c r="N66">
        <v>0.7559055118110236</v>
      </c>
      <c r="O66">
        <v>66</v>
      </c>
      <c r="P66">
        <v>0.02383625553960966</v>
      </c>
      <c r="Q66">
        <v>0.09801388664621301</v>
      </c>
      <c r="R66" t="s">
        <v>780</v>
      </c>
      <c r="S66" t="s">
        <v>792</v>
      </c>
      <c r="T66">
        <v>1480.879018</v>
      </c>
      <c r="U66" s="2">
        <v>44509</v>
      </c>
      <c r="V66" t="s">
        <v>805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156.04</v>
      </c>
      <c r="D67">
        <v>147</v>
      </c>
      <c r="E67">
        <v>1.061496598639456</v>
      </c>
      <c r="F67">
        <v>0.02255831837990259</v>
      </c>
      <c r="G67">
        <v>-0.01186500857645623</v>
      </c>
      <c r="H67">
        <v>0.05</v>
      </c>
      <c r="I67">
        <v>0.06047121778974174</v>
      </c>
      <c r="J67" t="s">
        <v>776</v>
      </c>
      <c r="K67" t="s">
        <v>777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0.141955435309129</v>
      </c>
      <c r="R67" t="s">
        <v>780</v>
      </c>
      <c r="S67" t="s">
        <v>789</v>
      </c>
      <c r="T67">
        <v>38045.243445</v>
      </c>
      <c r="U67" s="2">
        <v>44492</v>
      </c>
      <c r="V67" t="s">
        <v>802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134.41</v>
      </c>
      <c r="D68">
        <v>127</v>
      </c>
      <c r="E68">
        <v>1.058346456692913</v>
      </c>
      <c r="F68">
        <v>0.04196116360389852</v>
      </c>
      <c r="G68">
        <v>-0.01127747581858063</v>
      </c>
      <c r="H68">
        <v>0.03</v>
      </c>
      <c r="I68">
        <v>0.06009979399816534</v>
      </c>
      <c r="J68" t="s">
        <v>776</v>
      </c>
      <c r="K68" t="s">
        <v>776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0.350704022376078</v>
      </c>
      <c r="R68" t="s">
        <v>780</v>
      </c>
      <c r="S68" t="s">
        <v>785</v>
      </c>
      <c r="T68">
        <v>235193.391554</v>
      </c>
      <c r="U68" s="2">
        <v>44504</v>
      </c>
      <c r="V68" t="s">
        <v>798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224.69</v>
      </c>
      <c r="D69">
        <v>178</v>
      </c>
      <c r="E69">
        <v>1.262303370786517</v>
      </c>
      <c r="F69">
        <v>0.007209933686412391</v>
      </c>
      <c r="G69">
        <v>-0.04551907931828325</v>
      </c>
      <c r="H69">
        <v>0.1</v>
      </c>
      <c r="I69">
        <v>0.05755330440642803</v>
      </c>
      <c r="J69" t="s">
        <v>776</v>
      </c>
      <c r="K69" t="s">
        <v>345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0.05569679422665001</v>
      </c>
      <c r="R69" t="s">
        <v>780</v>
      </c>
      <c r="S69" t="s">
        <v>791</v>
      </c>
      <c r="T69">
        <v>51283.60053</v>
      </c>
      <c r="U69" s="2">
        <v>44541</v>
      </c>
      <c r="V69" t="s">
        <v>801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63.88</v>
      </c>
      <c r="D70">
        <v>71</v>
      </c>
      <c r="E70">
        <v>0.899718309859155</v>
      </c>
      <c r="F70">
        <v>0.0284909204758923</v>
      </c>
      <c r="G70">
        <v>0.0213596304811523</v>
      </c>
      <c r="H70">
        <v>0.01</v>
      </c>
      <c r="I70">
        <v>0.05707624315739701</v>
      </c>
      <c r="J70" t="s">
        <v>776</v>
      </c>
      <c r="K70" t="s">
        <v>776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0.553484571000964</v>
      </c>
      <c r="R70" t="s">
        <v>780</v>
      </c>
      <c r="S70" t="s">
        <v>792</v>
      </c>
      <c r="T70">
        <v>5755.00557</v>
      </c>
      <c r="U70" s="2">
        <v>44524</v>
      </c>
      <c r="V70" t="s">
        <v>803</v>
      </c>
    </row>
    <row r="71" spans="1:22">
      <c r="A71" s="1" t="s">
        <v>91</v>
      </c>
      <c r="B71">
        <f>HYPERLINK("https://www.suredividend.com/sure-analysis-ORCL/","Oracle Corp.")</f>
        <v>0</v>
      </c>
      <c r="C71">
        <v>89.54000000000001</v>
      </c>
      <c r="D71">
        <v>75</v>
      </c>
      <c r="E71">
        <v>1.193866666666667</v>
      </c>
      <c r="F71">
        <v>0.01429528702255975</v>
      </c>
      <c r="G71">
        <v>-0.03481884305279126</v>
      </c>
      <c r="H71">
        <v>0.08</v>
      </c>
      <c r="I71">
        <v>0.05691083464813196</v>
      </c>
      <c r="J71" t="s">
        <v>776</v>
      </c>
      <c r="K71" t="s">
        <v>345</v>
      </c>
      <c r="L71">
        <v>4.7</v>
      </c>
      <c r="M71">
        <v>1.28</v>
      </c>
      <c r="N71">
        <v>0.2723404255319149</v>
      </c>
      <c r="O71">
        <v>12</v>
      </c>
      <c r="P71">
        <v>0.07056368416916192</v>
      </c>
      <c r="Q71">
        <v>0.402440358769629</v>
      </c>
      <c r="R71" t="s">
        <v>780</v>
      </c>
      <c r="S71" t="s">
        <v>787</v>
      </c>
      <c r="T71">
        <v>239592.50484</v>
      </c>
      <c r="U71" s="2">
        <v>44476</v>
      </c>
      <c r="V71" t="s">
        <v>798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133.04</v>
      </c>
      <c r="D72">
        <v>138</v>
      </c>
      <c r="E72">
        <v>0.9640579710144926</v>
      </c>
      <c r="F72">
        <v>0.008719182200841852</v>
      </c>
      <c r="G72">
        <v>0.007347632402616711</v>
      </c>
      <c r="H72">
        <v>0.04</v>
      </c>
      <c r="I72">
        <v>0.05566735054765548</v>
      </c>
      <c r="J72" t="s">
        <v>776</v>
      </c>
      <c r="K72" t="s">
        <v>345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0.394474358030971</v>
      </c>
      <c r="R72" t="s">
        <v>780</v>
      </c>
      <c r="S72" t="s">
        <v>786</v>
      </c>
      <c r="T72">
        <v>22151.243765</v>
      </c>
      <c r="U72" s="2">
        <v>44513</v>
      </c>
      <c r="V72" t="s">
        <v>799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168.74</v>
      </c>
      <c r="D73">
        <v>167</v>
      </c>
      <c r="E73">
        <v>1.010419161676647</v>
      </c>
      <c r="F73">
        <v>0.008533839042313618</v>
      </c>
      <c r="G73">
        <v>-0.002070903977441363</v>
      </c>
      <c r="H73">
        <v>0.05</v>
      </c>
      <c r="I73">
        <v>0.05537496262962383</v>
      </c>
      <c r="J73" t="s">
        <v>776</v>
      </c>
      <c r="K73" t="s">
        <v>345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0.048772355846971</v>
      </c>
      <c r="R73" t="s">
        <v>780</v>
      </c>
      <c r="S73" t="s">
        <v>789</v>
      </c>
      <c r="T73">
        <v>7715.693416</v>
      </c>
      <c r="U73" s="2">
        <v>44495</v>
      </c>
      <c r="V73" t="s">
        <v>796</v>
      </c>
    </row>
    <row r="74" spans="1:22">
      <c r="A74" s="1" t="s">
        <v>94</v>
      </c>
      <c r="B74">
        <f>HYPERLINK("https://www.suredividend.com/sure-analysis-QCOM/","Qualcomm, Inc.")</f>
        <v>0</v>
      </c>
      <c r="C74">
        <v>186.33</v>
      </c>
      <c r="D74">
        <v>162</v>
      </c>
      <c r="E74">
        <v>1.150185185185185</v>
      </c>
      <c r="F74">
        <v>0.01459775666827671</v>
      </c>
      <c r="G74">
        <v>-0.02759665052472038</v>
      </c>
      <c r="H74">
        <v>0.07000000000000001</v>
      </c>
      <c r="I74">
        <v>0.05535576193501401</v>
      </c>
      <c r="J74" t="s">
        <v>776</v>
      </c>
      <c r="K74" t="s">
        <v>345</v>
      </c>
      <c r="L74">
        <v>10.14</v>
      </c>
      <c r="M74">
        <v>2.72</v>
      </c>
      <c r="N74">
        <v>0.2682445759368836</v>
      </c>
      <c r="O74">
        <v>19</v>
      </c>
      <c r="P74">
        <v>0.06972270615977982</v>
      </c>
      <c r="Q74">
        <v>0.250811103840457</v>
      </c>
      <c r="R74" t="s">
        <v>780</v>
      </c>
      <c r="S74" t="s">
        <v>787</v>
      </c>
      <c r="T74">
        <v>204668.8</v>
      </c>
      <c r="U74" s="2">
        <v>44505</v>
      </c>
      <c r="V74" t="s">
        <v>797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68.33</v>
      </c>
      <c r="D75">
        <v>62</v>
      </c>
      <c r="E75">
        <v>1.102096774193548</v>
      </c>
      <c r="F75">
        <v>0.01536660324893897</v>
      </c>
      <c r="G75">
        <v>-0.01925511053473072</v>
      </c>
      <c r="H75">
        <v>0.06</v>
      </c>
      <c r="I75">
        <v>0.05528099246204965</v>
      </c>
      <c r="J75" t="s">
        <v>776</v>
      </c>
      <c r="K75" t="s">
        <v>777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0.08874441920576401</v>
      </c>
      <c r="R75" t="s">
        <v>780</v>
      </c>
      <c r="S75" t="s">
        <v>789</v>
      </c>
      <c r="T75">
        <v>7912.433509</v>
      </c>
      <c r="U75" s="2">
        <v>44499</v>
      </c>
      <c r="V75" t="s">
        <v>798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162.62</v>
      </c>
      <c r="D76">
        <v>159</v>
      </c>
      <c r="E76">
        <v>1.022767295597484</v>
      </c>
      <c r="F76">
        <v>0.01967777641126553</v>
      </c>
      <c r="G76">
        <v>-0.004492277113996801</v>
      </c>
      <c r="H76">
        <v>0.04</v>
      </c>
      <c r="I76">
        <v>0.05502435383180249</v>
      </c>
      <c r="J76" t="s">
        <v>776</v>
      </c>
      <c r="K76" t="s">
        <v>777</v>
      </c>
      <c r="L76">
        <v>5.88</v>
      </c>
      <c r="M76">
        <v>3.2</v>
      </c>
      <c r="N76">
        <v>0.54421768707483</v>
      </c>
      <c r="O76">
        <v>59</v>
      </c>
      <c r="P76">
        <v>0.05988502997905321</v>
      </c>
      <c r="Q76">
        <v>-0.053081397861141</v>
      </c>
      <c r="R76" t="s">
        <v>780</v>
      </c>
      <c r="S76" t="s">
        <v>791</v>
      </c>
      <c r="T76">
        <v>4464.2648</v>
      </c>
      <c r="U76" s="2">
        <v>44541</v>
      </c>
      <c r="V76" t="s">
        <v>802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307.39</v>
      </c>
      <c r="D77">
        <v>250</v>
      </c>
      <c r="E77">
        <v>1.22956</v>
      </c>
      <c r="F77">
        <v>0.01470444711929471</v>
      </c>
      <c r="G77">
        <v>-0.04048878609232953</v>
      </c>
      <c r="H77">
        <v>0.08</v>
      </c>
      <c r="I77">
        <v>0.05194682801529615</v>
      </c>
      <c r="J77" t="s">
        <v>776</v>
      </c>
      <c r="K77" t="s">
        <v>345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0.621047663992449</v>
      </c>
      <c r="R77" t="s">
        <v>780</v>
      </c>
      <c r="S77" t="s">
        <v>789</v>
      </c>
      <c r="T77">
        <v>33822.053883</v>
      </c>
      <c r="U77" s="2">
        <v>44496</v>
      </c>
      <c r="V77" t="s">
        <v>797</v>
      </c>
    </row>
    <row r="78" spans="1:22">
      <c r="A78" s="1" t="s">
        <v>98</v>
      </c>
      <c r="B78">
        <f>HYPERLINK("https://www.suredividend.com/sure-analysis-ADP/","Automatic Data Processing Inc.")</f>
        <v>0</v>
      </c>
      <c r="C78">
        <v>246.29</v>
      </c>
      <c r="D78">
        <v>196</v>
      </c>
      <c r="E78">
        <v>1.256581632653061</v>
      </c>
      <c r="F78">
        <v>0.01689065735515043</v>
      </c>
      <c r="G78">
        <v>-0.04465142857109405</v>
      </c>
      <c r="H78">
        <v>0.08</v>
      </c>
      <c r="I78">
        <v>0.05000256621020993</v>
      </c>
      <c r="J78" t="s">
        <v>776</v>
      </c>
      <c r="K78" t="s">
        <v>345</v>
      </c>
      <c r="L78">
        <v>6.75</v>
      </c>
      <c r="M78">
        <v>4.16</v>
      </c>
      <c r="N78">
        <v>0.6162962962962963</v>
      </c>
      <c r="O78">
        <v>47</v>
      </c>
      <c r="P78">
        <v>0.0799150058822331</v>
      </c>
      <c r="Q78">
        <v>0.39667464464153</v>
      </c>
      <c r="R78" t="s">
        <v>780</v>
      </c>
      <c r="S78" t="s">
        <v>786</v>
      </c>
      <c r="T78">
        <v>101974.938164</v>
      </c>
      <c r="U78" s="2">
        <v>44512</v>
      </c>
      <c r="V78" t="s">
        <v>802</v>
      </c>
    </row>
    <row r="79" spans="1:22">
      <c r="A79" s="1" t="s">
        <v>99</v>
      </c>
      <c r="B79">
        <f>HYPERLINK("https://www.suredividend.com/sure-analysis-PNR/","Pentair plc")</f>
        <v>0</v>
      </c>
      <c r="C79">
        <v>72.72</v>
      </c>
      <c r="D79">
        <v>64</v>
      </c>
      <c r="E79">
        <v>1.13625</v>
      </c>
      <c r="F79">
        <v>0.01155115511551155</v>
      </c>
      <c r="G79">
        <v>-0.02522311815170264</v>
      </c>
      <c r="H79">
        <v>0.065</v>
      </c>
      <c r="I79">
        <v>0.04941583051919096</v>
      </c>
      <c r="J79" t="s">
        <v>776</v>
      </c>
      <c r="K79" t="s">
        <v>777</v>
      </c>
      <c r="L79">
        <v>3.37</v>
      </c>
      <c r="M79">
        <v>0.84</v>
      </c>
      <c r="N79">
        <v>0.2492581602373887</v>
      </c>
      <c r="O79">
        <v>46</v>
      </c>
      <c r="P79">
        <v>0.04959293402845044</v>
      </c>
      <c r="Q79">
        <v>0.370828040189398</v>
      </c>
      <c r="R79" t="s">
        <v>780</v>
      </c>
      <c r="S79" t="s">
        <v>786</v>
      </c>
      <c r="T79">
        <v>11785.358757</v>
      </c>
      <c r="U79" s="2">
        <v>44503</v>
      </c>
      <c r="V79" t="s">
        <v>798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86.16</v>
      </c>
      <c r="D80">
        <v>81</v>
      </c>
      <c r="E80">
        <v>1.063703703703704</v>
      </c>
      <c r="F80">
        <v>0.02065923862581244</v>
      </c>
      <c r="G80">
        <v>-0.01227541047482616</v>
      </c>
      <c r="H80">
        <v>0.04</v>
      </c>
      <c r="I80">
        <v>0.04849629251546417</v>
      </c>
      <c r="J80" t="s">
        <v>776</v>
      </c>
      <c r="K80" t="s">
        <v>777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0.346589598298512</v>
      </c>
      <c r="R80" t="s">
        <v>780</v>
      </c>
      <c r="S80" t="s">
        <v>791</v>
      </c>
      <c r="T80">
        <v>31031.66992</v>
      </c>
      <c r="U80" s="2">
        <v>44515</v>
      </c>
      <c r="V80" t="s">
        <v>800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121.16</v>
      </c>
      <c r="D81">
        <v>113</v>
      </c>
      <c r="E81">
        <v>1.072212389380531</v>
      </c>
      <c r="F81">
        <v>0.01105975569494883</v>
      </c>
      <c r="G81">
        <v>-0.01384805467590533</v>
      </c>
      <c r="H81">
        <v>0.05</v>
      </c>
      <c r="I81">
        <v>0.04737769916362167</v>
      </c>
      <c r="J81" t="s">
        <v>776</v>
      </c>
      <c r="K81" t="s">
        <v>777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0.028486447128</v>
      </c>
      <c r="R81" t="s">
        <v>780</v>
      </c>
      <c r="S81" t="s">
        <v>790</v>
      </c>
      <c r="T81">
        <v>2684.964045</v>
      </c>
      <c r="U81" s="2">
        <v>44499</v>
      </c>
      <c r="V81" t="s">
        <v>802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207.13</v>
      </c>
      <c r="D82">
        <v>173</v>
      </c>
      <c r="E82">
        <v>1.19728323699422</v>
      </c>
      <c r="F82">
        <v>0.02298073673538358</v>
      </c>
      <c r="G82">
        <v>-0.03537032154733466</v>
      </c>
      <c r="H82">
        <v>0.06</v>
      </c>
      <c r="I82">
        <v>0.04648078351115381</v>
      </c>
      <c r="J82" t="s">
        <v>776</v>
      </c>
      <c r="K82" t="s">
        <v>777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0.409880667435813</v>
      </c>
      <c r="R82" t="s">
        <v>780</v>
      </c>
      <c r="S82" t="s">
        <v>786</v>
      </c>
      <c r="T82">
        <v>57154.121073</v>
      </c>
      <c r="U82" s="2">
        <v>44508</v>
      </c>
      <c r="V82" t="s">
        <v>801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43.74</v>
      </c>
      <c r="D83">
        <v>45</v>
      </c>
      <c r="E83">
        <v>0.9720000000000001</v>
      </c>
      <c r="F83">
        <v>0.01920438957475994</v>
      </c>
      <c r="G83">
        <v>0.005696056090860546</v>
      </c>
      <c r="H83">
        <v>0.02</v>
      </c>
      <c r="I83">
        <v>0.04633669616444602</v>
      </c>
      <c r="J83" t="s">
        <v>776</v>
      </c>
      <c r="K83" t="s">
        <v>777</v>
      </c>
      <c r="L83">
        <v>3.45</v>
      </c>
      <c r="M83">
        <v>0.84</v>
      </c>
      <c r="N83">
        <v>0.2434782608695652</v>
      </c>
      <c r="O83">
        <v>16</v>
      </c>
      <c r="P83">
        <v>0.07033701387905711</v>
      </c>
      <c r="Q83">
        <v>0.398368300631385</v>
      </c>
      <c r="R83" t="s">
        <v>780</v>
      </c>
      <c r="S83" t="s">
        <v>791</v>
      </c>
      <c r="T83">
        <v>31770.39292</v>
      </c>
      <c r="U83" s="2">
        <v>44534</v>
      </c>
      <c r="V83" t="s">
        <v>800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83.91</v>
      </c>
      <c r="D84">
        <v>74</v>
      </c>
      <c r="E84">
        <v>1.133918918918919</v>
      </c>
      <c r="F84">
        <v>0.02145155523775474</v>
      </c>
      <c r="G84">
        <v>-0.02482266311207515</v>
      </c>
      <c r="H84">
        <v>0.05</v>
      </c>
      <c r="I84">
        <v>0.04565622470676511</v>
      </c>
      <c r="J84" t="s">
        <v>776</v>
      </c>
      <c r="K84" t="s">
        <v>777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-0.004215755257666</v>
      </c>
      <c r="R84" t="s">
        <v>780</v>
      </c>
      <c r="S84" t="s">
        <v>791</v>
      </c>
      <c r="T84">
        <v>69779.443128</v>
      </c>
      <c r="U84" s="2">
        <v>44519</v>
      </c>
      <c r="V84" t="s">
        <v>802</v>
      </c>
    </row>
    <row r="85" spans="1:22">
      <c r="A85" s="1" t="s">
        <v>105</v>
      </c>
      <c r="B85">
        <f>HYPERLINK("https://www.suredividend.com/sure-analysis-PSBQ/","PSB Holdings Inc (WI)")</f>
        <v>0</v>
      </c>
      <c r="C85">
        <v>26.25</v>
      </c>
      <c r="D85">
        <v>30</v>
      </c>
      <c r="E85">
        <v>0.875</v>
      </c>
      <c r="F85">
        <v>0.01752380952380952</v>
      </c>
      <c r="G85">
        <v>0.02706608708935176</v>
      </c>
      <c r="H85">
        <v>0</v>
      </c>
      <c r="I85">
        <v>0.04477497968063715</v>
      </c>
      <c r="J85" t="s">
        <v>776</v>
      </c>
      <c r="K85" t="s">
        <v>777</v>
      </c>
      <c r="L85">
        <v>3</v>
      </c>
      <c r="M85">
        <v>0.46</v>
      </c>
      <c r="N85">
        <v>0.1533333333333333</v>
      </c>
      <c r="O85">
        <v>28</v>
      </c>
      <c r="P85">
        <v>0.05103901130952315</v>
      </c>
      <c r="Q85">
        <v>0.247908130878873</v>
      </c>
      <c r="R85" t="s">
        <v>780</v>
      </c>
      <c r="S85" t="s">
        <v>789</v>
      </c>
      <c r="T85">
        <v>116.185027</v>
      </c>
      <c r="U85" s="2">
        <v>44512</v>
      </c>
      <c r="V85" t="s">
        <v>802</v>
      </c>
    </row>
    <row r="86" spans="1:22">
      <c r="A86" s="1" t="s">
        <v>106</v>
      </c>
      <c r="B86">
        <f>HYPERLINK("https://www.suredividend.com/sure-analysis-EBTC/","Enterprise Bancorp, Inc.")</f>
        <v>0</v>
      </c>
      <c r="C86">
        <v>45.63</v>
      </c>
      <c r="D86">
        <v>41</v>
      </c>
      <c r="E86">
        <v>1.112926829268293</v>
      </c>
      <c r="F86">
        <v>0.01621740083278545</v>
      </c>
      <c r="G86">
        <v>-0.02117133858720621</v>
      </c>
      <c r="H86">
        <v>0.05</v>
      </c>
      <c r="I86">
        <v>0.04468002398113247</v>
      </c>
      <c r="J86" t="s">
        <v>776</v>
      </c>
      <c r="K86" t="s">
        <v>777</v>
      </c>
      <c r="L86">
        <v>3.4</v>
      </c>
      <c r="M86">
        <v>0.74</v>
      </c>
      <c r="N86">
        <v>0.2176470588235294</v>
      </c>
      <c r="O86">
        <v>27</v>
      </c>
      <c r="P86">
        <v>0.06207125806326297</v>
      </c>
      <c r="Q86">
        <v>0.8622486126166931</v>
      </c>
      <c r="R86" t="s">
        <v>780</v>
      </c>
      <c r="S86" t="s">
        <v>789</v>
      </c>
      <c r="T86">
        <v>553.731597</v>
      </c>
      <c r="U86" s="2">
        <v>44494</v>
      </c>
      <c r="V86" t="s">
        <v>803</v>
      </c>
    </row>
    <row r="87" spans="1:22">
      <c r="A87" s="1" t="s">
        <v>107</v>
      </c>
      <c r="B87">
        <f>HYPERLINK("https://www.suredividend.com/sure-analysis-GPC/","Genuine Parts Co.")</f>
        <v>0</v>
      </c>
      <c r="C87">
        <v>137.71</v>
      </c>
      <c r="D87">
        <v>114</v>
      </c>
      <c r="E87">
        <v>1.207982456140351</v>
      </c>
      <c r="F87">
        <v>0.02367293587974729</v>
      </c>
      <c r="G87">
        <v>-0.03708517173906101</v>
      </c>
      <c r="H87">
        <v>0.06</v>
      </c>
      <c r="I87">
        <v>0.04417063316431347</v>
      </c>
      <c r="J87" t="s">
        <v>776</v>
      </c>
      <c r="K87" t="s">
        <v>776</v>
      </c>
      <c r="L87">
        <v>6.7</v>
      </c>
      <c r="M87">
        <v>3.26</v>
      </c>
      <c r="N87">
        <v>0.4865671641791044</v>
      </c>
      <c r="O87">
        <v>65</v>
      </c>
      <c r="P87">
        <v>0.04019456757723883</v>
      </c>
      <c r="Q87">
        <v>0.399407446001294</v>
      </c>
      <c r="R87" t="s">
        <v>780</v>
      </c>
      <c r="S87" t="s">
        <v>788</v>
      </c>
      <c r="T87">
        <v>19279.632027</v>
      </c>
      <c r="U87" s="2">
        <v>44499</v>
      </c>
      <c r="V87" t="s">
        <v>802</v>
      </c>
    </row>
    <row r="88" spans="1:22">
      <c r="A88" s="1" t="s">
        <v>108</v>
      </c>
      <c r="B88">
        <f>HYPERLINK("https://www.suredividend.com/sure-analysis-LECO/","Lincoln Electric Holdings, Inc.")</f>
        <v>0</v>
      </c>
      <c r="C88">
        <v>139.54</v>
      </c>
      <c r="D88">
        <v>112</v>
      </c>
      <c r="E88">
        <v>1.245892857142857</v>
      </c>
      <c r="F88">
        <v>0.01605274473269314</v>
      </c>
      <c r="G88">
        <v>-0.04301779803820993</v>
      </c>
      <c r="H88">
        <v>0.07000000000000001</v>
      </c>
      <c r="I88">
        <v>0.04183495916542612</v>
      </c>
      <c r="J88" t="s">
        <v>776</v>
      </c>
      <c r="K88" t="s">
        <v>345</v>
      </c>
      <c r="L88">
        <v>6.2</v>
      </c>
      <c r="M88">
        <v>2.24</v>
      </c>
      <c r="N88">
        <v>0.3612903225806452</v>
      </c>
      <c r="O88">
        <v>26</v>
      </c>
      <c r="P88">
        <v>0.0799150058822331</v>
      </c>
      <c r="Q88">
        <v>0.176827885927427</v>
      </c>
      <c r="R88" t="s">
        <v>780</v>
      </c>
      <c r="S88" t="s">
        <v>786</v>
      </c>
      <c r="T88">
        <v>8122.682085</v>
      </c>
      <c r="U88" s="2">
        <v>44500</v>
      </c>
      <c r="V88" t="s">
        <v>798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35.49</v>
      </c>
      <c r="D89">
        <v>38</v>
      </c>
      <c r="E89">
        <v>0.9339473684210526</v>
      </c>
      <c r="F89">
        <v>0.0293040293040293</v>
      </c>
      <c r="G89">
        <v>0.01376085951655881</v>
      </c>
      <c r="H89">
        <v>0</v>
      </c>
      <c r="I89">
        <v>0.04166412545228737</v>
      </c>
      <c r="J89" t="s">
        <v>776</v>
      </c>
      <c r="K89" t="s">
        <v>776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0.227924031132039</v>
      </c>
      <c r="R89" t="s">
        <v>780</v>
      </c>
      <c r="S89" t="s">
        <v>789</v>
      </c>
      <c r="T89">
        <v>564.50477</v>
      </c>
      <c r="U89" s="2">
        <v>44518</v>
      </c>
      <c r="V89" t="s">
        <v>802</v>
      </c>
    </row>
    <row r="90" spans="1:22">
      <c r="A90" s="1" t="s">
        <v>110</v>
      </c>
      <c r="B90">
        <f>HYPERLINK("https://www.suredividend.com/sure-analysis-CAT/","Caterpillar Inc.")</f>
        <v>0</v>
      </c>
      <c r="C90">
        <v>206.38</v>
      </c>
      <c r="D90">
        <v>168</v>
      </c>
      <c r="E90">
        <v>1.228452380952381</v>
      </c>
      <c r="F90">
        <v>0.02151371256904739</v>
      </c>
      <c r="G90">
        <v>-0.04031582215393714</v>
      </c>
      <c r="H90">
        <v>0.06</v>
      </c>
      <c r="I90">
        <v>0.04152818152973525</v>
      </c>
      <c r="J90" t="s">
        <v>776</v>
      </c>
      <c r="K90" t="s">
        <v>777</v>
      </c>
      <c r="L90">
        <v>10.5</v>
      </c>
      <c r="M90">
        <v>4.44</v>
      </c>
      <c r="N90">
        <v>0.4228571428571429</v>
      </c>
      <c r="O90">
        <v>28</v>
      </c>
      <c r="P90">
        <v>0.07987360286076095</v>
      </c>
      <c r="Q90">
        <v>0.166147781802552</v>
      </c>
      <c r="R90" t="s">
        <v>780</v>
      </c>
      <c r="S90" t="s">
        <v>786</v>
      </c>
      <c r="T90">
        <v>111542.15792</v>
      </c>
      <c r="U90" s="2">
        <v>44503</v>
      </c>
      <c r="V90" t="s">
        <v>800</v>
      </c>
    </row>
    <row r="91" spans="1:22">
      <c r="A91" s="1" t="s">
        <v>111</v>
      </c>
      <c r="B91">
        <f>HYPERLINK("https://www.suredividend.com/sure-analysis-TXT/","Textron Inc.")</f>
        <v>0</v>
      </c>
      <c r="C91">
        <v>76.98999999999999</v>
      </c>
      <c r="D91">
        <v>70</v>
      </c>
      <c r="E91">
        <v>1.099857142857143</v>
      </c>
      <c r="F91">
        <v>0.001039095986491752</v>
      </c>
      <c r="G91">
        <v>-0.01885601869052012</v>
      </c>
      <c r="H91">
        <v>0.06</v>
      </c>
      <c r="I91">
        <v>0.04089928752606098</v>
      </c>
      <c r="J91" t="s">
        <v>776</v>
      </c>
      <c r="K91" t="s">
        <v>523</v>
      </c>
      <c r="L91">
        <v>3.25</v>
      </c>
      <c r="M91">
        <v>0.08</v>
      </c>
      <c r="N91">
        <v>0.02461538461538462</v>
      </c>
      <c r="O91">
        <v>0</v>
      </c>
      <c r="P91">
        <v>0</v>
      </c>
      <c r="Q91">
        <v>0.5810762399086881</v>
      </c>
      <c r="R91" t="s">
        <v>780</v>
      </c>
      <c r="S91" t="s">
        <v>786</v>
      </c>
      <c r="T91">
        <v>16732.478222</v>
      </c>
      <c r="U91" s="2">
        <v>44504</v>
      </c>
      <c r="V91" t="s">
        <v>801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47.98</v>
      </c>
      <c r="D92">
        <v>43</v>
      </c>
      <c r="E92">
        <v>1.115813953488372</v>
      </c>
      <c r="F92">
        <v>0.0216756982075865</v>
      </c>
      <c r="G92">
        <v>-0.02167839970448671</v>
      </c>
      <c r="H92">
        <v>0.04</v>
      </c>
      <c r="I92">
        <v>0.03993787680443428</v>
      </c>
      <c r="J92" t="s">
        <v>776</v>
      </c>
      <c r="K92" t="s">
        <v>777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0.034676947735493</v>
      </c>
      <c r="R92" t="s">
        <v>780</v>
      </c>
      <c r="S92" t="s">
        <v>791</v>
      </c>
      <c r="T92">
        <v>25918.566464</v>
      </c>
      <c r="U92" s="2">
        <v>44542</v>
      </c>
      <c r="V92" t="s">
        <v>802</v>
      </c>
    </row>
    <row r="93" spans="1:22">
      <c r="A93" s="1" t="s">
        <v>113</v>
      </c>
      <c r="B93">
        <f>HYPERLINK("https://www.suredividend.com/sure-analysis-FFMR/","First Farmers Financial Corp")</f>
        <v>0</v>
      </c>
      <c r="C93">
        <v>55</v>
      </c>
      <c r="D93">
        <v>45</v>
      </c>
      <c r="E93">
        <v>1.222222222222222</v>
      </c>
      <c r="F93">
        <v>0.024</v>
      </c>
      <c r="G93">
        <v>-0.03933943162756326</v>
      </c>
      <c r="H93">
        <v>0.05</v>
      </c>
      <c r="I93">
        <v>0.03572308780208067</v>
      </c>
      <c r="J93" t="s">
        <v>776</v>
      </c>
      <c r="K93" t="s">
        <v>777</v>
      </c>
      <c r="L93">
        <v>4.5</v>
      </c>
      <c r="M93">
        <v>1.32</v>
      </c>
      <c r="N93">
        <v>0.2933333333333333</v>
      </c>
      <c r="O93">
        <v>30</v>
      </c>
      <c r="P93">
        <v>0.0698417929634616</v>
      </c>
      <c r="Q93">
        <v>0.277494354771263</v>
      </c>
      <c r="R93" t="s">
        <v>780</v>
      </c>
      <c r="S93" t="s">
        <v>789</v>
      </c>
      <c r="T93">
        <v>386.986681</v>
      </c>
      <c r="U93" s="2">
        <v>44253</v>
      </c>
      <c r="V93" t="s">
        <v>802</v>
      </c>
    </row>
    <row r="94" spans="1:22">
      <c r="A94" s="1" t="s">
        <v>114</v>
      </c>
      <c r="B94">
        <f>HYPERLINK("https://www.suredividend.com/sure-analysis-PPG/","PPG Industries, Inc.")</f>
        <v>0</v>
      </c>
      <c r="C94">
        <v>169.74</v>
      </c>
      <c r="D94">
        <v>127</v>
      </c>
      <c r="E94">
        <v>1.336535433070866</v>
      </c>
      <c r="F94">
        <v>0.01390361729704253</v>
      </c>
      <c r="G94">
        <v>-0.05636529579952854</v>
      </c>
      <c r="H94">
        <v>0.08</v>
      </c>
      <c r="I94">
        <v>0.03496516118913839</v>
      </c>
      <c r="J94" t="s">
        <v>776</v>
      </c>
      <c r="K94" t="s">
        <v>777</v>
      </c>
      <c r="L94">
        <v>6.7</v>
      </c>
      <c r="M94">
        <v>2.36</v>
      </c>
      <c r="N94">
        <v>0.3522388059701492</v>
      </c>
      <c r="O94">
        <v>50</v>
      </c>
      <c r="P94">
        <v>0.08014856837381279</v>
      </c>
      <c r="Q94">
        <v>0.168616225759922</v>
      </c>
      <c r="R94" t="s">
        <v>780</v>
      </c>
      <c r="S94" t="s">
        <v>790</v>
      </c>
      <c r="T94">
        <v>39660.186502</v>
      </c>
      <c r="U94" s="2">
        <v>44490</v>
      </c>
      <c r="V94" t="s">
        <v>797</v>
      </c>
    </row>
    <row r="95" spans="1:22">
      <c r="A95" s="1" t="s">
        <v>115</v>
      </c>
      <c r="B95">
        <f>HYPERLINK("https://www.suredividend.com/sure-analysis-JKHY/","Jack Henry &amp; Associates, Inc.")</f>
        <v>0</v>
      </c>
      <c r="C95">
        <v>165.55</v>
      </c>
      <c r="D95">
        <v>117</v>
      </c>
      <c r="E95">
        <v>1.414957264957265</v>
      </c>
      <c r="F95">
        <v>0.01111446692842042</v>
      </c>
      <c r="G95">
        <v>-0.06706510965616497</v>
      </c>
      <c r="H95">
        <v>0.095</v>
      </c>
      <c r="I95">
        <v>0.03454113484430521</v>
      </c>
      <c r="J95" t="s">
        <v>776</v>
      </c>
      <c r="K95" t="s">
        <v>345</v>
      </c>
      <c r="L95">
        <v>4.68</v>
      </c>
      <c r="M95">
        <v>1.84</v>
      </c>
      <c r="N95">
        <v>0.3931623931623932</v>
      </c>
      <c r="O95">
        <v>31</v>
      </c>
      <c r="P95">
        <v>0.08991774272866437</v>
      </c>
      <c r="Q95">
        <v>0.061586520937825</v>
      </c>
      <c r="R95" t="s">
        <v>780</v>
      </c>
      <c r="S95" t="s">
        <v>787</v>
      </c>
      <c r="T95">
        <v>12248.607924</v>
      </c>
      <c r="U95" s="2">
        <v>44512</v>
      </c>
      <c r="V95" t="s">
        <v>798</v>
      </c>
    </row>
    <row r="96" spans="1:22">
      <c r="A96" s="1" t="s">
        <v>116</v>
      </c>
      <c r="B96">
        <f>HYPERLINK("https://www.suredividend.com/sure-analysis-AXP/","American Express Co.")</f>
        <v>0</v>
      </c>
      <c r="C96">
        <v>164.39</v>
      </c>
      <c r="D96">
        <v>131</v>
      </c>
      <c r="E96">
        <v>1.254885496183206</v>
      </c>
      <c r="F96">
        <v>0.01046292353549486</v>
      </c>
      <c r="G96">
        <v>-0.04439331319768502</v>
      </c>
      <c r="H96">
        <v>0.07000000000000001</v>
      </c>
      <c r="I96">
        <v>0.03435864235965291</v>
      </c>
      <c r="J96" t="s">
        <v>776</v>
      </c>
      <c r="K96" t="s">
        <v>345</v>
      </c>
      <c r="L96">
        <v>8.75</v>
      </c>
      <c r="M96">
        <v>1.72</v>
      </c>
      <c r="N96">
        <v>0.1965714285714286</v>
      </c>
      <c r="O96">
        <v>9</v>
      </c>
      <c r="P96">
        <v>0.08023542380212056</v>
      </c>
      <c r="Q96">
        <v>0.415459099620078</v>
      </c>
      <c r="R96" t="s">
        <v>780</v>
      </c>
      <c r="S96" t="s">
        <v>789</v>
      </c>
      <c r="T96">
        <v>127174.310399</v>
      </c>
      <c r="U96" s="2">
        <v>44491</v>
      </c>
      <c r="V96" t="s">
        <v>798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37.19</v>
      </c>
      <c r="D97">
        <v>28</v>
      </c>
      <c r="E97">
        <v>1.328214285714286</v>
      </c>
      <c r="F97">
        <v>0.009948910997579994</v>
      </c>
      <c r="G97">
        <v>-0.0551858897349794</v>
      </c>
      <c r="H97">
        <v>0.08</v>
      </c>
      <c r="I97">
        <v>0.0327394771019176</v>
      </c>
      <c r="J97" t="s">
        <v>776</v>
      </c>
      <c r="K97" t="s">
        <v>345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0.239463382094319</v>
      </c>
      <c r="R97" t="s">
        <v>780</v>
      </c>
      <c r="S97" t="s">
        <v>786</v>
      </c>
      <c r="T97">
        <v>82942.90452900001</v>
      </c>
      <c r="U97" s="2">
        <v>44493</v>
      </c>
      <c r="V97" t="s">
        <v>802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94.13</v>
      </c>
      <c r="D98">
        <v>69</v>
      </c>
      <c r="E98">
        <v>1.364202898550725</v>
      </c>
      <c r="F98">
        <v>0.01572293636460215</v>
      </c>
      <c r="G98">
        <v>-0.06022431031820974</v>
      </c>
      <c r="H98">
        <v>0.08</v>
      </c>
      <c r="I98">
        <v>0.03264276986792081</v>
      </c>
      <c r="J98" t="s">
        <v>776</v>
      </c>
      <c r="K98" t="s">
        <v>345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0.014531475776329</v>
      </c>
      <c r="R98" t="s">
        <v>780</v>
      </c>
      <c r="S98" t="s">
        <v>791</v>
      </c>
      <c r="T98">
        <v>24813.985674</v>
      </c>
      <c r="U98" s="2">
        <v>44470</v>
      </c>
      <c r="V98" t="s">
        <v>797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271.22</v>
      </c>
      <c r="D99">
        <v>252</v>
      </c>
      <c r="E99">
        <v>1.076269841269841</v>
      </c>
      <c r="F99">
        <v>0.02285967111569943</v>
      </c>
      <c r="G99">
        <v>-0.01459272137258127</v>
      </c>
      <c r="H99">
        <v>0.02</v>
      </c>
      <c r="I99">
        <v>0.02985163239501176</v>
      </c>
      <c r="J99" t="s">
        <v>776</v>
      </c>
      <c r="K99" t="s">
        <v>777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0.192873672078125</v>
      </c>
      <c r="R99" t="s">
        <v>780</v>
      </c>
      <c r="S99" t="s">
        <v>789</v>
      </c>
      <c r="T99">
        <v>10596.580023</v>
      </c>
      <c r="U99" s="2">
        <v>44508</v>
      </c>
      <c r="V99" t="s">
        <v>798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563.47</v>
      </c>
      <c r="D100">
        <v>405</v>
      </c>
      <c r="E100">
        <v>1.391283950617284</v>
      </c>
      <c r="F100">
        <v>0.005608106908974746</v>
      </c>
      <c r="G100">
        <v>-0.06391164000295102</v>
      </c>
      <c r="H100">
        <v>0.09</v>
      </c>
      <c r="I100">
        <v>0.02719377951352597</v>
      </c>
      <c r="J100" t="s">
        <v>776</v>
      </c>
      <c r="K100" t="s">
        <v>523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0.521119255451135</v>
      </c>
      <c r="R100" t="s">
        <v>780</v>
      </c>
      <c r="S100" t="s">
        <v>791</v>
      </c>
      <c r="T100">
        <v>244051.93732</v>
      </c>
      <c r="U100" s="2">
        <v>44542</v>
      </c>
      <c r="V100" t="s">
        <v>802</v>
      </c>
    </row>
    <row r="101" spans="1:22">
      <c r="A101" s="1" t="s">
        <v>121</v>
      </c>
      <c r="B101">
        <f>HYPERLINK("https://www.suredividend.com/sure-analysis-SPGI/","S&amp;P Global Inc")</f>
        <v>0</v>
      </c>
      <c r="C101">
        <v>478.1</v>
      </c>
      <c r="D101">
        <v>355</v>
      </c>
      <c r="E101">
        <v>1.346760563380282</v>
      </c>
      <c r="F101">
        <v>0.00644216691068814</v>
      </c>
      <c r="G101">
        <v>-0.05780255572829118</v>
      </c>
      <c r="H101">
        <v>0.08</v>
      </c>
      <c r="I101">
        <v>0.02598540562674878</v>
      </c>
      <c r="J101" t="s">
        <v>776</v>
      </c>
      <c r="K101" t="s">
        <v>345</v>
      </c>
      <c r="L101">
        <v>13.65</v>
      </c>
      <c r="M101">
        <v>3.08</v>
      </c>
      <c r="N101">
        <v>0.2256410256410256</v>
      </c>
      <c r="O101">
        <v>48</v>
      </c>
      <c r="P101">
        <v>0.1200820117377759</v>
      </c>
      <c r="Q101">
        <v>0.508131987494098</v>
      </c>
      <c r="R101" t="s">
        <v>780</v>
      </c>
      <c r="S101" t="s">
        <v>789</v>
      </c>
      <c r="T101">
        <v>114171.34</v>
      </c>
      <c r="U101" s="2">
        <v>44512</v>
      </c>
      <c r="V101" t="s">
        <v>802</v>
      </c>
    </row>
    <row r="102" spans="1:22">
      <c r="A102" s="1" t="s">
        <v>122</v>
      </c>
      <c r="B102">
        <f>HYPERLINK("https://www.suredividend.com/sure-analysis-THFF/","First Financial Corp. - Indiana")</f>
        <v>0</v>
      </c>
      <c r="C102">
        <v>45.21</v>
      </c>
      <c r="D102">
        <v>48</v>
      </c>
      <c r="E102">
        <v>0.941875</v>
      </c>
      <c r="F102">
        <v>0.0234461402344614</v>
      </c>
      <c r="G102">
        <v>0.01204854787209864</v>
      </c>
      <c r="H102">
        <v>-0.01</v>
      </c>
      <c r="I102">
        <v>0.02548933301168765</v>
      </c>
      <c r="J102" t="s">
        <v>776</v>
      </c>
      <c r="K102" t="s">
        <v>776</v>
      </c>
      <c r="L102">
        <v>4.4</v>
      </c>
      <c r="M102">
        <v>1.06</v>
      </c>
      <c r="N102">
        <v>0.2409090909090909</v>
      </c>
      <c r="O102">
        <v>32</v>
      </c>
      <c r="P102">
        <v>0.01994322923769842</v>
      </c>
      <c r="Q102">
        <v>0.179948734346415</v>
      </c>
      <c r="R102" t="s">
        <v>780</v>
      </c>
      <c r="S102" t="s">
        <v>789</v>
      </c>
      <c r="T102">
        <v>579.494559</v>
      </c>
      <c r="U102" s="2">
        <v>44518</v>
      </c>
      <c r="V102" t="s">
        <v>802</v>
      </c>
    </row>
    <row r="103" spans="1:22">
      <c r="A103" s="1" t="s">
        <v>123</v>
      </c>
      <c r="B103">
        <f>HYPERLINK("https://www.suredividend.com/sure-analysis-OZK/","Bank OZK")</f>
        <v>0</v>
      </c>
      <c r="C103">
        <v>46.2</v>
      </c>
      <c r="D103">
        <v>46</v>
      </c>
      <c r="E103">
        <v>1.004347826086956</v>
      </c>
      <c r="F103">
        <v>0.0251082251082251</v>
      </c>
      <c r="G103">
        <v>-0.0008673039940023664</v>
      </c>
      <c r="H103">
        <v>0</v>
      </c>
      <c r="I103">
        <v>0.02522955500441526</v>
      </c>
      <c r="J103" t="s">
        <v>776</v>
      </c>
      <c r="K103" t="s">
        <v>777</v>
      </c>
      <c r="L103">
        <v>4.2</v>
      </c>
      <c r="M103">
        <v>1.16</v>
      </c>
      <c r="N103">
        <v>0.2761904761904762</v>
      </c>
      <c r="O103">
        <v>25</v>
      </c>
      <c r="P103">
        <v>0.02927011184548056</v>
      </c>
      <c r="Q103">
        <v>0.503433440886903</v>
      </c>
      <c r="R103" t="s">
        <v>780</v>
      </c>
      <c r="S103" t="s">
        <v>789</v>
      </c>
      <c r="T103">
        <v>5523.251151</v>
      </c>
      <c r="U103" s="2">
        <v>44493</v>
      </c>
      <c r="V103" t="s">
        <v>800</v>
      </c>
    </row>
    <row r="104" spans="1:22">
      <c r="A104" s="1" t="s">
        <v>124</v>
      </c>
      <c r="B104">
        <f>HYPERLINK("https://www.suredividend.com/sure-analysis-CSVI/","Computer Services, Inc.")</f>
        <v>0</v>
      </c>
      <c r="C104">
        <v>54.5</v>
      </c>
      <c r="D104">
        <v>37</v>
      </c>
      <c r="E104">
        <v>1.472972972972973</v>
      </c>
      <c r="F104">
        <v>0.01981651376146789</v>
      </c>
      <c r="G104">
        <v>-0.07453277214884935</v>
      </c>
      <c r="H104">
        <v>0.08</v>
      </c>
      <c r="I104">
        <v>0.02360605824642037</v>
      </c>
      <c r="J104" t="s">
        <v>776</v>
      </c>
      <c r="K104" t="s">
        <v>777</v>
      </c>
      <c r="L104">
        <v>2.15</v>
      </c>
      <c r="M104">
        <v>1.08</v>
      </c>
      <c r="N104">
        <v>0.5023255813953489</v>
      </c>
      <c r="O104">
        <v>50</v>
      </c>
      <c r="P104">
        <v>0.08178074106640287</v>
      </c>
      <c r="Q104">
        <v>-0.06261078236208401</v>
      </c>
      <c r="R104" t="s">
        <v>780</v>
      </c>
      <c r="S104" t="s">
        <v>787</v>
      </c>
      <c r="T104">
        <v>1510.08759</v>
      </c>
      <c r="U104" s="2">
        <v>44477</v>
      </c>
      <c r="V104" t="s">
        <v>803</v>
      </c>
    </row>
    <row r="105" spans="1:22">
      <c r="A105" s="1" t="s">
        <v>125</v>
      </c>
      <c r="B105">
        <f>HYPERLINK("https://www.suredividend.com/sure-analysis-TROW/","T. Rowe Price Group Inc.")</f>
        <v>0</v>
      </c>
      <c r="C105">
        <v>199.32</v>
      </c>
      <c r="D105">
        <v>179</v>
      </c>
      <c r="E105">
        <v>1.113519553072626</v>
      </c>
      <c r="F105">
        <v>0.02167369054786274</v>
      </c>
      <c r="G105">
        <v>-0.02127556641439921</v>
      </c>
      <c r="H105">
        <v>0.02</v>
      </c>
      <c r="I105">
        <v>0.02213129172265105</v>
      </c>
      <c r="J105" t="s">
        <v>776</v>
      </c>
      <c r="K105" t="s">
        <v>777</v>
      </c>
      <c r="L105">
        <v>12.74</v>
      </c>
      <c r="M105">
        <v>4.32</v>
      </c>
      <c r="N105">
        <v>0.3390894819466248</v>
      </c>
      <c r="O105">
        <v>35</v>
      </c>
      <c r="P105">
        <v>0.04563955259127317</v>
      </c>
      <c r="Q105">
        <v>0.367905596372237</v>
      </c>
      <c r="R105" t="s">
        <v>780</v>
      </c>
      <c r="S105" t="s">
        <v>789</v>
      </c>
      <c r="T105">
        <v>43891.68997</v>
      </c>
      <c r="U105" s="2">
        <v>44502</v>
      </c>
      <c r="V105" t="s">
        <v>800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399.47</v>
      </c>
      <c r="D106">
        <v>320</v>
      </c>
      <c r="E106">
        <v>1.24834375</v>
      </c>
      <c r="F106">
        <v>0.006208225899316594</v>
      </c>
      <c r="G106">
        <v>-0.04339386512197707</v>
      </c>
      <c r="H106">
        <v>0.06</v>
      </c>
      <c r="I106">
        <v>0.02199573878022454</v>
      </c>
      <c r="J106" t="s">
        <v>776</v>
      </c>
      <c r="K106" t="s">
        <v>523</v>
      </c>
      <c r="L106">
        <v>12.3</v>
      </c>
      <c r="M106">
        <v>2.48</v>
      </c>
      <c r="N106">
        <v>0.2016260162601626</v>
      </c>
      <c r="O106">
        <v>12</v>
      </c>
      <c r="P106">
        <v>0.1100560807786035</v>
      </c>
      <c r="Q106">
        <v>0.4351017966408081</v>
      </c>
      <c r="R106" t="s">
        <v>780</v>
      </c>
      <c r="S106" t="s">
        <v>789</v>
      </c>
      <c r="T106">
        <v>73850.63400000001</v>
      </c>
      <c r="U106" s="2">
        <v>44518</v>
      </c>
      <c r="V106" t="s">
        <v>802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178.63</v>
      </c>
      <c r="D107">
        <v>127</v>
      </c>
      <c r="E107">
        <v>1.406535433070866</v>
      </c>
      <c r="F107">
        <v>0.01119632760454571</v>
      </c>
      <c r="G107">
        <v>-0.06595055968714492</v>
      </c>
      <c r="H107">
        <v>0.08</v>
      </c>
      <c r="I107">
        <v>0.02101096912383604</v>
      </c>
      <c r="J107" t="s">
        <v>776</v>
      </c>
      <c r="K107" t="s">
        <v>777</v>
      </c>
      <c r="L107">
        <v>7.48</v>
      </c>
      <c r="M107">
        <v>2</v>
      </c>
      <c r="N107">
        <v>0.267379679144385</v>
      </c>
      <c r="O107">
        <v>66</v>
      </c>
      <c r="P107">
        <v>0.04978904632428516</v>
      </c>
      <c r="Q107">
        <v>0.4193389216978151</v>
      </c>
      <c r="R107" t="s">
        <v>780</v>
      </c>
      <c r="S107" t="s">
        <v>786</v>
      </c>
      <c r="T107">
        <v>25015.893612</v>
      </c>
      <c r="U107" s="2">
        <v>44488</v>
      </c>
      <c r="V107" t="s">
        <v>797</v>
      </c>
    </row>
    <row r="108" spans="1:22">
      <c r="A108" s="1" t="s">
        <v>128</v>
      </c>
      <c r="B108">
        <f>HYPERLINK("https://www.suredividend.com/sure-analysis-BRO/","Brown &amp; Brown, Inc.")</f>
        <v>0</v>
      </c>
      <c r="C108">
        <v>69.45999999999999</v>
      </c>
      <c r="D108">
        <v>53</v>
      </c>
      <c r="E108">
        <v>1.310566037735849</v>
      </c>
      <c r="F108">
        <v>0.005902677800172762</v>
      </c>
      <c r="G108">
        <v>-0.05265488911767968</v>
      </c>
      <c r="H108">
        <v>0.07000000000000001</v>
      </c>
      <c r="I108">
        <v>0.02084479187714328</v>
      </c>
      <c r="J108" t="s">
        <v>776</v>
      </c>
      <c r="K108" t="s">
        <v>345</v>
      </c>
      <c r="L108">
        <v>2.2</v>
      </c>
      <c r="M108">
        <v>0.41</v>
      </c>
      <c r="N108">
        <v>0.1863636363636363</v>
      </c>
      <c r="O108">
        <v>28</v>
      </c>
      <c r="P108">
        <v>0.08971100922578001</v>
      </c>
      <c r="Q108">
        <v>0.479620688155204</v>
      </c>
      <c r="R108" t="s">
        <v>780</v>
      </c>
      <c r="S108" t="s">
        <v>789</v>
      </c>
      <c r="T108">
        <v>19213.497857</v>
      </c>
      <c r="U108" s="2">
        <v>44507</v>
      </c>
      <c r="V108" t="s">
        <v>802</v>
      </c>
    </row>
    <row r="109" spans="1:22">
      <c r="A109" s="1" t="s">
        <v>129</v>
      </c>
      <c r="B109">
        <f>HYPERLINK("https://www.suredividend.com/sure-analysis-CSL/","Carlisle Companies Inc.")</f>
        <v>0</v>
      </c>
      <c r="C109">
        <v>245.32</v>
      </c>
      <c r="D109">
        <v>184</v>
      </c>
      <c r="E109">
        <v>1.333260869565217</v>
      </c>
      <c r="F109">
        <v>0.008804826349258112</v>
      </c>
      <c r="G109">
        <v>-0.05590222654968513</v>
      </c>
      <c r="H109">
        <v>0.07000000000000001</v>
      </c>
      <c r="I109">
        <v>0.02009151339436022</v>
      </c>
      <c r="J109" t="s">
        <v>776</v>
      </c>
      <c r="K109" t="s">
        <v>345</v>
      </c>
      <c r="L109">
        <v>9.199999999999999</v>
      </c>
      <c r="M109">
        <v>2.16</v>
      </c>
      <c r="N109">
        <v>0.2347826086956522</v>
      </c>
      <c r="O109">
        <v>45</v>
      </c>
      <c r="P109">
        <v>0.05995839365595068</v>
      </c>
      <c r="Q109">
        <v>0.5473304870180771</v>
      </c>
      <c r="R109" t="s">
        <v>780</v>
      </c>
      <c r="S109" t="s">
        <v>786</v>
      </c>
      <c r="T109">
        <v>12589.60161</v>
      </c>
      <c r="U109" s="2">
        <v>44509</v>
      </c>
      <c r="V109" t="s">
        <v>798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48.91</v>
      </c>
      <c r="D110">
        <v>60</v>
      </c>
      <c r="E110">
        <v>0.8151666666666666</v>
      </c>
      <c r="F110">
        <v>0.02535268861173584</v>
      </c>
      <c r="G110">
        <v>0.04171931697003273</v>
      </c>
      <c r="H110">
        <v>-0.05</v>
      </c>
      <c r="I110">
        <v>0.01623645274892715</v>
      </c>
      <c r="J110" t="s">
        <v>776</v>
      </c>
      <c r="K110" t="s">
        <v>776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0.246487814551457</v>
      </c>
      <c r="R110" t="s">
        <v>780</v>
      </c>
      <c r="S110" t="s">
        <v>789</v>
      </c>
      <c r="T110">
        <v>1210.299935</v>
      </c>
      <c r="U110" s="2">
        <v>44498</v>
      </c>
      <c r="V110" t="s">
        <v>802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44.65</v>
      </c>
      <c r="D111">
        <v>33</v>
      </c>
      <c r="E111">
        <v>1.353030303030303</v>
      </c>
      <c r="F111">
        <v>0.01522956326987682</v>
      </c>
      <c r="G111">
        <v>-0.05867737910527016</v>
      </c>
      <c r="H111">
        <v>0.06</v>
      </c>
      <c r="I111">
        <v>0.01505066624001383</v>
      </c>
      <c r="J111" t="s">
        <v>776</v>
      </c>
      <c r="K111" t="s">
        <v>777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0.39031052780307</v>
      </c>
      <c r="R111" t="s">
        <v>780</v>
      </c>
      <c r="S111" t="s">
        <v>786</v>
      </c>
      <c r="T111">
        <v>1156.887619</v>
      </c>
      <c r="U111" s="2">
        <v>44499</v>
      </c>
      <c r="V111" t="s">
        <v>802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80.89</v>
      </c>
      <c r="D112">
        <v>54</v>
      </c>
      <c r="E112">
        <v>1.497962962962963</v>
      </c>
      <c r="F112">
        <v>0.008282853257510199</v>
      </c>
      <c r="G112">
        <v>-0.07764143518283728</v>
      </c>
      <c r="H112">
        <v>0.09</v>
      </c>
      <c r="I112">
        <v>0.01463921680242031</v>
      </c>
      <c r="J112" t="s">
        <v>776</v>
      </c>
      <c r="K112" t="s">
        <v>345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0.500316634497612</v>
      </c>
      <c r="R112" t="s">
        <v>780</v>
      </c>
      <c r="S112" t="s">
        <v>790</v>
      </c>
      <c r="T112">
        <v>4158.602214</v>
      </c>
      <c r="U112" s="2">
        <v>44463</v>
      </c>
      <c r="V112" t="s">
        <v>803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193.48</v>
      </c>
      <c r="D113">
        <v>148</v>
      </c>
      <c r="E113">
        <v>1.307297297297297</v>
      </c>
      <c r="F113">
        <v>0.0165391771759355</v>
      </c>
      <c r="G113">
        <v>-0.05218161760989415</v>
      </c>
      <c r="H113">
        <v>0.05</v>
      </c>
      <c r="I113">
        <v>0.01430967634773062</v>
      </c>
      <c r="J113" t="s">
        <v>776</v>
      </c>
      <c r="K113" t="s">
        <v>777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0.286658009756571</v>
      </c>
      <c r="R113" t="s">
        <v>780</v>
      </c>
      <c r="S113" t="s">
        <v>789</v>
      </c>
      <c r="T113">
        <v>82116.51761900001</v>
      </c>
      <c r="U113" s="2">
        <v>44506</v>
      </c>
      <c r="V113" t="s">
        <v>798</v>
      </c>
    </row>
    <row r="114" spans="1:22">
      <c r="A114" s="1" t="s">
        <v>134</v>
      </c>
      <c r="B114">
        <f>HYPERLINK("https://www.suredividend.com/sure-analysis-CHD/","Church &amp; Dwight Co., Inc.")</f>
        <v>0</v>
      </c>
      <c r="C114">
        <v>100.36</v>
      </c>
      <c r="D114">
        <v>75</v>
      </c>
      <c r="E114">
        <v>1.338133333333333</v>
      </c>
      <c r="F114">
        <v>0.01006377042646473</v>
      </c>
      <c r="G114">
        <v>-0.05659076733336965</v>
      </c>
      <c r="H114">
        <v>0.06</v>
      </c>
      <c r="I114">
        <v>0.01212022355827513</v>
      </c>
      <c r="J114" t="s">
        <v>776</v>
      </c>
      <c r="K114" t="s">
        <v>345</v>
      </c>
      <c r="L114">
        <v>3</v>
      </c>
      <c r="M114">
        <v>1.01</v>
      </c>
      <c r="N114">
        <v>0.3366666666666667</v>
      </c>
      <c r="O114">
        <v>25</v>
      </c>
      <c r="P114">
        <v>0.0705165705095081</v>
      </c>
      <c r="Q114">
        <v>0.159409822774429</v>
      </c>
      <c r="R114" t="s">
        <v>780</v>
      </c>
      <c r="S114" t="s">
        <v>791</v>
      </c>
      <c r="T114">
        <v>24300.086868</v>
      </c>
      <c r="U114" s="2">
        <v>44519</v>
      </c>
      <c r="V114" t="s">
        <v>802</v>
      </c>
    </row>
    <row r="115" spans="1:22">
      <c r="A115" s="1" t="s">
        <v>135</v>
      </c>
      <c r="B115">
        <f>HYPERLINK("https://www.suredividend.com/sure-analysis-AMAT/","Applied Materials Inc.")</f>
        <v>0</v>
      </c>
      <c r="C115">
        <v>162.72</v>
      </c>
      <c r="D115">
        <v>130</v>
      </c>
      <c r="E115">
        <v>1.251692307692308</v>
      </c>
      <c r="F115">
        <v>0.005899705014749262</v>
      </c>
      <c r="G115">
        <v>-0.04390624090153528</v>
      </c>
      <c r="H115">
        <v>0.05</v>
      </c>
      <c r="I115">
        <v>0.01159380004851251</v>
      </c>
      <c r="J115" t="s">
        <v>776</v>
      </c>
      <c r="K115" t="s">
        <v>523</v>
      </c>
      <c r="L115">
        <v>8.15</v>
      </c>
      <c r="M115">
        <v>0.96</v>
      </c>
      <c r="N115">
        <v>0.1177914110429448</v>
      </c>
      <c r="O115">
        <v>4</v>
      </c>
      <c r="P115">
        <v>0.1005558662160053</v>
      </c>
      <c r="Q115">
        <v>0.8351731488049361</v>
      </c>
      <c r="R115" t="s">
        <v>780</v>
      </c>
      <c r="S115" t="s">
        <v>787</v>
      </c>
      <c r="T115">
        <v>138154.924932</v>
      </c>
      <c r="U115" s="2">
        <v>44535</v>
      </c>
      <c r="V115" t="s">
        <v>802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268.24</v>
      </c>
      <c r="D116">
        <v>186</v>
      </c>
      <c r="E116">
        <v>1.442150537634409</v>
      </c>
      <c r="F116">
        <v>0.02057858634059051</v>
      </c>
      <c r="G116">
        <v>-0.0706102450521745</v>
      </c>
      <c r="H116">
        <v>0.06</v>
      </c>
      <c r="I116">
        <v>0.009985034578057217</v>
      </c>
      <c r="J116" t="s">
        <v>776</v>
      </c>
      <c r="K116" t="s">
        <v>777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0.286906314962275</v>
      </c>
      <c r="R116" t="s">
        <v>780</v>
      </c>
      <c r="S116" t="s">
        <v>788</v>
      </c>
      <c r="T116">
        <v>198729.921311</v>
      </c>
      <c r="U116" s="2">
        <v>44497</v>
      </c>
      <c r="V116" t="s">
        <v>800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36.44</v>
      </c>
      <c r="D117">
        <v>34</v>
      </c>
      <c r="E117">
        <v>1.071764705882353</v>
      </c>
      <c r="F117">
        <v>0.03841931942919868</v>
      </c>
      <c r="G117">
        <v>-0.01376568394577737</v>
      </c>
      <c r="H117">
        <v>-0.02</v>
      </c>
      <c r="I117">
        <v>0.009357800670492411</v>
      </c>
      <c r="J117" t="s">
        <v>776</v>
      </c>
      <c r="K117" t="s">
        <v>776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0.174522890812389</v>
      </c>
      <c r="R117" t="s">
        <v>780</v>
      </c>
      <c r="S117" t="s">
        <v>789</v>
      </c>
      <c r="T117">
        <v>4656.482139</v>
      </c>
      <c r="U117" s="2">
        <v>44501</v>
      </c>
      <c r="V117" t="s">
        <v>802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442.08</v>
      </c>
      <c r="D118">
        <v>308</v>
      </c>
      <c r="E118">
        <v>1.435324675324675</v>
      </c>
      <c r="F118">
        <v>0.008595729279768368</v>
      </c>
      <c r="G118">
        <v>-0.06972795642775687</v>
      </c>
      <c r="H118">
        <v>0.07000000000000001</v>
      </c>
      <c r="I118">
        <v>0.006883153094369376</v>
      </c>
      <c r="J118" t="s">
        <v>776</v>
      </c>
      <c r="K118" t="s">
        <v>345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0.297036971218898</v>
      </c>
      <c r="R118" t="s">
        <v>780</v>
      </c>
      <c r="S118" t="s">
        <v>786</v>
      </c>
      <c r="T118">
        <v>44982.31644</v>
      </c>
      <c r="U118" s="2">
        <v>44553</v>
      </c>
      <c r="V118" t="s">
        <v>802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243.73</v>
      </c>
      <c r="D119">
        <v>160</v>
      </c>
      <c r="E119">
        <v>1.5233125</v>
      </c>
      <c r="F119">
        <v>0.02002215566405449</v>
      </c>
      <c r="G119">
        <v>-0.08073188066703985</v>
      </c>
      <c r="H119">
        <v>0.07000000000000001</v>
      </c>
      <c r="I119">
        <v>0.006620003133040564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0.213888703819231</v>
      </c>
      <c r="R119" t="s">
        <v>780</v>
      </c>
      <c r="S119" t="s">
        <v>786</v>
      </c>
      <c r="T119">
        <v>75488.314363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93.23</v>
      </c>
      <c r="D120">
        <v>59</v>
      </c>
      <c r="E120">
        <v>1.580169491525424</v>
      </c>
      <c r="F120">
        <v>0.007508312774857877</v>
      </c>
      <c r="G120">
        <v>-0.08744454510151811</v>
      </c>
      <c r="H120">
        <v>0.09</v>
      </c>
      <c r="I120">
        <v>0.004400105606432891</v>
      </c>
      <c r="J120" t="s">
        <v>776</v>
      </c>
      <c r="K120" t="s">
        <v>345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0.317803756504692</v>
      </c>
      <c r="R120" t="s">
        <v>780</v>
      </c>
      <c r="S120" t="s">
        <v>786</v>
      </c>
      <c r="T120">
        <v>4244.698525</v>
      </c>
      <c r="U120" s="2">
        <v>44496</v>
      </c>
      <c r="V120" t="s">
        <v>803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99.55</v>
      </c>
      <c r="D121">
        <v>72</v>
      </c>
      <c r="E121">
        <v>1.382638888888889</v>
      </c>
      <c r="F121">
        <v>0.01607232546459066</v>
      </c>
      <c r="G121">
        <v>-0.06274396309024444</v>
      </c>
      <c r="H121">
        <v>0.05</v>
      </c>
      <c r="I121">
        <v>0.003232787705781837</v>
      </c>
      <c r="J121" t="s">
        <v>776</v>
      </c>
      <c r="K121" t="s">
        <v>777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0.101997179176536</v>
      </c>
      <c r="R121" t="s">
        <v>780</v>
      </c>
      <c r="S121" t="s">
        <v>790</v>
      </c>
      <c r="T121">
        <v>12648.578492</v>
      </c>
      <c r="U121" s="2">
        <v>44475</v>
      </c>
      <c r="V121" t="s">
        <v>797</v>
      </c>
    </row>
    <row r="122" spans="1:22">
      <c r="A122" s="1" t="s">
        <v>142</v>
      </c>
      <c r="B122">
        <f>HYPERLINK("https://www.suredividend.com/sure-analysis-NDSN/","Nordson Corp.")</f>
        <v>0</v>
      </c>
      <c r="C122">
        <v>256.62</v>
      </c>
      <c r="D122">
        <v>193</v>
      </c>
      <c r="E122">
        <v>1.329637305699482</v>
      </c>
      <c r="F122">
        <v>0.007949497311199439</v>
      </c>
      <c r="G122">
        <v>-0.05538821036653174</v>
      </c>
      <c r="H122">
        <v>0.05</v>
      </c>
      <c r="I122">
        <v>0.002044949165115995</v>
      </c>
      <c r="J122" t="s">
        <v>776</v>
      </c>
      <c r="K122" t="s">
        <v>345</v>
      </c>
      <c r="L122">
        <v>8.75</v>
      </c>
      <c r="M122">
        <v>2.04</v>
      </c>
      <c r="N122">
        <v>0.2331428571428572</v>
      </c>
      <c r="O122">
        <v>58</v>
      </c>
      <c r="P122">
        <v>0.0801851873035635</v>
      </c>
      <c r="Q122">
        <v>0.285600323554066</v>
      </c>
      <c r="R122" t="s">
        <v>780</v>
      </c>
      <c r="S122" t="s">
        <v>786</v>
      </c>
      <c r="T122">
        <v>14757.077878</v>
      </c>
      <c r="U122" s="2">
        <v>44551</v>
      </c>
      <c r="V122" t="s">
        <v>800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161.97</v>
      </c>
      <c r="D123">
        <v>118</v>
      </c>
      <c r="E123">
        <v>1.372627118644068</v>
      </c>
      <c r="F123">
        <v>0.02148546027042045</v>
      </c>
      <c r="G123">
        <v>-0.06138068910568539</v>
      </c>
      <c r="H123">
        <v>0.04</v>
      </c>
      <c r="I123">
        <v>0.001844313633302619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0.19173541538418</v>
      </c>
      <c r="R123" t="s">
        <v>780</v>
      </c>
      <c r="S123" t="s">
        <v>791</v>
      </c>
      <c r="T123">
        <v>387433.645822</v>
      </c>
      <c r="U123" s="2">
        <v>44488</v>
      </c>
      <c r="V123" t="s">
        <v>800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70.56999999999999</v>
      </c>
      <c r="D124">
        <v>43</v>
      </c>
      <c r="E124">
        <v>1.641162790697674</v>
      </c>
      <c r="F124">
        <v>0.01927164517500355</v>
      </c>
      <c r="G124">
        <v>-0.09433065585261113</v>
      </c>
      <c r="H124">
        <v>0.076</v>
      </c>
      <c r="I124">
        <v>-0.00120399658533521</v>
      </c>
      <c r="J124" t="s">
        <v>776</v>
      </c>
      <c r="K124" t="s">
        <v>777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0.06819162710401301</v>
      </c>
      <c r="R124" t="s">
        <v>780</v>
      </c>
      <c r="S124" t="s">
        <v>792</v>
      </c>
      <c r="T124">
        <v>2096.485918</v>
      </c>
      <c r="U124" s="2">
        <v>44502</v>
      </c>
      <c r="V124" t="s">
        <v>797</v>
      </c>
    </row>
    <row r="125" spans="1:22">
      <c r="A125" s="1" t="s">
        <v>145</v>
      </c>
      <c r="B125">
        <f>HYPERLINK("https://www.suredividend.com/sure-analysis-ATR/","Aptargroup Inc.")</f>
        <v>0</v>
      </c>
      <c r="C125">
        <v>119.89</v>
      </c>
      <c r="D125">
        <v>77</v>
      </c>
      <c r="E125">
        <v>1.557012987012987</v>
      </c>
      <c r="F125">
        <v>0.01251146884644257</v>
      </c>
      <c r="G125">
        <v>-0.08474617405606777</v>
      </c>
      <c r="H125">
        <v>0.07000000000000001</v>
      </c>
      <c r="I125">
        <v>-0.005401443882454005</v>
      </c>
      <c r="J125" t="s">
        <v>776</v>
      </c>
      <c r="K125" t="s">
        <v>345</v>
      </c>
      <c r="L125">
        <v>3.87</v>
      </c>
      <c r="M125">
        <v>1.5</v>
      </c>
      <c r="N125">
        <v>0.3875968992248062</v>
      </c>
      <c r="O125">
        <v>28</v>
      </c>
      <c r="P125">
        <v>0.04951444805329408</v>
      </c>
      <c r="Q125">
        <v>-0.133249884512792</v>
      </c>
      <c r="R125" t="s">
        <v>780</v>
      </c>
      <c r="S125" t="s">
        <v>788</v>
      </c>
      <c r="T125">
        <v>7657.667241</v>
      </c>
      <c r="U125" s="2">
        <v>44507</v>
      </c>
      <c r="V125" t="s">
        <v>799</v>
      </c>
    </row>
    <row r="126" spans="1:22">
      <c r="A126" s="1" t="s">
        <v>146</v>
      </c>
      <c r="B126">
        <f>HYPERLINK("https://www.suredividend.com/sure-analysis-NKE/","Nike, Inc.")</f>
        <v>0</v>
      </c>
      <c r="C126">
        <v>167.58</v>
      </c>
      <c r="D126">
        <v>96</v>
      </c>
      <c r="E126">
        <v>1.745625</v>
      </c>
      <c r="F126">
        <v>0.007280105024465926</v>
      </c>
      <c r="G126">
        <v>-0.1054393110451001</v>
      </c>
      <c r="H126">
        <v>0.1</v>
      </c>
      <c r="I126">
        <v>-0.005784188451040895</v>
      </c>
      <c r="J126" t="s">
        <v>776</v>
      </c>
      <c r="K126" t="s">
        <v>345</v>
      </c>
      <c r="L126">
        <v>4</v>
      </c>
      <c r="M126">
        <v>1.22</v>
      </c>
      <c r="N126">
        <v>0.305</v>
      </c>
      <c r="O126">
        <v>20</v>
      </c>
      <c r="P126">
        <v>0.09945953022431997</v>
      </c>
      <c r="Q126">
        <v>0.178783463020622</v>
      </c>
      <c r="R126" t="s">
        <v>780</v>
      </c>
      <c r="S126" t="s">
        <v>788</v>
      </c>
      <c r="T126">
        <v>260073.738751</v>
      </c>
      <c r="U126" s="2">
        <v>44552</v>
      </c>
      <c r="V126" t="s">
        <v>800</v>
      </c>
    </row>
    <row r="127" spans="1:22">
      <c r="A127" s="1" t="s">
        <v>147</v>
      </c>
      <c r="B127">
        <f>HYPERLINK("https://www.suredividend.com/sure-analysis-TSCO/","Tractor Supply Co.")</f>
        <v>0</v>
      </c>
      <c r="C127">
        <v>231.47</v>
      </c>
      <c r="D127">
        <v>152</v>
      </c>
      <c r="E127">
        <v>1.522828947368421</v>
      </c>
      <c r="F127">
        <v>0.00898604570786711</v>
      </c>
      <c r="G127">
        <v>-0.08067350798243178</v>
      </c>
      <c r="H127">
        <v>0.065</v>
      </c>
      <c r="I127">
        <v>-0.008965022320305938</v>
      </c>
      <c r="J127" t="s">
        <v>776</v>
      </c>
      <c r="K127" t="s">
        <v>523</v>
      </c>
      <c r="L127">
        <v>8.01</v>
      </c>
      <c r="M127">
        <v>2.08</v>
      </c>
      <c r="N127">
        <v>0.2596754057428215</v>
      </c>
      <c r="O127">
        <v>11</v>
      </c>
      <c r="P127">
        <v>0.07599829696383686</v>
      </c>
      <c r="Q127">
        <v>0.571007083881331</v>
      </c>
      <c r="R127" t="s">
        <v>780</v>
      </c>
      <c r="S127" t="s">
        <v>788</v>
      </c>
      <c r="T127">
        <v>25980.532701</v>
      </c>
      <c r="U127" s="2">
        <v>44491</v>
      </c>
      <c r="V127" t="s">
        <v>805</v>
      </c>
    </row>
    <row r="128" spans="1:22">
      <c r="A128" s="1" t="s">
        <v>148</v>
      </c>
      <c r="B128">
        <f>HYPERLINK("https://www.suredividend.com/sure-analysis-GWW/","W.W. Grainger Inc.")</f>
        <v>0</v>
      </c>
      <c r="C128">
        <v>516.15</v>
      </c>
      <c r="D128">
        <v>356</v>
      </c>
      <c r="E128">
        <v>1.449859550561798</v>
      </c>
      <c r="F128">
        <v>0.01255448997384481</v>
      </c>
      <c r="G128">
        <v>-0.07160068091621674</v>
      </c>
      <c r="H128">
        <v>0.05</v>
      </c>
      <c r="I128">
        <v>-0.009095713771046676</v>
      </c>
      <c r="J128" t="s">
        <v>776</v>
      </c>
      <c r="K128" t="s">
        <v>777</v>
      </c>
      <c r="L128">
        <v>19.75</v>
      </c>
      <c r="M128">
        <v>6.48</v>
      </c>
      <c r="N128">
        <v>0.3281012658227848</v>
      </c>
      <c r="O128">
        <v>50</v>
      </c>
      <c r="P128">
        <v>0.06020279266594519</v>
      </c>
      <c r="Q128">
        <v>0.228375645922264</v>
      </c>
      <c r="R128" t="s">
        <v>780</v>
      </c>
      <c r="S128" t="s">
        <v>786</v>
      </c>
      <c r="T128">
        <v>25915.098841</v>
      </c>
      <c r="U128" s="2">
        <v>44505</v>
      </c>
      <c r="V128" t="s">
        <v>800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84.7</v>
      </c>
      <c r="D129">
        <v>55</v>
      </c>
      <c r="E129">
        <v>1.54</v>
      </c>
      <c r="F129">
        <v>0.01322314049586777</v>
      </c>
      <c r="G129">
        <v>-0.0827328174886276</v>
      </c>
      <c r="H129">
        <v>0.06</v>
      </c>
      <c r="I129">
        <v>-0.009603025241607721</v>
      </c>
      <c r="J129" t="s">
        <v>776</v>
      </c>
      <c r="K129" t="s">
        <v>345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0.5173708438209801</v>
      </c>
      <c r="R129" t="s">
        <v>780</v>
      </c>
      <c r="S129" t="s">
        <v>786</v>
      </c>
      <c r="T129">
        <v>13364.20974</v>
      </c>
      <c r="U129" s="2">
        <v>44510</v>
      </c>
      <c r="V129" t="s">
        <v>798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79.33</v>
      </c>
      <c r="D130">
        <v>54.5</v>
      </c>
      <c r="E130">
        <v>1.455596330275229</v>
      </c>
      <c r="F130">
        <v>0.0195386360771461</v>
      </c>
      <c r="G130">
        <v>-0.07233363668453863</v>
      </c>
      <c r="H130">
        <v>0.041</v>
      </c>
      <c r="I130">
        <v>-0.01048937484900259</v>
      </c>
      <c r="J130" t="s">
        <v>776</v>
      </c>
      <c r="K130" t="s">
        <v>777</v>
      </c>
      <c r="L130">
        <v>3.03</v>
      </c>
      <c r="M130">
        <v>1.55</v>
      </c>
      <c r="N130">
        <v>0.5115511551155116</v>
      </c>
      <c r="O130">
        <v>45</v>
      </c>
      <c r="P130">
        <v>0.03601968190208304</v>
      </c>
      <c r="Q130">
        <v>0.159033374398358</v>
      </c>
      <c r="R130" t="s">
        <v>780</v>
      </c>
      <c r="S130" t="s">
        <v>792</v>
      </c>
      <c r="T130">
        <v>2851.120091</v>
      </c>
      <c r="U130" s="2">
        <v>44531</v>
      </c>
      <c r="V130" t="s">
        <v>805</v>
      </c>
    </row>
    <row r="131" spans="1:22">
      <c r="A131" s="1" t="s">
        <v>151</v>
      </c>
      <c r="B131">
        <f>HYPERLINK("https://www.suredividend.com/sure-analysis-ABT/","Abbott Laboratories")</f>
        <v>0</v>
      </c>
      <c r="C131">
        <v>141.46</v>
      </c>
      <c r="D131">
        <v>101</v>
      </c>
      <c r="E131">
        <v>1.400594059405941</v>
      </c>
      <c r="F131">
        <v>0.01328997596493708</v>
      </c>
      <c r="G131">
        <v>-0.06515944622119041</v>
      </c>
      <c r="H131">
        <v>0.04</v>
      </c>
      <c r="I131">
        <v>-0.01058943453425154</v>
      </c>
      <c r="J131" t="s">
        <v>776</v>
      </c>
      <c r="K131" t="s">
        <v>777</v>
      </c>
      <c r="L131">
        <v>5.05</v>
      </c>
      <c r="M131">
        <v>1.88</v>
      </c>
      <c r="N131">
        <v>0.3722772277227723</v>
      </c>
      <c r="O131">
        <v>50</v>
      </c>
      <c r="P131">
        <v>0.06034828502666922</v>
      </c>
      <c r="Q131">
        <v>0.304208875855547</v>
      </c>
      <c r="R131" t="s">
        <v>780</v>
      </c>
      <c r="S131" t="s">
        <v>785</v>
      </c>
      <c r="T131">
        <v>246074.814606</v>
      </c>
      <c r="U131" s="2">
        <v>44490</v>
      </c>
      <c r="V131" t="s">
        <v>800</v>
      </c>
    </row>
    <row r="132" spans="1:22">
      <c r="A132" s="1" t="s">
        <v>152</v>
      </c>
      <c r="B132">
        <f>HYPERLINK("https://www.suredividend.com/sure-analysis-LIN/","Linde Plc")</f>
        <v>0</v>
      </c>
      <c r="C132">
        <v>343.42</v>
      </c>
      <c r="D132">
        <v>222</v>
      </c>
      <c r="E132">
        <v>1.546936936936937</v>
      </c>
      <c r="F132">
        <v>0.01234639799662221</v>
      </c>
      <c r="G132">
        <v>-0.08355695824704157</v>
      </c>
      <c r="H132">
        <v>0.06</v>
      </c>
      <c r="I132">
        <v>-0.01207252607564202</v>
      </c>
      <c r="J132" t="s">
        <v>776</v>
      </c>
      <c r="K132" t="s">
        <v>345</v>
      </c>
      <c r="L132">
        <v>10.57</v>
      </c>
      <c r="M132">
        <v>4.24</v>
      </c>
      <c r="N132">
        <v>0.4011352885525071</v>
      </c>
      <c r="O132">
        <v>28</v>
      </c>
      <c r="P132">
        <v>0.07011443361889147</v>
      </c>
      <c r="Q132">
        <v>0.341016392133326</v>
      </c>
      <c r="R132" t="s">
        <v>780</v>
      </c>
      <c r="S132" t="s">
        <v>790</v>
      </c>
      <c r="T132">
        <v>173843.188113</v>
      </c>
      <c r="U132" s="2">
        <v>44503</v>
      </c>
      <c r="V132" t="s">
        <v>798</v>
      </c>
    </row>
    <row r="133" spans="1:22">
      <c r="A133" s="1" t="s">
        <v>153</v>
      </c>
      <c r="B133">
        <f>HYPERLINK("https://www.suredividend.com/sure-analysis-EBAY/","EBay Inc.")</f>
        <v>0</v>
      </c>
      <c r="C133">
        <v>65.66</v>
      </c>
      <c r="D133">
        <v>47.5</v>
      </c>
      <c r="E133">
        <v>1.382315789473684</v>
      </c>
      <c r="F133">
        <v>0.01096558026195553</v>
      </c>
      <c r="G133">
        <v>-0.06270015275821084</v>
      </c>
      <c r="H133">
        <v>0.037</v>
      </c>
      <c r="I133">
        <v>-0.01317225911355369</v>
      </c>
      <c r="J133" t="s">
        <v>776</v>
      </c>
      <c r="K133" t="s">
        <v>345</v>
      </c>
      <c r="L133">
        <v>3.96</v>
      </c>
      <c r="M133">
        <v>0.72</v>
      </c>
      <c r="N133">
        <v>0.1818181818181818</v>
      </c>
      <c r="O133">
        <v>2</v>
      </c>
      <c r="P133">
        <v>0.07423907511540473</v>
      </c>
      <c r="Q133">
        <v>0.309108075556658</v>
      </c>
      <c r="R133" t="s">
        <v>780</v>
      </c>
      <c r="S133" t="s">
        <v>788</v>
      </c>
      <c r="T133">
        <v>42182.121186</v>
      </c>
      <c r="U133" s="2">
        <v>44504</v>
      </c>
      <c r="V133" t="s">
        <v>805</v>
      </c>
    </row>
    <row r="134" spans="1:22">
      <c r="A134" s="1" t="s">
        <v>154</v>
      </c>
      <c r="B134">
        <f>HYPERLINK("https://www.suredividend.com/sure-analysis-MSFT/","Microsoft Corporation")</f>
        <v>0</v>
      </c>
      <c r="C134">
        <v>342.45</v>
      </c>
      <c r="D134">
        <v>216</v>
      </c>
      <c r="E134">
        <v>1.585416666666667</v>
      </c>
      <c r="F134">
        <v>0.00724193312892393</v>
      </c>
      <c r="G134">
        <v>-0.08804939430068326</v>
      </c>
      <c r="H134">
        <v>0.07000000000000001</v>
      </c>
      <c r="I134">
        <v>-0.01399999932306795</v>
      </c>
      <c r="J134" t="s">
        <v>776</v>
      </c>
      <c r="K134" t="s">
        <v>345</v>
      </c>
      <c r="L134">
        <v>9</v>
      </c>
      <c r="M134">
        <v>2.48</v>
      </c>
      <c r="N134">
        <v>0.2755555555555556</v>
      </c>
      <c r="O134">
        <v>20</v>
      </c>
      <c r="P134">
        <v>0.09024056365188593</v>
      </c>
      <c r="Q134">
        <v>0.515130938023996</v>
      </c>
      <c r="R134" t="s">
        <v>780</v>
      </c>
      <c r="S134" t="s">
        <v>787</v>
      </c>
      <c r="T134">
        <v>2512845.974802</v>
      </c>
      <c r="U134" s="2">
        <v>44497</v>
      </c>
      <c r="V134" t="s">
        <v>800</v>
      </c>
    </row>
    <row r="135" spans="1:22">
      <c r="A135" s="1" t="s">
        <v>155</v>
      </c>
      <c r="B135">
        <f>HYPERLINK("https://www.suredividend.com/sure-analysis-TR/","Tootsie Roll Industries, Inc.")</f>
        <v>0</v>
      </c>
      <c r="C135">
        <v>37.37</v>
      </c>
      <c r="D135">
        <v>28</v>
      </c>
      <c r="E135">
        <v>1.334642857142857</v>
      </c>
      <c r="F135">
        <v>0.009633395772009634</v>
      </c>
      <c r="G135">
        <v>-0.05609782526435358</v>
      </c>
      <c r="H135">
        <v>0.03</v>
      </c>
      <c r="I135">
        <v>-0.01722969428225152</v>
      </c>
      <c r="J135" t="s">
        <v>776</v>
      </c>
      <c r="K135" t="s">
        <v>345</v>
      </c>
      <c r="L135">
        <v>0.92</v>
      </c>
      <c r="M135">
        <v>0.36</v>
      </c>
      <c r="N135">
        <v>0.3913043478260869</v>
      </c>
      <c r="O135">
        <v>53</v>
      </c>
      <c r="P135">
        <v>0</v>
      </c>
      <c r="Q135">
        <v>0.279565988752423</v>
      </c>
      <c r="R135" t="s">
        <v>780</v>
      </c>
      <c r="S135" t="s">
        <v>791</v>
      </c>
      <c r="T135">
        <v>1469.447704</v>
      </c>
      <c r="U135" s="2">
        <v>44522</v>
      </c>
      <c r="V135" t="s">
        <v>801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83.59</v>
      </c>
      <c r="D136">
        <v>77</v>
      </c>
      <c r="E136">
        <v>1.085584415584416</v>
      </c>
      <c r="F136">
        <v>0.02727598995095107</v>
      </c>
      <c r="G136">
        <v>-0.01628956122324376</v>
      </c>
      <c r="H136">
        <v>-0.04</v>
      </c>
      <c r="I136">
        <v>-0.02082145803831303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0.210911275739026</v>
      </c>
      <c r="R136" t="s">
        <v>780</v>
      </c>
      <c r="S136" t="s">
        <v>789</v>
      </c>
      <c r="T136">
        <v>1208.357444</v>
      </c>
      <c r="U136" s="2">
        <v>44499</v>
      </c>
      <c r="V136" t="s">
        <v>802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231.67</v>
      </c>
      <c r="D137">
        <v>106</v>
      </c>
      <c r="E137">
        <v>2.185566037735849</v>
      </c>
      <c r="F137">
        <v>0.008805628695989987</v>
      </c>
      <c r="G137">
        <v>-0.14476155871941</v>
      </c>
      <c r="H137">
        <v>0.13</v>
      </c>
      <c r="I137">
        <v>-0.0211077881751115</v>
      </c>
      <c r="J137" t="s">
        <v>776</v>
      </c>
      <c r="K137" t="s">
        <v>345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0.065421372192147</v>
      </c>
      <c r="R137" t="s">
        <v>780</v>
      </c>
      <c r="S137" t="s">
        <v>790</v>
      </c>
      <c r="T137">
        <v>65406.12215</v>
      </c>
      <c r="U137" s="2">
        <v>44496</v>
      </c>
      <c r="V137" t="s">
        <v>803</v>
      </c>
    </row>
    <row r="138" spans="1:22">
      <c r="A138" s="1" t="s">
        <v>158</v>
      </c>
      <c r="B138">
        <f>HYPERLINK("https://www.suredividend.com/sure-analysis-UNF/","Unifirst Corp.")</f>
        <v>0</v>
      </c>
      <c r="C138">
        <v>205.58</v>
      </c>
      <c r="D138">
        <v>130</v>
      </c>
      <c r="E138">
        <v>1.581384615384615</v>
      </c>
      <c r="F138">
        <v>0.005837143691020527</v>
      </c>
      <c r="G138">
        <v>-0.0875848283533921</v>
      </c>
      <c r="H138">
        <v>0.063</v>
      </c>
      <c r="I138">
        <v>-0.02140802973657474</v>
      </c>
      <c r="J138" t="s">
        <v>776</v>
      </c>
      <c r="K138" t="s">
        <v>523</v>
      </c>
      <c r="L138">
        <v>5.9</v>
      </c>
      <c r="M138">
        <v>1.2</v>
      </c>
      <c r="N138">
        <v>0.2033898305084746</v>
      </c>
      <c r="O138">
        <v>4</v>
      </c>
      <c r="P138">
        <v>0.09970250059947383</v>
      </c>
      <c r="Q138">
        <v>-0.018233428854652</v>
      </c>
      <c r="R138" t="s">
        <v>780</v>
      </c>
      <c r="S138" t="s">
        <v>786</v>
      </c>
      <c r="T138">
        <v>3094.361283</v>
      </c>
      <c r="U138" s="2">
        <v>44491</v>
      </c>
      <c r="V138" t="s">
        <v>795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149.99</v>
      </c>
      <c r="D139">
        <v>92</v>
      </c>
      <c r="E139">
        <v>1.630326086956522</v>
      </c>
      <c r="F139">
        <v>0.01173411560770718</v>
      </c>
      <c r="G139">
        <v>-0.09312985565689513</v>
      </c>
      <c r="H139">
        <v>0.06</v>
      </c>
      <c r="I139">
        <v>-0.02232534330328229</v>
      </c>
      <c r="J139" t="s">
        <v>776</v>
      </c>
      <c r="K139" t="s">
        <v>345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-0.001206505084557</v>
      </c>
      <c r="R139" t="s">
        <v>780</v>
      </c>
      <c r="S139" t="s">
        <v>786</v>
      </c>
      <c r="T139">
        <v>5770.938825</v>
      </c>
      <c r="U139" s="2">
        <v>44504</v>
      </c>
      <c r="V139" t="s">
        <v>800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72.09</v>
      </c>
      <c r="D140">
        <v>42</v>
      </c>
      <c r="E140">
        <v>1.716428571428571</v>
      </c>
      <c r="F140">
        <v>0.01040366208905535</v>
      </c>
      <c r="G140">
        <v>-0.1024165155201341</v>
      </c>
      <c r="H140">
        <v>0.07000000000000001</v>
      </c>
      <c r="I140">
        <v>-0.02542938678384199</v>
      </c>
      <c r="J140" t="s">
        <v>776</v>
      </c>
      <c r="K140" t="s">
        <v>345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-0.058813648514403</v>
      </c>
      <c r="R140" t="s">
        <v>780</v>
      </c>
      <c r="S140" t="s">
        <v>791</v>
      </c>
      <c r="T140">
        <v>33513.091587</v>
      </c>
      <c r="U140" s="2">
        <v>44545</v>
      </c>
      <c r="V140" t="s">
        <v>798</v>
      </c>
    </row>
    <row r="141" spans="1:22">
      <c r="A141" s="1" t="s">
        <v>161</v>
      </c>
      <c r="B141">
        <f>HYPERLINK("https://www.suredividend.com/sure-analysis-AAPL/","Apple Inc")</f>
        <v>0</v>
      </c>
      <c r="C141">
        <v>180.33</v>
      </c>
      <c r="D141">
        <v>108</v>
      </c>
      <c r="E141">
        <v>1.669722222222222</v>
      </c>
      <c r="F141">
        <v>0.004879942327954306</v>
      </c>
      <c r="G141">
        <v>-0.09745024104519273</v>
      </c>
      <c r="H141">
        <v>0.07000000000000001</v>
      </c>
      <c r="I141">
        <v>-0.02638738990558609</v>
      </c>
      <c r="J141" t="s">
        <v>776</v>
      </c>
      <c r="K141" t="s">
        <v>523</v>
      </c>
      <c r="L141">
        <v>6</v>
      </c>
      <c r="M141">
        <v>0.88</v>
      </c>
      <c r="N141">
        <v>0.1466666666666667</v>
      </c>
      <c r="O141">
        <v>9</v>
      </c>
      <c r="P141">
        <v>0.1213169452916456</v>
      </c>
      <c r="Q141">
        <v>0.343992973542521</v>
      </c>
      <c r="R141" t="s">
        <v>780</v>
      </c>
      <c r="S141" t="s">
        <v>787</v>
      </c>
      <c r="T141">
        <v>2892119.66316</v>
      </c>
      <c r="U141" s="2">
        <v>44500</v>
      </c>
      <c r="V141" t="s">
        <v>800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345.55</v>
      </c>
      <c r="D142">
        <v>186</v>
      </c>
      <c r="E142">
        <v>1.857795698924731</v>
      </c>
      <c r="F142">
        <v>0.006366661843437997</v>
      </c>
      <c r="G142">
        <v>-0.1165124997954339</v>
      </c>
      <c r="H142">
        <v>0.08</v>
      </c>
      <c r="I142">
        <v>-0.03514040390818529</v>
      </c>
      <c r="J142" t="s">
        <v>776</v>
      </c>
      <c r="K142" t="s">
        <v>345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0.394172394002232</v>
      </c>
      <c r="R142" t="s">
        <v>780</v>
      </c>
      <c r="S142" t="s">
        <v>790</v>
      </c>
      <c r="T142">
        <v>88721.948802</v>
      </c>
      <c r="U142" s="2">
        <v>44495</v>
      </c>
      <c r="V142" t="s">
        <v>800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70.02</v>
      </c>
      <c r="D143">
        <v>40</v>
      </c>
      <c r="E143">
        <v>1.7505</v>
      </c>
      <c r="F143">
        <v>0.01313910311339617</v>
      </c>
      <c r="G143">
        <v>-0.1059381227543764</v>
      </c>
      <c r="H143">
        <v>0.05</v>
      </c>
      <c r="I143">
        <v>-0.0418469412150968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0.32857274203929</v>
      </c>
      <c r="R143" t="s">
        <v>780</v>
      </c>
      <c r="S143" t="s">
        <v>792</v>
      </c>
      <c r="T143">
        <v>3648.89088</v>
      </c>
      <c r="U143" s="2">
        <v>44504</v>
      </c>
      <c r="V143" t="s">
        <v>798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110.97</v>
      </c>
      <c r="D144">
        <v>67</v>
      </c>
      <c r="E144">
        <v>1.656268656716418</v>
      </c>
      <c r="F144">
        <v>0.009011444534558891</v>
      </c>
      <c r="G144">
        <v>-0.09598873286642984</v>
      </c>
      <c r="H144">
        <v>0.03</v>
      </c>
      <c r="I144">
        <v>-0.0553318652259196</v>
      </c>
      <c r="J144" t="s">
        <v>776</v>
      </c>
      <c r="K144" t="s">
        <v>345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0.063694261321808</v>
      </c>
      <c r="R144" t="s">
        <v>780</v>
      </c>
      <c r="S144" t="s">
        <v>789</v>
      </c>
      <c r="T144">
        <v>4948.843957</v>
      </c>
      <c r="U144" s="2">
        <v>44505</v>
      </c>
      <c r="V144" t="s">
        <v>798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60.81</v>
      </c>
      <c r="D145">
        <v>30</v>
      </c>
      <c r="E145">
        <v>2.027</v>
      </c>
      <c r="F145">
        <v>0.008551225127446143</v>
      </c>
      <c r="G145">
        <v>-0.131781070756644</v>
      </c>
      <c r="H145">
        <v>0.07000000000000001</v>
      </c>
      <c r="I145">
        <v>-0.05762571189288412</v>
      </c>
      <c r="J145" t="s">
        <v>776</v>
      </c>
      <c r="K145" t="s">
        <v>523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0.490492329957304</v>
      </c>
      <c r="R145" t="s">
        <v>780</v>
      </c>
      <c r="S145" t="s">
        <v>789</v>
      </c>
      <c r="T145">
        <v>98332.454774</v>
      </c>
      <c r="U145" s="2">
        <v>44528</v>
      </c>
      <c r="V145" t="s">
        <v>802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346.61</v>
      </c>
      <c r="D146">
        <v>174</v>
      </c>
      <c r="E146">
        <v>1.992011494252874</v>
      </c>
      <c r="F146">
        <v>0.004154525258936556</v>
      </c>
      <c r="G146">
        <v>-0.1287523253310863</v>
      </c>
      <c r="H146">
        <v>0.07000000000000001</v>
      </c>
      <c r="I146">
        <v>-0.06144226506877459</v>
      </c>
      <c r="J146" t="s">
        <v>776</v>
      </c>
      <c r="K146" t="s">
        <v>523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0.533289769773964</v>
      </c>
      <c r="R146" t="s">
        <v>780</v>
      </c>
      <c r="S146" t="s">
        <v>789</v>
      </c>
      <c r="T146">
        <v>14632.212738</v>
      </c>
      <c r="U146" s="2">
        <v>44518</v>
      </c>
      <c r="V146" t="s">
        <v>802</v>
      </c>
    </row>
    <row r="147" spans="1:22">
      <c r="A147" s="1" t="s">
        <v>167</v>
      </c>
      <c r="B147">
        <f>HYPERLINK("https://www.suredividend.com/sure-analysis-AWR/","American States Water Co.")</f>
        <v>0</v>
      </c>
      <c r="C147">
        <v>100.96</v>
      </c>
      <c r="D147">
        <v>60.8</v>
      </c>
      <c r="E147">
        <v>1.660526315789474</v>
      </c>
      <c r="F147">
        <v>0.01446117274167987</v>
      </c>
      <c r="G147">
        <v>-0.0964527936152374</v>
      </c>
      <c r="H147">
        <v>0.015</v>
      </c>
      <c r="I147">
        <v>-0.06224659309298131</v>
      </c>
      <c r="J147" t="s">
        <v>776</v>
      </c>
      <c r="K147" t="s">
        <v>777</v>
      </c>
      <c r="L147">
        <v>2.43</v>
      </c>
      <c r="M147">
        <v>1.46</v>
      </c>
      <c r="N147">
        <v>0.6008230452674896</v>
      </c>
      <c r="O147">
        <v>66</v>
      </c>
      <c r="P147">
        <v>0.01848215809402909</v>
      </c>
      <c r="Q147">
        <v>0.313380249430999</v>
      </c>
      <c r="R147" t="s">
        <v>780</v>
      </c>
      <c r="S147" t="s">
        <v>792</v>
      </c>
      <c r="T147">
        <v>3706.10322</v>
      </c>
      <c r="U147" s="2">
        <v>44506</v>
      </c>
      <c r="V147" t="s">
        <v>805</v>
      </c>
    </row>
    <row r="148" spans="1:22">
      <c r="A148" s="1" t="s">
        <v>168</v>
      </c>
      <c r="B148">
        <f>HYPERLINK("https://www.suredividend.com/sure-analysis-ALB/","Albemarle Corp.")</f>
        <v>0</v>
      </c>
      <c r="C148">
        <v>233.1</v>
      </c>
      <c r="D148">
        <v>97</v>
      </c>
      <c r="E148">
        <v>2.403092783505155</v>
      </c>
      <c r="F148">
        <v>0.006692406692406692</v>
      </c>
      <c r="G148">
        <v>-0.1608378400239713</v>
      </c>
      <c r="H148">
        <v>0.1</v>
      </c>
      <c r="I148">
        <v>-0.06519785741693929</v>
      </c>
      <c r="J148" t="s">
        <v>776</v>
      </c>
      <c r="K148" t="s">
        <v>523</v>
      </c>
      <c r="L148">
        <v>4</v>
      </c>
      <c r="M148">
        <v>1.56</v>
      </c>
      <c r="N148">
        <v>0.39</v>
      </c>
      <c r="O148">
        <v>27</v>
      </c>
      <c r="P148">
        <v>0.08997698704834534</v>
      </c>
      <c r="Q148">
        <v>0.535373896218426</v>
      </c>
      <c r="R148" t="s">
        <v>780</v>
      </c>
      <c r="S148" t="s">
        <v>790</v>
      </c>
      <c r="T148">
        <v>26658.902872</v>
      </c>
      <c r="U148" s="2">
        <v>44503</v>
      </c>
      <c r="V148" t="s">
        <v>797</v>
      </c>
    </row>
    <row r="149" spans="1:22">
      <c r="A149" s="1" t="s">
        <v>169</v>
      </c>
      <c r="B149">
        <f>HYPERLINK("https://www.suredividend.com/sure-analysis-WST/","West Pharmaceutical Services, Inc.")</f>
        <v>0</v>
      </c>
      <c r="C149">
        <v>465.89</v>
      </c>
      <c r="D149">
        <v>211</v>
      </c>
      <c r="E149">
        <v>2.208009478672986</v>
      </c>
      <c r="F149">
        <v>0.001545429178561463</v>
      </c>
      <c r="G149">
        <v>-0.1465072952676993</v>
      </c>
      <c r="H149">
        <v>0.09</v>
      </c>
      <c r="I149">
        <v>-0.06724581086552073</v>
      </c>
      <c r="J149" t="s">
        <v>776</v>
      </c>
      <c r="K149" t="s">
        <v>345</v>
      </c>
      <c r="L149">
        <v>8.449999999999999</v>
      </c>
      <c r="M149">
        <v>0.72</v>
      </c>
      <c r="N149">
        <v>0.08520710059171598</v>
      </c>
      <c r="O149">
        <v>28</v>
      </c>
      <c r="P149">
        <v>0.05922384104881218</v>
      </c>
      <c r="Q149">
        <v>0.6274330626843441</v>
      </c>
      <c r="R149" t="s">
        <v>780</v>
      </c>
      <c r="S149" t="s">
        <v>785</v>
      </c>
      <c r="T149">
        <v>34064.816146</v>
      </c>
      <c r="U149" s="2">
        <v>44502</v>
      </c>
      <c r="V149" t="s">
        <v>798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116.65</v>
      </c>
      <c r="D150">
        <v>60</v>
      </c>
      <c r="E150">
        <v>1.944166666666667</v>
      </c>
      <c r="F150">
        <v>0.01714530647235319</v>
      </c>
      <c r="G150">
        <v>-0.1245057432548911</v>
      </c>
      <c r="H150">
        <v>0.037</v>
      </c>
      <c r="I150">
        <v>-0.06817288786003806</v>
      </c>
      <c r="J150" t="s">
        <v>776</v>
      </c>
      <c r="K150" t="s">
        <v>777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1.226277869863053</v>
      </c>
      <c r="R150" t="s">
        <v>780</v>
      </c>
      <c r="S150" t="s">
        <v>790</v>
      </c>
      <c r="T150">
        <v>32666.811298</v>
      </c>
      <c r="U150" s="2">
        <v>44491</v>
      </c>
      <c r="V150" t="s">
        <v>805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106.53</v>
      </c>
      <c r="D151">
        <v>51</v>
      </c>
      <c r="E151">
        <v>2.088823529411765</v>
      </c>
      <c r="F151">
        <v>0.007509621702806722</v>
      </c>
      <c r="G151">
        <v>-0.1369824055643925</v>
      </c>
      <c r="H151">
        <v>0.05</v>
      </c>
      <c r="I151">
        <v>-0.07961155842321321</v>
      </c>
      <c r="J151" t="s">
        <v>776</v>
      </c>
      <c r="K151" t="s">
        <v>523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0.130674061892016</v>
      </c>
      <c r="R151" t="s">
        <v>780</v>
      </c>
      <c r="S151" t="s">
        <v>786</v>
      </c>
      <c r="T151">
        <v>3076.791511</v>
      </c>
      <c r="U151" s="2">
        <v>44485</v>
      </c>
      <c r="V151" t="s">
        <v>797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113.69</v>
      </c>
      <c r="D152">
        <v>48.6</v>
      </c>
      <c r="E152">
        <v>2.339300411522633</v>
      </c>
      <c r="F152">
        <v>0.01020318409710617</v>
      </c>
      <c r="G152">
        <v>-0.1563101962523026</v>
      </c>
      <c r="H152">
        <v>0.045</v>
      </c>
      <c r="I152">
        <v>-0.1017466534346332</v>
      </c>
      <c r="J152" t="s">
        <v>776</v>
      </c>
      <c r="K152" t="s">
        <v>345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0.602895848124798</v>
      </c>
      <c r="R152" t="s">
        <v>780</v>
      </c>
      <c r="S152" t="s">
        <v>792</v>
      </c>
      <c r="T152">
        <v>1967.189396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227.86</v>
      </c>
      <c r="D153">
        <v>265</v>
      </c>
      <c r="E153">
        <v>0.8598490566037736</v>
      </c>
      <c r="F153">
        <v>0.01755463881330642</v>
      </c>
      <c r="G153">
        <v>0.03066031992970242</v>
      </c>
      <c r="H153">
        <v>0.15</v>
      </c>
      <c r="I153">
        <v>0.1940236366569161</v>
      </c>
      <c r="J153" t="s">
        <v>777</v>
      </c>
      <c r="K153" t="s">
        <v>345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0.151222495445105</v>
      </c>
      <c r="R153" t="s">
        <v>780</v>
      </c>
      <c r="S153" t="s">
        <v>785</v>
      </c>
      <c r="T153">
        <v>74866.220095</v>
      </c>
      <c r="U153" s="2">
        <v>44504</v>
      </c>
      <c r="V153" t="s">
        <v>797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294.7</v>
      </c>
      <c r="D154">
        <v>413</v>
      </c>
      <c r="E154">
        <v>0.7135593220338983</v>
      </c>
      <c r="F154">
        <v>0.004750593824228029</v>
      </c>
      <c r="G154">
        <v>0.06982805643824674</v>
      </c>
      <c r="H154">
        <v>0.08</v>
      </c>
      <c r="I154">
        <v>0.1589678409787498</v>
      </c>
      <c r="J154" t="s">
        <v>777</v>
      </c>
      <c r="K154" t="s">
        <v>523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0.000323946723223</v>
      </c>
      <c r="R154" t="s">
        <v>780</v>
      </c>
      <c r="S154" t="s">
        <v>788</v>
      </c>
      <c r="T154">
        <v>8751.701515999999</v>
      </c>
      <c r="U154" s="2">
        <v>44493</v>
      </c>
      <c r="V154" t="s">
        <v>795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50.47</v>
      </c>
      <c r="D155">
        <v>61</v>
      </c>
      <c r="E155">
        <v>0.8273770491803278</v>
      </c>
      <c r="F155">
        <v>0.01981375074301565</v>
      </c>
      <c r="G155">
        <v>0.03862627726153223</v>
      </c>
      <c r="H155">
        <v>0.09</v>
      </c>
      <c r="I155">
        <v>0.1474280343770074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0.006599332018832</v>
      </c>
      <c r="R155" t="s">
        <v>780</v>
      </c>
      <c r="S155" t="s">
        <v>784</v>
      </c>
      <c r="T155">
        <v>228110.71786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45.16</v>
      </c>
      <c r="D156">
        <v>60</v>
      </c>
      <c r="E156">
        <v>0.7526666666666666</v>
      </c>
      <c r="F156">
        <v>0.04162976085031001</v>
      </c>
      <c r="G156">
        <v>0.05847221791017265</v>
      </c>
      <c r="H156">
        <v>0.05</v>
      </c>
      <c r="I156">
        <v>0.1405837182646668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0.101198075469242</v>
      </c>
      <c r="R156" t="s">
        <v>781</v>
      </c>
      <c r="S156" t="s">
        <v>789</v>
      </c>
      <c r="T156">
        <v>4960.580343</v>
      </c>
      <c r="U156" s="2">
        <v>44508</v>
      </c>
      <c r="V156" t="s">
        <v>801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30.09</v>
      </c>
      <c r="D157">
        <v>44</v>
      </c>
      <c r="E157">
        <v>0.6838636363636363</v>
      </c>
      <c r="F157">
        <v>0.03722166832834829</v>
      </c>
      <c r="G157">
        <v>0.07896187138091704</v>
      </c>
      <c r="H157">
        <v>0.03</v>
      </c>
      <c r="I157">
        <v>0.1368405477358166</v>
      </c>
      <c r="J157" t="s">
        <v>777</v>
      </c>
      <c r="K157" t="s">
        <v>776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-0.091127819548872</v>
      </c>
      <c r="R157" t="s">
        <v>780</v>
      </c>
      <c r="S157" t="s">
        <v>785</v>
      </c>
      <c r="T157">
        <v>7662.281876</v>
      </c>
      <c r="U157" s="2">
        <v>44512</v>
      </c>
      <c r="V157" t="s">
        <v>797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52.68</v>
      </c>
      <c r="D158">
        <v>70</v>
      </c>
      <c r="E158">
        <v>0.7525714285714286</v>
      </c>
      <c r="F158">
        <v>0.04859529233105543</v>
      </c>
      <c r="G158">
        <v>0.05849900653690043</v>
      </c>
      <c r="H158">
        <v>0.04</v>
      </c>
      <c r="I158">
        <v>0.1339433312635026</v>
      </c>
      <c r="J158" t="s">
        <v>777</v>
      </c>
      <c r="K158" t="s">
        <v>776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-0.05457038407629401</v>
      </c>
      <c r="R158" t="s">
        <v>780</v>
      </c>
      <c r="S158" t="s">
        <v>784</v>
      </c>
      <c r="T158">
        <v>221138.726892</v>
      </c>
      <c r="U158" s="2">
        <v>44489</v>
      </c>
      <c r="V158" t="s">
        <v>797</v>
      </c>
    </row>
    <row r="159" spans="1:22">
      <c r="A159" s="1" t="s">
        <v>179</v>
      </c>
      <c r="B159">
        <f>HYPERLINK("https://www.suredividend.com/sure-analysis-PNGAY/","Ping AN Insurance (Group) Co. of China, Ltd.")</f>
        <v>0</v>
      </c>
      <c r="C159">
        <v>14.4</v>
      </c>
      <c r="D159">
        <v>16</v>
      </c>
      <c r="E159">
        <v>0.9</v>
      </c>
      <c r="F159">
        <v>0.0486111111111111</v>
      </c>
      <c r="G159">
        <v>0.02129568760013512</v>
      </c>
      <c r="H159">
        <v>0.07000000000000001</v>
      </c>
      <c r="I159">
        <v>0.1318014077735243</v>
      </c>
      <c r="J159" t="s">
        <v>777</v>
      </c>
      <c r="K159" t="s">
        <v>776</v>
      </c>
      <c r="L159">
        <v>2</v>
      </c>
      <c r="M159">
        <v>0.7</v>
      </c>
      <c r="N159">
        <v>0.35</v>
      </c>
      <c r="O159">
        <v>12</v>
      </c>
      <c r="P159">
        <v>0.06961037572506878</v>
      </c>
      <c r="Q159">
        <v>-0.3965444584913611</v>
      </c>
      <c r="R159" t="s">
        <v>780</v>
      </c>
      <c r="S159" t="s">
        <v>789</v>
      </c>
      <c r="T159">
        <v>53324.65069</v>
      </c>
      <c r="U159" s="2">
        <v>44517</v>
      </c>
      <c r="V159" t="s">
        <v>796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141.29</v>
      </c>
      <c r="D160">
        <v>160</v>
      </c>
      <c r="E160">
        <v>0.8830625</v>
      </c>
      <c r="F160">
        <v>0.01599547030929294</v>
      </c>
      <c r="G160">
        <v>0.02518374495077325</v>
      </c>
      <c r="H160">
        <v>0.08</v>
      </c>
      <c r="I160">
        <v>0.120562164561395</v>
      </c>
      <c r="J160" t="s">
        <v>777</v>
      </c>
      <c r="K160" t="s">
        <v>345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0.129463367829484</v>
      </c>
      <c r="R160" t="s">
        <v>780</v>
      </c>
      <c r="S160" t="s">
        <v>787</v>
      </c>
      <c r="T160">
        <v>172088.544471</v>
      </c>
      <c r="U160" s="2">
        <v>44507</v>
      </c>
      <c r="V160" t="s">
        <v>798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38.44</v>
      </c>
      <c r="D161">
        <v>43</v>
      </c>
      <c r="E161">
        <v>0.893953488372093</v>
      </c>
      <c r="F161">
        <v>0.06997918834547347</v>
      </c>
      <c r="G161">
        <v>0.02267353029800501</v>
      </c>
      <c r="H161">
        <v>0.04</v>
      </c>
      <c r="I161">
        <v>0.119814051309971</v>
      </c>
      <c r="J161" t="s">
        <v>777</v>
      </c>
      <c r="K161" t="s">
        <v>776</v>
      </c>
      <c r="L161">
        <v>3.88</v>
      </c>
      <c r="M161">
        <v>2.69</v>
      </c>
      <c r="N161">
        <v>0.6932989690721649</v>
      </c>
      <c r="O161">
        <v>26</v>
      </c>
      <c r="P161">
        <v>0.04486096680385954</v>
      </c>
      <c r="Q161">
        <v>0.264247739325423</v>
      </c>
      <c r="R161" t="s">
        <v>780</v>
      </c>
      <c r="S161" t="s">
        <v>793</v>
      </c>
      <c r="T161">
        <v>76986.57519</v>
      </c>
      <c r="U161" s="2">
        <v>44505</v>
      </c>
      <c r="V161" t="s">
        <v>798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225.17</v>
      </c>
      <c r="D162">
        <v>225</v>
      </c>
      <c r="E162">
        <v>1.000755555555555</v>
      </c>
      <c r="F162">
        <v>0.03446285029089133</v>
      </c>
      <c r="G162">
        <v>-0.0001510426453406044</v>
      </c>
      <c r="H162">
        <v>0.09</v>
      </c>
      <c r="I162">
        <v>0.1182817473733171</v>
      </c>
      <c r="J162" t="s">
        <v>777</v>
      </c>
      <c r="K162" t="s">
        <v>777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0.034913952169855</v>
      </c>
      <c r="R162" t="s">
        <v>780</v>
      </c>
      <c r="S162" t="s">
        <v>785</v>
      </c>
      <c r="T162">
        <v>126053.276209</v>
      </c>
      <c r="U162" s="2">
        <v>44503</v>
      </c>
      <c r="V162" t="s">
        <v>797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17.7</v>
      </c>
      <c r="D163">
        <v>23</v>
      </c>
      <c r="E163">
        <v>0.7695652173913043</v>
      </c>
      <c r="F163">
        <v>0.05310734463276836</v>
      </c>
      <c r="G163">
        <v>0.05378233474734451</v>
      </c>
      <c r="H163">
        <v>0.02</v>
      </c>
      <c r="I163">
        <v>0.1162770349711049</v>
      </c>
      <c r="J163" t="s">
        <v>777</v>
      </c>
      <c r="K163" t="s">
        <v>776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-0.14991570793396</v>
      </c>
      <c r="R163" t="s">
        <v>780</v>
      </c>
      <c r="S163" t="s">
        <v>787</v>
      </c>
      <c r="T163">
        <v>7155.718334</v>
      </c>
      <c r="U163" s="2">
        <v>44517</v>
      </c>
      <c r="V163" t="s">
        <v>801</v>
      </c>
    </row>
    <row r="164" spans="1:22">
      <c r="A164" s="1" t="s">
        <v>184</v>
      </c>
      <c r="B164">
        <f>HYPERLINK("https://www.suredividend.com/sure-analysis-NC/","Nacco Industries Inc.")</f>
        <v>0</v>
      </c>
      <c r="C164">
        <v>33.79</v>
      </c>
      <c r="D164">
        <v>59</v>
      </c>
      <c r="E164">
        <v>0.5727118644067797</v>
      </c>
      <c r="F164">
        <v>0.02337969813554306</v>
      </c>
      <c r="G164">
        <v>0.1179252462028255</v>
      </c>
      <c r="H164">
        <v>-0.02</v>
      </c>
      <c r="I164">
        <v>0.1138011654360815</v>
      </c>
      <c r="J164" t="s">
        <v>777</v>
      </c>
      <c r="K164" t="s">
        <v>777</v>
      </c>
      <c r="L164">
        <v>6.5</v>
      </c>
      <c r="M164">
        <v>0.79</v>
      </c>
      <c r="N164">
        <v>0.1215384615384615</v>
      </c>
      <c r="O164">
        <v>36</v>
      </c>
      <c r="P164">
        <v>0.05036164940748145</v>
      </c>
      <c r="Q164">
        <v>0.262182213491503</v>
      </c>
      <c r="R164" t="s">
        <v>780</v>
      </c>
      <c r="S164" t="s">
        <v>793</v>
      </c>
      <c r="T164">
        <v>185.54056</v>
      </c>
      <c r="U164" s="2">
        <v>44506</v>
      </c>
      <c r="V164" t="s">
        <v>797</v>
      </c>
    </row>
    <row r="165" spans="1:22">
      <c r="A165" s="1" t="s">
        <v>185</v>
      </c>
      <c r="B165">
        <f>HYPERLINK("https://www.suredividend.com/sure-analysis-EPD/","Enterprise Products Partners L P")</f>
        <v>0</v>
      </c>
      <c r="C165">
        <v>21.58</v>
      </c>
      <c r="D165">
        <v>24.1</v>
      </c>
      <c r="E165">
        <v>0.8954356846473028</v>
      </c>
      <c r="F165">
        <v>0.08341056533827619</v>
      </c>
      <c r="G165">
        <v>0.02233474381624045</v>
      </c>
      <c r="H165">
        <v>0.026</v>
      </c>
      <c r="I165">
        <v>0.1129262324976126</v>
      </c>
      <c r="J165" t="s">
        <v>777</v>
      </c>
      <c r="K165" t="s">
        <v>776</v>
      </c>
      <c r="L165">
        <v>3.01</v>
      </c>
      <c r="M165">
        <v>1.8</v>
      </c>
      <c r="N165">
        <v>0.5980066445182725</v>
      </c>
      <c r="O165">
        <v>22</v>
      </c>
      <c r="P165">
        <v>0.01613736474159566</v>
      </c>
      <c r="Q165">
        <v>0.170812042949769</v>
      </c>
      <c r="R165" t="s">
        <v>781</v>
      </c>
      <c r="S165" t="s">
        <v>793</v>
      </c>
      <c r="T165">
        <v>46850.330177</v>
      </c>
      <c r="U165" s="2">
        <v>44506</v>
      </c>
      <c r="V165" t="s">
        <v>805</v>
      </c>
    </row>
    <row r="166" spans="1:22">
      <c r="A166" s="1" t="s">
        <v>186</v>
      </c>
      <c r="B166">
        <f>HYPERLINK("https://www.suredividend.com/sure-analysis-TTE/","TotalEnergies SE")</f>
        <v>0</v>
      </c>
      <c r="C166">
        <v>51.01</v>
      </c>
      <c r="D166">
        <v>71</v>
      </c>
      <c r="E166">
        <v>0.7184507042253521</v>
      </c>
      <c r="F166">
        <v>0.0603803175847873</v>
      </c>
      <c r="G166">
        <v>0.06836734460479543</v>
      </c>
      <c r="H166">
        <v>0</v>
      </c>
      <c r="I166">
        <v>0.1125224332345987</v>
      </c>
      <c r="J166" t="s">
        <v>777</v>
      </c>
      <c r="K166" t="s">
        <v>776</v>
      </c>
      <c r="L166">
        <v>5.9</v>
      </c>
      <c r="M166">
        <v>3.08</v>
      </c>
      <c r="N166">
        <v>0.5220338983050847</v>
      </c>
      <c r="O166">
        <v>3</v>
      </c>
      <c r="P166">
        <v>0.01142428402057938</v>
      </c>
      <c r="Q166">
        <v>0.217741647098089</v>
      </c>
      <c r="R166" t="s">
        <v>780</v>
      </c>
      <c r="S166" t="s">
        <v>793</v>
      </c>
      <c r="T166">
        <v>134873.130125</v>
      </c>
      <c r="U166" s="2">
        <v>44501</v>
      </c>
      <c r="V166" t="s">
        <v>803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51.94</v>
      </c>
      <c r="D167">
        <v>63</v>
      </c>
      <c r="E167">
        <v>0.8244444444444444</v>
      </c>
      <c r="F167">
        <v>0.02676164805544859</v>
      </c>
      <c r="G167">
        <v>0.03936412098775288</v>
      </c>
      <c r="H167">
        <v>0.05</v>
      </c>
      <c r="I167">
        <v>0.112366896926211</v>
      </c>
      <c r="J167" t="s">
        <v>777</v>
      </c>
      <c r="K167" t="s">
        <v>777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0.118303474129288</v>
      </c>
      <c r="R167" t="s">
        <v>780</v>
      </c>
      <c r="S167" t="s">
        <v>787</v>
      </c>
      <c r="T167">
        <v>208677.77</v>
      </c>
      <c r="U167" s="2">
        <v>44491</v>
      </c>
      <c r="V167" t="s">
        <v>797</v>
      </c>
    </row>
    <row r="168" spans="1:22">
      <c r="A168" s="1" t="s">
        <v>188</v>
      </c>
      <c r="B168">
        <f>HYPERLINK("https://www.suredividend.com/sure-analysis-DDS/","Dillard`s Inc.")</f>
        <v>0</v>
      </c>
      <c r="C168">
        <v>256.17</v>
      </c>
      <c r="D168">
        <v>391</v>
      </c>
      <c r="E168">
        <v>0.6551662404092072</v>
      </c>
      <c r="F168">
        <v>0.003122926181832377</v>
      </c>
      <c r="G168">
        <v>0.08825256090477529</v>
      </c>
      <c r="H168">
        <v>0.02</v>
      </c>
      <c r="I168">
        <v>0.1123640915442579</v>
      </c>
      <c r="J168" t="s">
        <v>777</v>
      </c>
      <c r="K168" t="s">
        <v>523</v>
      </c>
      <c r="L168">
        <v>35.5</v>
      </c>
      <c r="M168">
        <v>0.8</v>
      </c>
      <c r="N168">
        <v>0.02253521126760564</v>
      </c>
      <c r="O168">
        <v>11</v>
      </c>
      <c r="P168">
        <v>0.04563955259127317</v>
      </c>
      <c r="Q168">
        <v>3.390339108815141</v>
      </c>
      <c r="R168" t="s">
        <v>780</v>
      </c>
      <c r="S168" t="s">
        <v>788</v>
      </c>
      <c r="T168">
        <v>3857.196388</v>
      </c>
      <c r="U168" s="2">
        <v>44529</v>
      </c>
      <c r="V168" t="s">
        <v>798</v>
      </c>
    </row>
    <row r="169" spans="1:22">
      <c r="A169" s="1" t="s">
        <v>189</v>
      </c>
      <c r="B169">
        <f>HYPERLINK("https://www.suredividend.com/sure-analysis-IPG/","Interpublic Group Of Cos., Inc.")</f>
        <v>0</v>
      </c>
      <c r="C169">
        <v>37.89</v>
      </c>
      <c r="D169">
        <v>41</v>
      </c>
      <c r="E169">
        <v>0.9241463414634147</v>
      </c>
      <c r="F169">
        <v>0.02850356294536817</v>
      </c>
      <c r="G169">
        <v>0.01590208180411889</v>
      </c>
      <c r="H169">
        <v>0.07000000000000001</v>
      </c>
      <c r="I169">
        <v>0.1107203515106332</v>
      </c>
      <c r="J169" t="s">
        <v>777</v>
      </c>
      <c r="K169" t="s">
        <v>777</v>
      </c>
      <c r="L169">
        <v>2.58</v>
      </c>
      <c r="M169">
        <v>1.08</v>
      </c>
      <c r="N169">
        <v>0.4186046511627907</v>
      </c>
      <c r="O169">
        <v>10</v>
      </c>
      <c r="P169">
        <v>0.06504410274056371</v>
      </c>
      <c r="Q169">
        <v>0.6205495356037151</v>
      </c>
      <c r="R169" t="s">
        <v>780</v>
      </c>
      <c r="S169" t="s">
        <v>784</v>
      </c>
      <c r="T169">
        <v>14509.881331</v>
      </c>
      <c r="U169" s="2">
        <v>44494</v>
      </c>
      <c r="V169" t="s">
        <v>796</v>
      </c>
    </row>
    <row r="170" spans="1:22">
      <c r="A170" s="1" t="s">
        <v>190</v>
      </c>
      <c r="B170">
        <f>HYPERLINK("https://www.suredividend.com/sure-analysis-FNV/","Franco-Nevada Corporation")</f>
        <v>0</v>
      </c>
      <c r="C170">
        <v>135.19</v>
      </c>
      <c r="D170">
        <v>161</v>
      </c>
      <c r="E170">
        <v>0.8396894409937888</v>
      </c>
      <c r="F170">
        <v>0.008876396183149641</v>
      </c>
      <c r="G170">
        <v>0.03556237197781797</v>
      </c>
      <c r="H170">
        <v>0.065</v>
      </c>
      <c r="I170">
        <v>0.1103655649982154</v>
      </c>
      <c r="J170" t="s">
        <v>777</v>
      </c>
      <c r="K170" t="s">
        <v>523</v>
      </c>
      <c r="L170">
        <v>3.49</v>
      </c>
      <c r="M170">
        <v>1.2</v>
      </c>
      <c r="N170">
        <v>0.3438395415472779</v>
      </c>
      <c r="O170">
        <v>14</v>
      </c>
      <c r="P170">
        <v>0.0796084730466029</v>
      </c>
      <c r="Q170">
        <v>0.051539318831626</v>
      </c>
      <c r="R170" t="s">
        <v>780</v>
      </c>
      <c r="S170" t="s">
        <v>790</v>
      </c>
      <c r="T170">
        <v>25904.635785</v>
      </c>
      <c r="U170" s="2">
        <v>44508</v>
      </c>
      <c r="V170" t="s">
        <v>795</v>
      </c>
    </row>
    <row r="171" spans="1:22">
      <c r="A171" s="1" t="s">
        <v>191</v>
      </c>
      <c r="B171">
        <f>HYPERLINK("https://www.suredividend.com/sure-analysis-GEF/","Greif Inc")</f>
        <v>0</v>
      </c>
      <c r="C171">
        <v>58.33</v>
      </c>
      <c r="D171">
        <v>84</v>
      </c>
      <c r="E171">
        <v>0.6944047619047619</v>
      </c>
      <c r="F171">
        <v>0.03154465969483971</v>
      </c>
      <c r="G171">
        <v>0.07566605053986186</v>
      </c>
      <c r="H171">
        <v>0.01</v>
      </c>
      <c r="I171">
        <v>0.1093865164089365</v>
      </c>
      <c r="J171" t="s">
        <v>777</v>
      </c>
      <c r="K171" t="s">
        <v>777</v>
      </c>
      <c r="L171">
        <v>6</v>
      </c>
      <c r="M171">
        <v>1.84</v>
      </c>
      <c r="N171">
        <v>0.3066666666666667</v>
      </c>
      <c r="O171">
        <v>1</v>
      </c>
      <c r="P171">
        <v>0.01884169405651681</v>
      </c>
      <c r="Q171">
        <v>0.251593742687372</v>
      </c>
      <c r="R171" t="s">
        <v>780</v>
      </c>
      <c r="S171" t="s">
        <v>788</v>
      </c>
      <c r="T171">
        <v>2783.633105</v>
      </c>
      <c r="U171" s="2">
        <v>44544</v>
      </c>
      <c r="V171" t="s">
        <v>800</v>
      </c>
    </row>
    <row r="172" spans="1:22">
      <c r="A172" s="1" t="s">
        <v>192</v>
      </c>
      <c r="B172">
        <f>HYPERLINK("https://www.suredividend.com/sure-analysis-NTIOF/","National Bank of Canada")</f>
        <v>0</v>
      </c>
      <c r="C172">
        <v>75.65000000000001</v>
      </c>
      <c r="D172">
        <v>82</v>
      </c>
      <c r="E172">
        <v>0.9225609756097561</v>
      </c>
      <c r="F172">
        <v>0.03595505617977528</v>
      </c>
      <c r="G172">
        <v>0.01625099544388098</v>
      </c>
      <c r="H172">
        <v>0.06</v>
      </c>
      <c r="I172">
        <v>0.1091329285348885</v>
      </c>
      <c r="J172" t="s">
        <v>777</v>
      </c>
      <c r="K172" t="s">
        <v>776</v>
      </c>
      <c r="L172">
        <v>7.11</v>
      </c>
      <c r="M172">
        <v>2.72</v>
      </c>
      <c r="N172">
        <v>0.3825597749648383</v>
      </c>
      <c r="O172">
        <v>9</v>
      </c>
      <c r="P172">
        <v>0.0801851873035635</v>
      </c>
      <c r="Q172">
        <v>0.362730038036412</v>
      </c>
      <c r="R172" t="s">
        <v>780</v>
      </c>
      <c r="S172" t="s">
        <v>789</v>
      </c>
      <c r="T172">
        <v>25750.79807</v>
      </c>
      <c r="U172" s="2">
        <v>44541</v>
      </c>
      <c r="V172" t="s">
        <v>804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72.95</v>
      </c>
      <c r="D173">
        <v>87</v>
      </c>
      <c r="E173">
        <v>0.8385057471264368</v>
      </c>
      <c r="F173">
        <v>0.03838245373543522</v>
      </c>
      <c r="G173">
        <v>0.03585458160306154</v>
      </c>
      <c r="H173">
        <v>0.04</v>
      </c>
      <c r="I173">
        <v>0.1089356589018939</v>
      </c>
      <c r="J173" t="s">
        <v>777</v>
      </c>
      <c r="K173" t="s">
        <v>777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0.221759814781279</v>
      </c>
      <c r="R173" t="s">
        <v>780</v>
      </c>
      <c r="S173" t="s">
        <v>784</v>
      </c>
      <c r="T173">
        <v>15344.599703</v>
      </c>
      <c r="U173" s="2">
        <v>44491</v>
      </c>
      <c r="V173" t="s">
        <v>798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130.16</v>
      </c>
      <c r="D174">
        <v>151</v>
      </c>
      <c r="E174">
        <v>0.8619867549668874</v>
      </c>
      <c r="F174">
        <v>0.03380454824830978</v>
      </c>
      <c r="G174">
        <v>0.03014861143547942</v>
      </c>
      <c r="H174">
        <v>0.05</v>
      </c>
      <c r="I174">
        <v>0.1089169172080562</v>
      </c>
      <c r="J174" t="s">
        <v>777</v>
      </c>
      <c r="K174" t="s">
        <v>777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0.05449973395088201</v>
      </c>
      <c r="R174" t="s">
        <v>780</v>
      </c>
      <c r="S174" t="s">
        <v>792</v>
      </c>
      <c r="T174">
        <v>41324.279315</v>
      </c>
      <c r="U174" s="2">
        <v>44516</v>
      </c>
      <c r="V174" t="s">
        <v>803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21.72</v>
      </c>
      <c r="D175">
        <v>24</v>
      </c>
      <c r="E175">
        <v>0.9049999999999999</v>
      </c>
      <c r="F175">
        <v>0.03683241252302026</v>
      </c>
      <c r="G175">
        <v>0.02016468184820908</v>
      </c>
      <c r="H175">
        <v>0.055</v>
      </c>
      <c r="I175">
        <v>0.1077430857387112</v>
      </c>
      <c r="J175" t="s">
        <v>777</v>
      </c>
      <c r="K175" t="s">
        <v>776</v>
      </c>
      <c r="L175">
        <v>1.85</v>
      </c>
      <c r="M175">
        <v>0.8</v>
      </c>
      <c r="N175">
        <v>0.4324324324324325</v>
      </c>
      <c r="O175">
        <v>13</v>
      </c>
      <c r="P175">
        <v>0.06576275663547415</v>
      </c>
      <c r="Q175">
        <v>0.227863182612115</v>
      </c>
      <c r="R175" t="s">
        <v>780</v>
      </c>
      <c r="S175" t="s">
        <v>789</v>
      </c>
      <c r="T175">
        <v>501.399398</v>
      </c>
      <c r="U175" s="2">
        <v>44506</v>
      </c>
      <c r="V175" t="s">
        <v>798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39.83</v>
      </c>
      <c r="D176">
        <v>46</v>
      </c>
      <c r="E176">
        <v>0.8658695652173912</v>
      </c>
      <c r="F176">
        <v>0.08285212151644489</v>
      </c>
      <c r="G176">
        <v>0.0292230527260906</v>
      </c>
      <c r="H176">
        <v>0.015</v>
      </c>
      <c r="I176">
        <v>0.1064687750517594</v>
      </c>
      <c r="J176" t="s">
        <v>777</v>
      </c>
      <c r="K176" t="s">
        <v>776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0.4975608635385471</v>
      </c>
      <c r="R176" t="s">
        <v>781</v>
      </c>
      <c r="S176" t="s">
        <v>793</v>
      </c>
      <c r="T176">
        <v>3259.901531</v>
      </c>
      <c r="U176" s="2">
        <v>44507</v>
      </c>
      <c r="V176" t="s">
        <v>798</v>
      </c>
    </row>
    <row r="177" spans="1:22">
      <c r="A177" s="1" t="s">
        <v>197</v>
      </c>
      <c r="B177">
        <f>HYPERLINK("https://www.suredividend.com/sure-analysis-RY/","Royal Bank Of Canada")</f>
        <v>0</v>
      </c>
      <c r="C177">
        <v>105.59</v>
      </c>
      <c r="D177">
        <v>107</v>
      </c>
      <c r="E177">
        <v>0.9868224299065421</v>
      </c>
      <c r="F177">
        <v>0.03646178615399186</v>
      </c>
      <c r="G177">
        <v>0.002656555334888067</v>
      </c>
      <c r="H177">
        <v>0.07000000000000001</v>
      </c>
      <c r="I177">
        <v>0.1056609271257887</v>
      </c>
      <c r="J177" t="s">
        <v>777</v>
      </c>
      <c r="K177" t="s">
        <v>776</v>
      </c>
      <c r="L177">
        <v>8.73</v>
      </c>
      <c r="M177">
        <v>3.85</v>
      </c>
      <c r="N177">
        <v>0.4410080183276059</v>
      </c>
      <c r="O177">
        <v>10</v>
      </c>
      <c r="P177">
        <v>0.08011784268735989</v>
      </c>
      <c r="Q177">
        <v>0.3212985782710781</v>
      </c>
      <c r="R177" t="s">
        <v>780</v>
      </c>
      <c r="S177" t="s">
        <v>789</v>
      </c>
      <c r="T177">
        <v>148557.5736</v>
      </c>
      <c r="U177" s="2">
        <v>44541</v>
      </c>
      <c r="V177" t="s">
        <v>804</v>
      </c>
    </row>
    <row r="178" spans="1:22">
      <c r="A178" s="1" t="s">
        <v>198</v>
      </c>
      <c r="B178">
        <f>HYPERLINK("https://www.suredividend.com/sure-analysis-HBI/","Hanesbrands Inc")</f>
        <v>0</v>
      </c>
      <c r="C178">
        <v>16.56</v>
      </c>
      <c r="D178">
        <v>18</v>
      </c>
      <c r="E178">
        <v>0.9199999999999999</v>
      </c>
      <c r="F178">
        <v>0.03623188405797102</v>
      </c>
      <c r="G178">
        <v>0.01681614782195462</v>
      </c>
      <c r="H178">
        <v>0.06</v>
      </c>
      <c r="I178">
        <v>0.1046331308180075</v>
      </c>
      <c r="J178" t="s">
        <v>777</v>
      </c>
      <c r="K178" t="s">
        <v>776</v>
      </c>
      <c r="L178">
        <v>1.82</v>
      </c>
      <c r="M178">
        <v>0.6</v>
      </c>
      <c r="N178">
        <v>0.3296703296703297</v>
      </c>
      <c r="O178">
        <v>0</v>
      </c>
      <c r="P178">
        <v>0.01613736474159566</v>
      </c>
      <c r="Q178">
        <v>0.147342567754082</v>
      </c>
      <c r="R178" t="s">
        <v>780</v>
      </c>
      <c r="S178" t="s">
        <v>788</v>
      </c>
      <c r="T178">
        <v>5660.605156</v>
      </c>
      <c r="U178" s="2">
        <v>44512</v>
      </c>
      <c r="V178" t="s">
        <v>803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297.767</v>
      </c>
      <c r="D179">
        <v>338</v>
      </c>
      <c r="E179">
        <v>0.8809674556213017</v>
      </c>
      <c r="F179">
        <v>0.04365829658760037</v>
      </c>
      <c r="G179">
        <v>0.02567088332233358</v>
      </c>
      <c r="H179">
        <v>0.04</v>
      </c>
      <c r="I179">
        <v>0.1032344913131351</v>
      </c>
      <c r="J179" t="s">
        <v>777</v>
      </c>
      <c r="K179" t="s">
        <v>776</v>
      </c>
      <c r="L179">
        <v>27</v>
      </c>
      <c r="M179">
        <v>13</v>
      </c>
      <c r="N179">
        <v>0.4814814814814815</v>
      </c>
      <c r="O179">
        <v>6</v>
      </c>
      <c r="P179">
        <v>0.0499789846479779</v>
      </c>
      <c r="Q179">
        <v>-0.009864059760807</v>
      </c>
      <c r="R179" t="s">
        <v>780</v>
      </c>
      <c r="S179" t="s">
        <v>789</v>
      </c>
      <c r="T179">
        <v>40908.887852</v>
      </c>
      <c r="U179" s="2">
        <v>44516</v>
      </c>
      <c r="V179" t="s">
        <v>796</v>
      </c>
    </row>
    <row r="180" spans="1:22">
      <c r="A180" s="1" t="s">
        <v>200</v>
      </c>
      <c r="B180">
        <f>HYPERLINK("https://www.suredividend.com/sure-analysis-BMO/","Bank of Montreal")</f>
        <v>0</v>
      </c>
      <c r="C180">
        <v>107.66</v>
      </c>
      <c r="D180">
        <v>114</v>
      </c>
      <c r="E180">
        <v>0.9443859649122807</v>
      </c>
      <c r="F180">
        <v>0.03854727846925507</v>
      </c>
      <c r="G180">
        <v>0.01150980090256293</v>
      </c>
      <c r="H180">
        <v>0.055</v>
      </c>
      <c r="I180">
        <v>0.1014432732252972</v>
      </c>
      <c r="J180" t="s">
        <v>777</v>
      </c>
      <c r="K180" t="s">
        <v>776</v>
      </c>
      <c r="L180">
        <v>10.23</v>
      </c>
      <c r="M180">
        <v>4.15</v>
      </c>
      <c r="N180">
        <v>0.4056695992179863</v>
      </c>
      <c r="O180">
        <v>9</v>
      </c>
      <c r="P180">
        <v>0.06997831883783956</v>
      </c>
      <c r="Q180">
        <v>0.446717599795648</v>
      </c>
      <c r="R180" t="s">
        <v>780</v>
      </c>
      <c r="S180" t="s">
        <v>789</v>
      </c>
      <c r="T180">
        <v>68648.001689</v>
      </c>
      <c r="U180" s="2">
        <v>44535</v>
      </c>
      <c r="V180" t="s">
        <v>804</v>
      </c>
    </row>
    <row r="181" spans="1:22">
      <c r="A181" s="1" t="s">
        <v>201</v>
      </c>
      <c r="B181">
        <f>HYPERLINK("https://www.suredividend.com/sure-analysis-MO/","Altria Group Inc.")</f>
        <v>0</v>
      </c>
      <c r="C181">
        <v>46.79</v>
      </c>
      <c r="D181">
        <v>50.8</v>
      </c>
      <c r="E181">
        <v>0.9210629921259843</v>
      </c>
      <c r="F181">
        <v>0.07693951699081</v>
      </c>
      <c r="G181">
        <v>0.01658133937078166</v>
      </c>
      <c r="H181">
        <v>0.022</v>
      </c>
      <c r="I181">
        <v>0.1013592291982055</v>
      </c>
      <c r="J181" t="s">
        <v>777</v>
      </c>
      <c r="K181" t="s">
        <v>776</v>
      </c>
      <c r="L181">
        <v>4.62</v>
      </c>
      <c r="M181">
        <v>3.6</v>
      </c>
      <c r="N181">
        <v>0.7792207792207793</v>
      </c>
      <c r="O181">
        <v>52</v>
      </c>
      <c r="P181">
        <v>0.02129568760013512</v>
      </c>
      <c r="Q181">
        <v>0.179990196227063</v>
      </c>
      <c r="R181" t="s">
        <v>780</v>
      </c>
      <c r="S181" t="s">
        <v>791</v>
      </c>
      <c r="T181">
        <v>85787.377987</v>
      </c>
      <c r="U181" s="2">
        <v>44506</v>
      </c>
      <c r="V181" t="s">
        <v>805</v>
      </c>
    </row>
    <row r="182" spans="1:22">
      <c r="A182" s="1" t="s">
        <v>202</v>
      </c>
      <c r="B182">
        <f>HYPERLINK("https://www.suredividend.com/sure-analysis-HRB/","H&amp;R Block Inc.")</f>
        <v>0</v>
      </c>
      <c r="C182">
        <v>23.6</v>
      </c>
      <c r="D182">
        <v>26.6</v>
      </c>
      <c r="E182">
        <v>0.8872180451127819</v>
      </c>
      <c r="F182">
        <v>0.04576271186440678</v>
      </c>
      <c r="G182">
        <v>0.02422159108554056</v>
      </c>
      <c r="H182">
        <v>0.037</v>
      </c>
      <c r="I182">
        <v>0.1012570178835888</v>
      </c>
      <c r="J182" t="s">
        <v>777</v>
      </c>
      <c r="K182" t="s">
        <v>776</v>
      </c>
      <c r="L182">
        <v>2.84</v>
      </c>
      <c r="M182">
        <v>1.08</v>
      </c>
      <c r="N182">
        <v>0.3802816901408451</v>
      </c>
      <c r="O182">
        <v>6</v>
      </c>
      <c r="P182">
        <v>0.05327276858309027</v>
      </c>
      <c r="Q182">
        <v>0.5921326732137541</v>
      </c>
      <c r="R182" t="s">
        <v>780</v>
      </c>
      <c r="S182" t="s">
        <v>788</v>
      </c>
      <c r="T182">
        <v>4134.316617</v>
      </c>
      <c r="U182" s="2">
        <v>44509</v>
      </c>
      <c r="V182" t="s">
        <v>805</v>
      </c>
    </row>
    <row r="183" spans="1:22">
      <c r="A183" s="1" t="s">
        <v>203</v>
      </c>
      <c r="B183">
        <f>HYPERLINK("https://www.suredividend.com/sure-analysis-MRK/","Merck &amp; Co Inc")</f>
        <v>0</v>
      </c>
      <c r="C183">
        <v>76.56999999999999</v>
      </c>
      <c r="D183">
        <v>85</v>
      </c>
      <c r="E183">
        <v>0.9008235294117646</v>
      </c>
      <c r="F183">
        <v>0.03604544860911584</v>
      </c>
      <c r="G183">
        <v>0.02110888635920638</v>
      </c>
      <c r="H183">
        <v>0.05</v>
      </c>
      <c r="I183">
        <v>0.1010786904842245</v>
      </c>
      <c r="J183" t="s">
        <v>777</v>
      </c>
      <c r="K183" t="s">
        <v>777</v>
      </c>
      <c r="L183">
        <v>5.68</v>
      </c>
      <c r="M183">
        <v>2.76</v>
      </c>
      <c r="N183">
        <v>0.4859154929577464</v>
      </c>
      <c r="O183">
        <v>11</v>
      </c>
      <c r="P183">
        <v>0.03763783845459012</v>
      </c>
      <c r="Q183">
        <v>-0.02071207538435</v>
      </c>
      <c r="R183" t="s">
        <v>780</v>
      </c>
      <c r="S183" t="s">
        <v>785</v>
      </c>
      <c r="T183">
        <v>191289.734273</v>
      </c>
      <c r="U183" s="2">
        <v>44500</v>
      </c>
      <c r="V183" t="s">
        <v>797</v>
      </c>
    </row>
    <row r="184" spans="1:22">
      <c r="A184" s="1" t="s">
        <v>204</v>
      </c>
      <c r="B184">
        <f>HYPERLINK("https://www.suredividend.com/sure-analysis-SWX/","Southwest Gas Holdings Inc")</f>
        <v>0</v>
      </c>
      <c r="C184">
        <v>70.2</v>
      </c>
      <c r="D184">
        <v>76</v>
      </c>
      <c r="E184">
        <v>0.9236842105263158</v>
      </c>
      <c r="F184">
        <v>0.0339031339031339</v>
      </c>
      <c r="G184">
        <v>0.0160037152085295</v>
      </c>
      <c r="H184">
        <v>0.055</v>
      </c>
      <c r="I184">
        <v>0.100168482692508</v>
      </c>
      <c r="J184" t="s">
        <v>777</v>
      </c>
      <c r="K184" t="s">
        <v>777</v>
      </c>
      <c r="L184">
        <v>4.1</v>
      </c>
      <c r="M184">
        <v>2.38</v>
      </c>
      <c r="N184">
        <v>0.5804878048780489</v>
      </c>
      <c r="O184">
        <v>14</v>
      </c>
      <c r="P184">
        <v>0.05016931709648742</v>
      </c>
      <c r="Q184">
        <v>0.226793247129651</v>
      </c>
      <c r="R184" t="s">
        <v>780</v>
      </c>
      <c r="S184" t="s">
        <v>792</v>
      </c>
      <c r="T184">
        <v>4304.248788</v>
      </c>
      <c r="U184" s="2">
        <v>44511</v>
      </c>
      <c r="V184" t="s">
        <v>795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184.18</v>
      </c>
      <c r="D185">
        <v>209</v>
      </c>
      <c r="E185">
        <v>0.8812440191387561</v>
      </c>
      <c r="F185">
        <v>0.02562710392007818</v>
      </c>
      <c r="G185">
        <v>0.02560649735047149</v>
      </c>
      <c r="H185">
        <v>0.05</v>
      </c>
      <c r="I185">
        <v>0.1000279418599392</v>
      </c>
      <c r="J185" t="s">
        <v>777</v>
      </c>
      <c r="K185" t="s">
        <v>777</v>
      </c>
      <c r="L185">
        <v>14.95</v>
      </c>
      <c r="M185">
        <v>4.72</v>
      </c>
      <c r="N185">
        <v>0.3157190635451505</v>
      </c>
      <c r="O185">
        <v>10</v>
      </c>
      <c r="P185">
        <v>0.08014856837381279</v>
      </c>
      <c r="Q185">
        <v>0.127545501575506</v>
      </c>
      <c r="R185" t="s">
        <v>780</v>
      </c>
      <c r="S185" t="s">
        <v>786</v>
      </c>
      <c r="T185">
        <v>7299.514446</v>
      </c>
      <c r="U185" s="2">
        <v>44516</v>
      </c>
      <c r="V185" t="s">
        <v>801</v>
      </c>
    </row>
    <row r="186" spans="1:22">
      <c r="A186" s="1" t="s">
        <v>206</v>
      </c>
      <c r="B186">
        <f>HYPERLINK("https://www.suredividend.com/sure-analysis-RDEIY/","Red Electrica Corporacion S.A.")</f>
        <v>0</v>
      </c>
      <c r="C186">
        <v>10.5</v>
      </c>
      <c r="D186">
        <v>10.5</v>
      </c>
      <c r="E186">
        <v>1</v>
      </c>
      <c r="F186">
        <v>0.05714285714285714</v>
      </c>
      <c r="G186">
        <v>0</v>
      </c>
      <c r="H186">
        <v>0.05</v>
      </c>
      <c r="I186">
        <v>0.09978729030878575</v>
      </c>
      <c r="J186" t="s">
        <v>777</v>
      </c>
      <c r="K186" t="s">
        <v>776</v>
      </c>
      <c r="L186">
        <v>1.75</v>
      </c>
      <c r="M186">
        <v>0.6</v>
      </c>
      <c r="N186">
        <v>0.3428571428571429</v>
      </c>
      <c r="O186">
        <v>5</v>
      </c>
      <c r="P186">
        <v>0.05115774595007161</v>
      </c>
      <c r="Q186">
        <v>0.055165496489468</v>
      </c>
      <c r="R186" t="s">
        <v>780</v>
      </c>
      <c r="S186" t="s">
        <v>792</v>
      </c>
      <c r="T186">
        <v>11384.3232</v>
      </c>
      <c r="U186" s="2">
        <v>44500</v>
      </c>
      <c r="V186" t="s">
        <v>797</v>
      </c>
    </row>
    <row r="187" spans="1:22">
      <c r="A187" s="1" t="s">
        <v>207</v>
      </c>
      <c r="B187">
        <f>HYPERLINK("https://www.suredividend.com/sure-analysis-TTC/","Toro Co.")</f>
        <v>0</v>
      </c>
      <c r="C187">
        <v>99.88</v>
      </c>
      <c r="D187">
        <v>94</v>
      </c>
      <c r="E187">
        <v>1.062553191489362</v>
      </c>
      <c r="F187">
        <v>0.01201441730076091</v>
      </c>
      <c r="G187">
        <v>-0.01206160520858746</v>
      </c>
      <c r="H187">
        <v>0.1</v>
      </c>
      <c r="I187">
        <v>0.09805374909020426</v>
      </c>
      <c r="J187" t="s">
        <v>777</v>
      </c>
      <c r="K187" t="s">
        <v>345</v>
      </c>
      <c r="L187">
        <v>4</v>
      </c>
      <c r="M187">
        <v>1.2</v>
      </c>
      <c r="N187">
        <v>0.3</v>
      </c>
      <c r="O187">
        <v>12</v>
      </c>
      <c r="P187">
        <v>0.09970250059947383</v>
      </c>
      <c r="Q187">
        <v>0.065920279208437</v>
      </c>
      <c r="R187" t="s">
        <v>780</v>
      </c>
      <c r="S187" t="s">
        <v>786</v>
      </c>
      <c r="T187">
        <v>10377.5524</v>
      </c>
      <c r="U187" s="2">
        <v>44547</v>
      </c>
      <c r="V187" t="s">
        <v>795</v>
      </c>
    </row>
    <row r="188" spans="1:22">
      <c r="A188" s="1" t="s">
        <v>208</v>
      </c>
      <c r="B188">
        <f>HYPERLINK("https://www.suredividend.com/sure-analysis-NVS/","Novartis AG")</f>
        <v>0</v>
      </c>
      <c r="C188">
        <v>87.61</v>
      </c>
      <c r="D188">
        <v>100</v>
      </c>
      <c r="E188">
        <v>0.8761</v>
      </c>
      <c r="F188">
        <v>0.0365255107864399</v>
      </c>
      <c r="G188">
        <v>0.02680804793295732</v>
      </c>
      <c r="H188">
        <v>0.04</v>
      </c>
      <c r="I188">
        <v>0.09778426418623343</v>
      </c>
      <c r="J188" t="s">
        <v>777</v>
      </c>
      <c r="K188" t="s">
        <v>776</v>
      </c>
      <c r="L188">
        <v>6.28</v>
      </c>
      <c r="M188">
        <v>3.2</v>
      </c>
      <c r="N188">
        <v>0.5095541401273885</v>
      </c>
      <c r="O188">
        <v>25</v>
      </c>
      <c r="P188">
        <v>0.03982420952666454</v>
      </c>
      <c r="Q188">
        <v>0.017931857531826</v>
      </c>
      <c r="R188" t="s">
        <v>780</v>
      </c>
      <c r="S188" t="s">
        <v>785</v>
      </c>
      <c r="T188">
        <v>210966.916927</v>
      </c>
      <c r="U188" s="2">
        <v>44496</v>
      </c>
      <c r="V188" t="s">
        <v>797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922.5700000000001</v>
      </c>
      <c r="D189">
        <v>802</v>
      </c>
      <c r="E189">
        <v>1.150336658354115</v>
      </c>
      <c r="F189">
        <v>0.01790650031975893</v>
      </c>
      <c r="G189">
        <v>-0.02762226055364914</v>
      </c>
      <c r="H189">
        <v>0.11</v>
      </c>
      <c r="I189">
        <v>0.09699508247275701</v>
      </c>
      <c r="J189" t="s">
        <v>777</v>
      </c>
      <c r="K189" t="s">
        <v>345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0.31782527683242</v>
      </c>
      <c r="R189" t="s">
        <v>780</v>
      </c>
      <c r="S189" t="s">
        <v>789</v>
      </c>
      <c r="T189">
        <v>138840.146404</v>
      </c>
      <c r="U189" s="2">
        <v>44484</v>
      </c>
      <c r="V189" t="s">
        <v>804</v>
      </c>
    </row>
    <row r="190" spans="1:22">
      <c r="A190" s="1" t="s">
        <v>210</v>
      </c>
      <c r="B190">
        <f>HYPERLINK("https://www.suredividend.com/sure-analysis-LMT/","Lockheed Martin Corp.")</f>
        <v>0</v>
      </c>
      <c r="C190">
        <v>350.28</v>
      </c>
      <c r="D190">
        <v>359</v>
      </c>
      <c r="E190">
        <v>0.9757103064066852</v>
      </c>
      <c r="F190">
        <v>0.0319744204636291</v>
      </c>
      <c r="G190">
        <v>0.004930023538375794</v>
      </c>
      <c r="H190">
        <v>0.06</v>
      </c>
      <c r="I190">
        <v>0.09401881113918842</v>
      </c>
      <c r="J190" t="s">
        <v>777</v>
      </c>
      <c r="K190" t="s">
        <v>777</v>
      </c>
      <c r="L190">
        <v>22.45</v>
      </c>
      <c r="M190">
        <v>11.2</v>
      </c>
      <c r="N190">
        <v>0.4988864142538975</v>
      </c>
      <c r="O190">
        <v>20</v>
      </c>
      <c r="P190">
        <v>0.06810541783933033</v>
      </c>
      <c r="Q190">
        <v>0.01577878959516</v>
      </c>
      <c r="R190" t="s">
        <v>780</v>
      </c>
      <c r="S190" t="s">
        <v>786</v>
      </c>
      <c r="T190">
        <v>95703.410409</v>
      </c>
      <c r="U190" s="2">
        <v>44502</v>
      </c>
      <c r="V190" t="s">
        <v>801</v>
      </c>
    </row>
    <row r="191" spans="1:22">
      <c r="A191" s="1" t="s">
        <v>211</v>
      </c>
      <c r="B191">
        <f>HYPERLINK("https://www.suredividend.com/sure-analysis-CMI/","Cummins Inc.")</f>
        <v>0</v>
      </c>
      <c r="C191">
        <v>216.21</v>
      </c>
      <c r="D191">
        <v>207</v>
      </c>
      <c r="E191">
        <v>1.044492753623188</v>
      </c>
      <c r="F191">
        <v>0.02682577124092318</v>
      </c>
      <c r="G191">
        <v>-0.00866848302328127</v>
      </c>
      <c r="H191">
        <v>0.08</v>
      </c>
      <c r="I191">
        <v>0.09334073130756559</v>
      </c>
      <c r="J191" t="s">
        <v>777</v>
      </c>
      <c r="K191" t="s">
        <v>777</v>
      </c>
      <c r="L191">
        <v>15.92</v>
      </c>
      <c r="M191">
        <v>5.8</v>
      </c>
      <c r="N191">
        <v>0.364321608040201</v>
      </c>
      <c r="O191">
        <v>16</v>
      </c>
      <c r="P191">
        <v>0.0499309672496191</v>
      </c>
      <c r="Q191">
        <v>-0.033160030834771</v>
      </c>
      <c r="R191" t="s">
        <v>780</v>
      </c>
      <c r="S191" t="s">
        <v>786</v>
      </c>
      <c r="T191">
        <v>30604.524517</v>
      </c>
      <c r="U191" s="2">
        <v>44502</v>
      </c>
      <c r="V191" t="s">
        <v>797</v>
      </c>
    </row>
    <row r="192" spans="1:22">
      <c r="A192" s="1" t="s">
        <v>212</v>
      </c>
      <c r="B192">
        <f>HYPERLINK("https://www.suredividend.com/sure-analysis-EVRG/","Evergy Inc")</f>
        <v>0</v>
      </c>
      <c r="C192">
        <v>67.48</v>
      </c>
      <c r="D192">
        <v>65</v>
      </c>
      <c r="E192">
        <v>1.038153846153846</v>
      </c>
      <c r="F192">
        <v>0.03393598103141671</v>
      </c>
      <c r="G192">
        <v>-0.007460826379053209</v>
      </c>
      <c r="H192">
        <v>0.07000000000000001</v>
      </c>
      <c r="I192">
        <v>0.09326172979172132</v>
      </c>
      <c r="J192" t="s">
        <v>777</v>
      </c>
      <c r="K192" t="s">
        <v>777</v>
      </c>
      <c r="L192">
        <v>3.55</v>
      </c>
      <c r="M192">
        <v>2.29</v>
      </c>
      <c r="N192">
        <v>0.6450704225352113</v>
      </c>
      <c r="O192">
        <v>17</v>
      </c>
      <c r="P192">
        <v>0.07318952131901812</v>
      </c>
      <c r="Q192">
        <v>0.293692401616388</v>
      </c>
      <c r="R192" t="s">
        <v>780</v>
      </c>
      <c r="S192" t="s">
        <v>792</v>
      </c>
      <c r="T192">
        <v>15305.955225</v>
      </c>
      <c r="U192" s="2">
        <v>44508</v>
      </c>
      <c r="V192" t="s">
        <v>803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27.535</v>
      </c>
      <c r="D193">
        <v>29</v>
      </c>
      <c r="E193">
        <v>0.9494827586206896</v>
      </c>
      <c r="F193">
        <v>0.05120755402215362</v>
      </c>
      <c r="G193">
        <v>0.01042151103900202</v>
      </c>
      <c r="H193">
        <v>0.04</v>
      </c>
      <c r="I193">
        <v>0.09269998047367523</v>
      </c>
      <c r="J193" t="s">
        <v>777</v>
      </c>
      <c r="K193" t="s">
        <v>776</v>
      </c>
      <c r="L193">
        <v>1.8</v>
      </c>
      <c r="M193">
        <v>1.41</v>
      </c>
      <c r="N193">
        <v>0.7833333333333332</v>
      </c>
      <c r="O193">
        <v>49</v>
      </c>
      <c r="P193">
        <v>0.02560510523091319</v>
      </c>
      <c r="Q193">
        <v>0.171875</v>
      </c>
      <c r="R193" t="s">
        <v>780</v>
      </c>
      <c r="S193" t="s">
        <v>792</v>
      </c>
      <c r="T193">
        <v>5601.207515</v>
      </c>
      <c r="U193" s="2">
        <v>44502</v>
      </c>
      <c r="V193" t="s">
        <v>796</v>
      </c>
    </row>
    <row r="194" spans="1:22">
      <c r="A194" s="1" t="s">
        <v>214</v>
      </c>
      <c r="B194">
        <f>HYPERLINK("https://www.suredividend.com/sure-analysis-NJR/","New Jersey Resources Corporation")</f>
        <v>0</v>
      </c>
      <c r="C194">
        <v>40.83</v>
      </c>
      <c r="D194">
        <v>42</v>
      </c>
      <c r="E194">
        <v>0.9721428571428571</v>
      </c>
      <c r="F194">
        <v>0.03551310311045799</v>
      </c>
      <c r="G194">
        <v>0.005666496791038922</v>
      </c>
      <c r="H194">
        <v>0.055</v>
      </c>
      <c r="I194">
        <v>0.09214893092844023</v>
      </c>
      <c r="J194" t="s">
        <v>777</v>
      </c>
      <c r="K194" t="s">
        <v>777</v>
      </c>
      <c r="L194">
        <v>2.25</v>
      </c>
      <c r="M194">
        <v>1.45</v>
      </c>
      <c r="N194">
        <v>0.6444444444444444</v>
      </c>
      <c r="O194">
        <v>25</v>
      </c>
      <c r="P194">
        <v>0.05554589164848389</v>
      </c>
      <c r="Q194">
        <v>0.192510784752834</v>
      </c>
      <c r="R194" t="s">
        <v>780</v>
      </c>
      <c r="S194" t="s">
        <v>792</v>
      </c>
      <c r="T194">
        <v>3883.060725</v>
      </c>
      <c r="U194" s="2">
        <v>44532</v>
      </c>
      <c r="V194" t="s">
        <v>795</v>
      </c>
    </row>
    <row r="195" spans="1:22">
      <c r="A195" s="1" t="s">
        <v>215</v>
      </c>
      <c r="B195">
        <f>HYPERLINK("https://www.suredividend.com/sure-analysis-BNS/","Bank Of Nova Scotia")</f>
        <v>0</v>
      </c>
      <c r="C195">
        <v>70.91</v>
      </c>
      <c r="D195">
        <v>72</v>
      </c>
      <c r="E195">
        <v>0.9848611111111111</v>
      </c>
      <c r="F195">
        <v>0.04414045973769567</v>
      </c>
      <c r="G195">
        <v>0.003055589164711492</v>
      </c>
      <c r="H195">
        <v>0.05</v>
      </c>
      <c r="I195">
        <v>0.09186189713897286</v>
      </c>
      <c r="J195" t="s">
        <v>777</v>
      </c>
      <c r="K195" t="s">
        <v>776</v>
      </c>
      <c r="L195">
        <v>6.33</v>
      </c>
      <c r="M195">
        <v>3.13</v>
      </c>
      <c r="N195">
        <v>0.4944707740916272</v>
      </c>
      <c r="O195">
        <v>9</v>
      </c>
      <c r="P195">
        <v>0.0497495850210754</v>
      </c>
      <c r="Q195">
        <v>0.36787349473156</v>
      </c>
      <c r="R195" t="s">
        <v>780</v>
      </c>
      <c r="S195" t="s">
        <v>789</v>
      </c>
      <c r="T195">
        <v>84818.40573</v>
      </c>
      <c r="U195" s="2">
        <v>44530</v>
      </c>
      <c r="V195" t="s">
        <v>804</v>
      </c>
    </row>
    <row r="196" spans="1:22">
      <c r="A196" s="1" t="s">
        <v>216</v>
      </c>
      <c r="B196">
        <f>HYPERLINK("https://www.suredividend.com/sure-analysis-KDP/","Keurig Dr Pepper Inc")</f>
        <v>0</v>
      </c>
      <c r="C196">
        <v>36.11</v>
      </c>
      <c r="D196">
        <v>32</v>
      </c>
      <c r="E196">
        <v>1.1284375</v>
      </c>
      <c r="F196">
        <v>0.01966214345056771</v>
      </c>
      <c r="G196">
        <v>-0.0238771079383242</v>
      </c>
      <c r="H196">
        <v>0.1</v>
      </c>
      <c r="I196">
        <v>0.09041863514586312</v>
      </c>
      <c r="J196" t="s">
        <v>777</v>
      </c>
      <c r="K196" t="s">
        <v>345</v>
      </c>
      <c r="L196">
        <v>1.6</v>
      </c>
      <c r="M196">
        <v>0.71</v>
      </c>
      <c r="N196">
        <v>0.44375</v>
      </c>
      <c r="O196">
        <v>1</v>
      </c>
      <c r="P196">
        <v>0.05088842545712402</v>
      </c>
      <c r="Q196">
        <v>0.149899695727709</v>
      </c>
      <c r="R196" t="s">
        <v>780</v>
      </c>
      <c r="S196" t="s">
        <v>791</v>
      </c>
      <c r="T196">
        <v>50961.539688</v>
      </c>
      <c r="U196" s="2">
        <v>44530</v>
      </c>
      <c r="V196" t="s">
        <v>801</v>
      </c>
    </row>
    <row r="197" spans="1:22">
      <c r="A197" s="1" t="s">
        <v>217</v>
      </c>
      <c r="B197">
        <f>HYPERLINK("https://www.suredividend.com/sure-analysis-BIP/","Brookfield Infrastructure Partners L.P")</f>
        <v>0</v>
      </c>
      <c r="C197">
        <v>59.38</v>
      </c>
      <c r="D197">
        <v>56</v>
      </c>
      <c r="E197">
        <v>1.060357142857143</v>
      </c>
      <c r="F197">
        <v>0.03435500168406871</v>
      </c>
      <c r="G197">
        <v>-0.01165273057589977</v>
      </c>
      <c r="H197">
        <v>0.07000000000000001</v>
      </c>
      <c r="I197">
        <v>0.09026637636694157</v>
      </c>
      <c r="J197" t="s">
        <v>777</v>
      </c>
      <c r="K197" t="s">
        <v>777</v>
      </c>
      <c r="L197">
        <v>3.5</v>
      </c>
      <c r="M197">
        <v>2.04</v>
      </c>
      <c r="N197">
        <v>0.5828571428571429</v>
      </c>
      <c r="O197">
        <v>12</v>
      </c>
      <c r="P197">
        <v>0.0801851873035635</v>
      </c>
      <c r="Q197">
        <v>0.214063714063714</v>
      </c>
      <c r="R197" t="s">
        <v>781</v>
      </c>
      <c r="S197" t="s">
        <v>792</v>
      </c>
      <c r="T197">
        <v>17356.511736</v>
      </c>
      <c r="U197" s="2">
        <v>44506</v>
      </c>
      <c r="V197" t="s">
        <v>804</v>
      </c>
    </row>
    <row r="198" spans="1:22">
      <c r="A198" s="1" t="s">
        <v>218</v>
      </c>
      <c r="B198">
        <f>HYPERLINK("https://www.suredividend.com/sure-analysis-TDS/","Telephone And Data Systems, Inc.")</f>
        <v>0</v>
      </c>
      <c r="C198">
        <v>20.42</v>
      </c>
      <c r="D198">
        <v>25</v>
      </c>
      <c r="E198">
        <v>0.8168000000000001</v>
      </c>
      <c r="F198">
        <v>0.03428011753183154</v>
      </c>
      <c r="G198">
        <v>0.041302363621045</v>
      </c>
      <c r="H198">
        <v>0.02</v>
      </c>
      <c r="I198">
        <v>0.09004786701427658</v>
      </c>
      <c r="J198" t="s">
        <v>777</v>
      </c>
      <c r="K198" t="s">
        <v>776</v>
      </c>
      <c r="L198">
        <v>0.93</v>
      </c>
      <c r="M198">
        <v>0.7</v>
      </c>
      <c r="N198">
        <v>0.7526881720430106</v>
      </c>
      <c r="O198">
        <v>45</v>
      </c>
      <c r="P198">
        <v>0.02962100943384161</v>
      </c>
      <c r="Q198">
        <v>0.166545092650709</v>
      </c>
      <c r="R198" t="s">
        <v>780</v>
      </c>
      <c r="S198" t="s">
        <v>784</v>
      </c>
      <c r="T198">
        <v>2215.294786</v>
      </c>
      <c r="U198" s="2">
        <v>44515</v>
      </c>
      <c r="V198" t="s">
        <v>795</v>
      </c>
    </row>
    <row r="199" spans="1:22">
      <c r="A199" s="1" t="s">
        <v>219</v>
      </c>
      <c r="B199">
        <f>HYPERLINK("https://www.suredividend.com/sure-analysis-SLF/","Sun Life Financial, Inc.")</f>
        <v>0</v>
      </c>
      <c r="C199">
        <v>55.56</v>
      </c>
      <c r="D199">
        <v>53</v>
      </c>
      <c r="E199">
        <v>1.048301886792453</v>
      </c>
      <c r="F199">
        <v>0.03167746580273578</v>
      </c>
      <c r="G199">
        <v>-0.009389957284733463</v>
      </c>
      <c r="H199">
        <v>0.07000000000000001</v>
      </c>
      <c r="I199">
        <v>0.09002896595404719</v>
      </c>
      <c r="J199" t="s">
        <v>777</v>
      </c>
      <c r="K199" t="s">
        <v>777</v>
      </c>
      <c r="L199">
        <v>4.8</v>
      </c>
      <c r="M199">
        <v>1.76</v>
      </c>
      <c r="N199">
        <v>0.3666666666666667</v>
      </c>
      <c r="O199">
        <v>6</v>
      </c>
      <c r="P199">
        <v>0.08033244512790017</v>
      </c>
      <c r="Q199">
        <v>0.291811278287924</v>
      </c>
      <c r="R199" t="s">
        <v>780</v>
      </c>
      <c r="S199" t="s">
        <v>789</v>
      </c>
      <c r="T199">
        <v>32011.043818</v>
      </c>
      <c r="U199" s="2">
        <v>44510</v>
      </c>
      <c r="V199" t="s">
        <v>798</v>
      </c>
    </row>
    <row r="200" spans="1:22">
      <c r="A200" s="1" t="s">
        <v>220</v>
      </c>
      <c r="B200">
        <f>HYPERLINK("https://www.suredividend.com/sure-analysis-FOXA/","Fox Corporation")</f>
        <v>0</v>
      </c>
      <c r="C200">
        <v>37.32</v>
      </c>
      <c r="D200">
        <v>43</v>
      </c>
      <c r="E200">
        <v>0.867906976744186</v>
      </c>
      <c r="F200">
        <v>0.01286173633440514</v>
      </c>
      <c r="G200">
        <v>0.02873937814292216</v>
      </c>
      <c r="H200">
        <v>0.05</v>
      </c>
      <c r="I200">
        <v>0.08946287939516573</v>
      </c>
      <c r="J200" t="s">
        <v>777</v>
      </c>
      <c r="K200" t="s">
        <v>345</v>
      </c>
      <c r="L200">
        <v>2.84</v>
      </c>
      <c r="M200">
        <v>0.48</v>
      </c>
      <c r="N200">
        <v>0.1690140845070423</v>
      </c>
      <c r="O200">
        <v>0</v>
      </c>
      <c r="P200">
        <v>0</v>
      </c>
      <c r="Q200">
        <v>0.332670811005973</v>
      </c>
      <c r="R200" t="s">
        <v>780</v>
      </c>
      <c r="S200" t="s">
        <v>784</v>
      </c>
      <c r="T200">
        <v>20543.77767</v>
      </c>
      <c r="U200" s="2">
        <v>44528</v>
      </c>
      <c r="V200" t="s">
        <v>799</v>
      </c>
    </row>
    <row r="201" spans="1:22">
      <c r="A201" s="1" t="s">
        <v>221</v>
      </c>
      <c r="B201">
        <f>HYPERLINK("https://www.suredividend.com/sure-analysis-TD/","Toronto Dominion Bank")</f>
        <v>0</v>
      </c>
      <c r="C201">
        <v>76.47</v>
      </c>
      <c r="D201">
        <v>77</v>
      </c>
      <c r="E201">
        <v>0.9931168831168831</v>
      </c>
      <c r="F201">
        <v>0.0363541258009677</v>
      </c>
      <c r="G201">
        <v>0.001382337508432308</v>
      </c>
      <c r="H201">
        <v>0.055</v>
      </c>
      <c r="I201">
        <v>0.08923554651654109</v>
      </c>
      <c r="J201" t="s">
        <v>777</v>
      </c>
      <c r="K201" t="s">
        <v>776</v>
      </c>
      <c r="L201">
        <v>6.29</v>
      </c>
      <c r="M201">
        <v>2.78</v>
      </c>
      <c r="N201">
        <v>0.4419713831478537</v>
      </c>
      <c r="O201">
        <v>9</v>
      </c>
      <c r="P201">
        <v>0.0599847785013683</v>
      </c>
      <c r="Q201">
        <v>0.379732097273592</v>
      </c>
      <c r="R201" t="s">
        <v>780</v>
      </c>
      <c r="S201" t="s">
        <v>789</v>
      </c>
      <c r="T201">
        <v>137032.058943</v>
      </c>
      <c r="U201" s="2">
        <v>44548</v>
      </c>
      <c r="V201" t="s">
        <v>804</v>
      </c>
    </row>
    <row r="202" spans="1:22">
      <c r="A202" s="1" t="s">
        <v>222</v>
      </c>
      <c r="B202">
        <f>HYPERLINK("https://www.suredividend.com/sure-analysis-YUM/","Yum Brands Inc.")</f>
        <v>0</v>
      </c>
      <c r="C202">
        <v>138.01</v>
      </c>
      <c r="D202">
        <v>113</v>
      </c>
      <c r="E202">
        <v>1.221327433628318</v>
      </c>
      <c r="F202">
        <v>0.0144917034997464</v>
      </c>
      <c r="G202">
        <v>-0.03919870993408681</v>
      </c>
      <c r="H202">
        <v>0.12</v>
      </c>
      <c r="I202">
        <v>0.08872361463720857</v>
      </c>
      <c r="J202" t="s">
        <v>777</v>
      </c>
      <c r="K202" t="s">
        <v>523</v>
      </c>
      <c r="L202">
        <v>4.65</v>
      </c>
      <c r="M202">
        <v>2</v>
      </c>
      <c r="N202">
        <v>0.4301075268817204</v>
      </c>
      <c r="O202">
        <v>4</v>
      </c>
      <c r="P202">
        <v>0.0602809527753625</v>
      </c>
      <c r="Q202">
        <v>0.279603960021594</v>
      </c>
      <c r="R202" t="s">
        <v>780</v>
      </c>
      <c r="S202" t="s">
        <v>788</v>
      </c>
      <c r="T202">
        <v>39672.63416</v>
      </c>
      <c r="U202" s="2">
        <v>44510</v>
      </c>
      <c r="V202" t="s">
        <v>803</v>
      </c>
    </row>
    <row r="203" spans="1:22">
      <c r="A203" s="1" t="s">
        <v>223</v>
      </c>
      <c r="B203">
        <f>HYPERLINK("https://www.suredividend.com/sure-analysis-MSM/","MSC Industrial Direct Co., Inc.")</f>
        <v>0</v>
      </c>
      <c r="C203">
        <v>84.51000000000001</v>
      </c>
      <c r="D203">
        <v>86</v>
      </c>
      <c r="E203">
        <v>0.9826744186046512</v>
      </c>
      <c r="F203">
        <v>0.03549875754348598</v>
      </c>
      <c r="G203">
        <v>0.003501601472043481</v>
      </c>
      <c r="H203">
        <v>0.05</v>
      </c>
      <c r="I203">
        <v>0.08516248593903963</v>
      </c>
      <c r="J203" t="s">
        <v>777</v>
      </c>
      <c r="K203" t="s">
        <v>777</v>
      </c>
      <c r="L203">
        <v>5.55</v>
      </c>
      <c r="M203">
        <v>3</v>
      </c>
      <c r="N203">
        <v>0.5405405405405406</v>
      </c>
      <c r="O203">
        <v>16</v>
      </c>
      <c r="P203">
        <v>0.05006335758366887</v>
      </c>
      <c r="Q203">
        <v>0.011558081438017</v>
      </c>
      <c r="R203" t="s">
        <v>780</v>
      </c>
      <c r="S203" t="s">
        <v>786</v>
      </c>
      <c r="T203">
        <v>3956.653591</v>
      </c>
      <c r="U203" s="2">
        <v>44494</v>
      </c>
      <c r="V203" t="s">
        <v>795</v>
      </c>
    </row>
    <row r="204" spans="1:22">
      <c r="A204" s="1" t="s">
        <v>224</v>
      </c>
      <c r="B204">
        <f>HYPERLINK("https://www.suredividend.com/sure-analysis-ORI/","Old Republic International Corp.")</f>
        <v>0</v>
      </c>
      <c r="C204">
        <v>24.42</v>
      </c>
      <c r="D204">
        <v>35</v>
      </c>
      <c r="E204">
        <v>0.6977142857142857</v>
      </c>
      <c r="F204">
        <v>0.03603603603603604</v>
      </c>
      <c r="G204">
        <v>0.07464365033126241</v>
      </c>
      <c r="H204">
        <v>-0.02</v>
      </c>
      <c r="I204">
        <v>0.0850874687288139</v>
      </c>
      <c r="J204" t="s">
        <v>777</v>
      </c>
      <c r="K204" t="s">
        <v>777</v>
      </c>
      <c r="L204">
        <v>2.9</v>
      </c>
      <c r="M204">
        <v>0.88</v>
      </c>
      <c r="N204">
        <v>0.303448275862069</v>
      </c>
      <c r="O204">
        <v>40</v>
      </c>
      <c r="P204">
        <v>0.04941452284458392</v>
      </c>
      <c r="Q204">
        <v>0.456701249206012</v>
      </c>
      <c r="R204" t="s">
        <v>780</v>
      </c>
      <c r="S204" t="s">
        <v>789</v>
      </c>
      <c r="T204">
        <v>7392.770315</v>
      </c>
      <c r="U204" s="2">
        <v>44518</v>
      </c>
      <c r="V204" t="s">
        <v>802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115.86</v>
      </c>
      <c r="D205">
        <v>113</v>
      </c>
      <c r="E205">
        <v>1.025309734513274</v>
      </c>
      <c r="F205">
        <v>0.04332815466942862</v>
      </c>
      <c r="G205">
        <v>-0.004986475437929183</v>
      </c>
      <c r="H205">
        <v>0.05</v>
      </c>
      <c r="I205">
        <v>0.08501010992406699</v>
      </c>
      <c r="J205" t="s">
        <v>777</v>
      </c>
      <c r="K205" t="s">
        <v>776</v>
      </c>
      <c r="L205">
        <v>11.3</v>
      </c>
      <c r="M205">
        <v>5.02</v>
      </c>
      <c r="N205">
        <v>0.4442477876106194</v>
      </c>
      <c r="O205">
        <v>10</v>
      </c>
      <c r="P205">
        <v>0.06006650229087018</v>
      </c>
      <c r="Q205">
        <v>0.393536347972879</v>
      </c>
      <c r="R205" t="s">
        <v>780</v>
      </c>
      <c r="S205" t="s">
        <v>789</v>
      </c>
      <c r="T205">
        <v>52251.698036</v>
      </c>
      <c r="U205" s="2">
        <v>44548</v>
      </c>
      <c r="V205" t="s">
        <v>804</v>
      </c>
    </row>
    <row r="206" spans="1:22">
      <c r="A206" s="1" t="s">
        <v>226</v>
      </c>
      <c r="B206">
        <f>HYPERLINK("https://www.suredividend.com/sure-analysis-GILD/","Gilead Sciences, Inc.")</f>
        <v>0</v>
      </c>
      <c r="C206">
        <v>72.87</v>
      </c>
      <c r="D206">
        <v>80</v>
      </c>
      <c r="E206">
        <v>0.9108750000000001</v>
      </c>
      <c r="F206">
        <v>0.03897351447783724</v>
      </c>
      <c r="G206">
        <v>0.01884529326368845</v>
      </c>
      <c r="H206">
        <v>0.03</v>
      </c>
      <c r="I206">
        <v>0.08427582992535365</v>
      </c>
      <c r="J206" t="s">
        <v>777</v>
      </c>
      <c r="K206" t="s">
        <v>776</v>
      </c>
      <c r="L206">
        <v>8</v>
      </c>
      <c r="M206">
        <v>2.84</v>
      </c>
      <c r="N206">
        <v>0.355</v>
      </c>
      <c r="O206">
        <v>6</v>
      </c>
      <c r="P206">
        <v>0.049731056540673</v>
      </c>
      <c r="Q206">
        <v>0.324270993203245</v>
      </c>
      <c r="R206" t="s">
        <v>780</v>
      </c>
      <c r="S206" t="s">
        <v>785</v>
      </c>
      <c r="T206">
        <v>90917.71767500001</v>
      </c>
      <c r="U206" s="2">
        <v>44509</v>
      </c>
      <c r="V206" t="s">
        <v>798</v>
      </c>
    </row>
    <row r="207" spans="1:22">
      <c r="A207" s="1" t="s">
        <v>227</v>
      </c>
      <c r="B207">
        <f>HYPERLINK("https://www.suredividend.com/sure-analysis-PB/","Prosperity Bancshares Inc.")</f>
        <v>0</v>
      </c>
      <c r="C207">
        <v>71.94</v>
      </c>
      <c r="D207">
        <v>82</v>
      </c>
      <c r="E207">
        <v>0.8773170731707317</v>
      </c>
      <c r="F207">
        <v>0.02891298304142341</v>
      </c>
      <c r="G207">
        <v>0.02652299829467974</v>
      </c>
      <c r="H207">
        <v>0.03</v>
      </c>
      <c r="I207">
        <v>0.08349244568533232</v>
      </c>
      <c r="J207" t="s">
        <v>777</v>
      </c>
      <c r="K207" t="s">
        <v>777</v>
      </c>
      <c r="L207">
        <v>5.75</v>
      </c>
      <c r="M207">
        <v>2.08</v>
      </c>
      <c r="N207">
        <v>0.3617391304347826</v>
      </c>
      <c r="O207">
        <v>18</v>
      </c>
      <c r="P207">
        <v>0.05820339229333826</v>
      </c>
      <c r="Q207">
        <v>0.060776756596501</v>
      </c>
      <c r="R207" t="s">
        <v>780</v>
      </c>
      <c r="S207" t="s">
        <v>789</v>
      </c>
      <c r="T207">
        <v>6595.32418</v>
      </c>
      <c r="U207" s="2">
        <v>44498</v>
      </c>
      <c r="V207" t="s">
        <v>803</v>
      </c>
    </row>
    <row r="208" spans="1:22">
      <c r="A208" s="1" t="s">
        <v>228</v>
      </c>
      <c r="B208">
        <f>HYPERLINK("https://www.suredividend.com/sure-analysis-BR/","Broadridge Financial Solutions, Inc.")</f>
        <v>0</v>
      </c>
      <c r="C208">
        <v>184.48</v>
      </c>
      <c r="D208">
        <v>160</v>
      </c>
      <c r="E208">
        <v>1.153</v>
      </c>
      <c r="F208">
        <v>0.01387684301821336</v>
      </c>
      <c r="G208">
        <v>-0.02807189981170555</v>
      </c>
      <c r="H208">
        <v>0.1</v>
      </c>
      <c r="I208">
        <v>0.08301455469022945</v>
      </c>
      <c r="J208" t="s">
        <v>777</v>
      </c>
      <c r="K208" t="s">
        <v>345</v>
      </c>
      <c r="L208">
        <v>6.39</v>
      </c>
      <c r="M208">
        <v>2.56</v>
      </c>
      <c r="N208">
        <v>0.4006259780907668</v>
      </c>
      <c r="O208">
        <v>13</v>
      </c>
      <c r="P208">
        <v>0.09984491222048941</v>
      </c>
      <c r="Q208">
        <v>0.219852973514257</v>
      </c>
      <c r="R208" t="s">
        <v>780</v>
      </c>
      <c r="S208" t="s">
        <v>787</v>
      </c>
      <c r="T208">
        <v>21017.85988</v>
      </c>
      <c r="U208" s="2">
        <v>44512</v>
      </c>
      <c r="V208" t="s">
        <v>795</v>
      </c>
    </row>
    <row r="209" spans="1:22">
      <c r="A209" s="1" t="s">
        <v>229</v>
      </c>
      <c r="B209">
        <f>HYPERLINK("https://www.suredividend.com/sure-analysis-RBA/","Ritchie Bros Auctioneers Inc")</f>
        <v>0</v>
      </c>
      <c r="C209">
        <v>62.08</v>
      </c>
      <c r="D209">
        <v>53</v>
      </c>
      <c r="E209">
        <v>1.171320754716981</v>
      </c>
      <c r="F209">
        <v>0.01610824742268041</v>
      </c>
      <c r="G209">
        <v>-0.031131508961875</v>
      </c>
      <c r="H209">
        <v>0.1</v>
      </c>
      <c r="I209">
        <v>0.08201802985247908</v>
      </c>
      <c r="J209" t="s">
        <v>777</v>
      </c>
      <c r="K209" t="s">
        <v>523</v>
      </c>
      <c r="L209">
        <v>1.6</v>
      </c>
      <c r="M209">
        <v>1</v>
      </c>
      <c r="N209">
        <v>0.625</v>
      </c>
      <c r="O209">
        <v>17</v>
      </c>
      <c r="P209">
        <v>0.09993032380125255</v>
      </c>
      <c r="Q209">
        <v>-0.127229305716256</v>
      </c>
      <c r="R209" t="s">
        <v>780</v>
      </c>
      <c r="S209" t="s">
        <v>786</v>
      </c>
      <c r="T209">
        <v>6774.465049</v>
      </c>
      <c r="U209" s="2">
        <v>44515</v>
      </c>
      <c r="V209" t="s">
        <v>796</v>
      </c>
    </row>
    <row r="210" spans="1:22">
      <c r="A210" s="1" t="s">
        <v>230</v>
      </c>
      <c r="B210">
        <f>HYPERLINK("https://www.suredividend.com/sure-analysis-POR/","Portland General Electric Co")</f>
        <v>0</v>
      </c>
      <c r="C210">
        <v>51.71</v>
      </c>
      <c r="D210">
        <v>52</v>
      </c>
      <c r="E210">
        <v>0.994423076923077</v>
      </c>
      <c r="F210">
        <v>0.03326242506285051</v>
      </c>
      <c r="G210">
        <v>0.001119132196266026</v>
      </c>
      <c r="H210">
        <v>0.05</v>
      </c>
      <c r="I210">
        <v>0.08187086563485546</v>
      </c>
      <c r="J210" t="s">
        <v>777</v>
      </c>
      <c r="K210" t="s">
        <v>777</v>
      </c>
      <c r="L210">
        <v>2.78</v>
      </c>
      <c r="M210">
        <v>1.72</v>
      </c>
      <c r="N210">
        <v>0.6187050359712231</v>
      </c>
      <c r="O210">
        <v>14</v>
      </c>
      <c r="P210">
        <v>0.05983895403096029</v>
      </c>
      <c r="Q210">
        <v>0.282051282051281</v>
      </c>
      <c r="R210" t="s">
        <v>780</v>
      </c>
      <c r="S210" t="s">
        <v>792</v>
      </c>
      <c r="T210">
        <v>4588.501339</v>
      </c>
      <c r="U210" s="2">
        <v>44498</v>
      </c>
      <c r="V210" t="s">
        <v>795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213.97</v>
      </c>
      <c r="D211">
        <v>231</v>
      </c>
      <c r="E211">
        <v>0.9262770562770563</v>
      </c>
      <c r="F211">
        <v>0.02654577744543627</v>
      </c>
      <c r="G211">
        <v>0.01543427532163544</v>
      </c>
      <c r="H211">
        <v>0.04</v>
      </c>
      <c r="I211">
        <v>0.08181743923363927</v>
      </c>
      <c r="J211" t="s">
        <v>777</v>
      </c>
      <c r="K211" t="s">
        <v>777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0.26592277473099</v>
      </c>
      <c r="R211" t="s">
        <v>780</v>
      </c>
      <c r="S211" t="s">
        <v>786</v>
      </c>
      <c r="T211">
        <v>11279.119713</v>
      </c>
      <c r="U211" s="2">
        <v>44498</v>
      </c>
      <c r="V211" t="s">
        <v>802</v>
      </c>
    </row>
    <row r="212" spans="1:22">
      <c r="A212" s="1" t="s">
        <v>232</v>
      </c>
      <c r="B212">
        <f>HYPERLINK("https://www.suredividend.com/sure-analysis-FTS/","Fortis Inc.")</f>
        <v>0</v>
      </c>
      <c r="C212">
        <v>47.56</v>
      </c>
      <c r="D212">
        <v>45</v>
      </c>
      <c r="E212">
        <v>1.056888888888889</v>
      </c>
      <c r="F212">
        <v>0.03553406223717409</v>
      </c>
      <c r="G212">
        <v>-0.0110049143792561</v>
      </c>
      <c r="H212">
        <v>0.06</v>
      </c>
      <c r="I212">
        <v>0.08133427849732056</v>
      </c>
      <c r="J212" t="s">
        <v>777</v>
      </c>
      <c r="K212" t="s">
        <v>776</v>
      </c>
      <c r="L212">
        <v>2.14</v>
      </c>
      <c r="M212">
        <v>1.69</v>
      </c>
      <c r="N212">
        <v>0.7897196261682242</v>
      </c>
      <c r="O212">
        <v>48</v>
      </c>
      <c r="P212">
        <v>0.05984986030460782</v>
      </c>
      <c r="Q212">
        <v>0.201438484526161</v>
      </c>
      <c r="R212" t="s">
        <v>780</v>
      </c>
      <c r="S212" t="s">
        <v>792</v>
      </c>
      <c r="T212">
        <v>22434.187806</v>
      </c>
      <c r="U212" s="2">
        <v>44505</v>
      </c>
      <c r="V212" t="s">
        <v>804</v>
      </c>
    </row>
    <row r="213" spans="1:22">
      <c r="A213" s="1" t="s">
        <v>233</v>
      </c>
      <c r="B213">
        <f>HYPERLINK("https://www.suredividend.com/sure-analysis-CHRW/","C.H. Robinson Worldwide, Inc.")</f>
        <v>0</v>
      </c>
      <c r="C213">
        <v>104.48</v>
      </c>
      <c r="D213">
        <v>100</v>
      </c>
      <c r="E213">
        <v>1.0448</v>
      </c>
      <c r="F213">
        <v>0.02105666156202144</v>
      </c>
      <c r="G213">
        <v>-0.008726794441899499</v>
      </c>
      <c r="H213">
        <v>0.07000000000000001</v>
      </c>
      <c r="I213">
        <v>0.07813970418074456</v>
      </c>
      <c r="J213" t="s">
        <v>777</v>
      </c>
      <c r="K213" t="s">
        <v>777</v>
      </c>
      <c r="L213">
        <v>5.55</v>
      </c>
      <c r="M213">
        <v>2.2</v>
      </c>
      <c r="N213">
        <v>0.3963963963963965</v>
      </c>
      <c r="O213">
        <v>22</v>
      </c>
      <c r="P213">
        <v>0.02753251148110025</v>
      </c>
      <c r="Q213">
        <v>0.112271574485825</v>
      </c>
      <c r="R213" t="s">
        <v>780</v>
      </c>
      <c r="S213" t="s">
        <v>786</v>
      </c>
      <c r="T213">
        <v>13317.215482</v>
      </c>
      <c r="U213" s="2">
        <v>44495</v>
      </c>
      <c r="V213" t="s">
        <v>799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84</v>
      </c>
      <c r="D214">
        <v>76</v>
      </c>
      <c r="E214">
        <v>1.105263157894737</v>
      </c>
      <c r="F214">
        <v>0.01761904761904762</v>
      </c>
      <c r="G214">
        <v>-0.01981768775006343</v>
      </c>
      <c r="H214">
        <v>0.08</v>
      </c>
      <c r="I214">
        <v>0.07785707668940844</v>
      </c>
      <c r="J214" t="s">
        <v>777</v>
      </c>
      <c r="K214" t="s">
        <v>345</v>
      </c>
      <c r="L214">
        <v>4.2</v>
      </c>
      <c r="M214">
        <v>1.48</v>
      </c>
      <c r="N214">
        <v>0.3523809523809524</v>
      </c>
      <c r="O214">
        <v>10</v>
      </c>
      <c r="P214">
        <v>0.1201489042708301</v>
      </c>
      <c r="Q214">
        <v>-0.033369708135882</v>
      </c>
      <c r="R214" t="s">
        <v>780</v>
      </c>
      <c r="S214" t="s">
        <v>787</v>
      </c>
      <c r="T214">
        <v>11113.422448</v>
      </c>
      <c r="U214" s="2">
        <v>44508</v>
      </c>
      <c r="V214" t="s">
        <v>801</v>
      </c>
    </row>
    <row r="215" spans="1:22">
      <c r="A215" s="1" t="s">
        <v>235</v>
      </c>
      <c r="B215">
        <f>HYPERLINK("https://www.suredividend.com/sure-analysis-IMO/","Imperial Oil Ltd.")</f>
        <v>0</v>
      </c>
      <c r="C215">
        <v>36.25</v>
      </c>
      <c r="D215">
        <v>39</v>
      </c>
      <c r="E215">
        <v>0.9294871794871795</v>
      </c>
      <c r="F215">
        <v>0.02289655172413793</v>
      </c>
      <c r="G215">
        <v>0.01473191348948455</v>
      </c>
      <c r="H215">
        <v>0.04</v>
      </c>
      <c r="I215">
        <v>0.07707333747570977</v>
      </c>
      <c r="J215" t="s">
        <v>777</v>
      </c>
      <c r="K215" t="s">
        <v>777</v>
      </c>
      <c r="L215">
        <v>2.8</v>
      </c>
      <c r="M215">
        <v>0.83</v>
      </c>
      <c r="N215">
        <v>0.2964285714285714</v>
      </c>
      <c r="O215">
        <v>6</v>
      </c>
      <c r="P215">
        <v>0.06924192562875131</v>
      </c>
      <c r="Q215">
        <v>0.90359093826002</v>
      </c>
      <c r="R215" t="s">
        <v>780</v>
      </c>
      <c r="S215" t="s">
        <v>793</v>
      </c>
      <c r="T215">
        <v>24204.338902</v>
      </c>
      <c r="U215" s="2">
        <v>44502</v>
      </c>
      <c r="V215" t="s">
        <v>803</v>
      </c>
    </row>
    <row r="216" spans="1:22">
      <c r="A216" s="1" t="s">
        <v>236</v>
      </c>
      <c r="B216">
        <f>HYPERLINK("https://www.suredividend.com/sure-analysis-PBCT/","People`s United Financial Inc")</f>
        <v>0</v>
      </c>
      <c r="C216">
        <v>17.82</v>
      </c>
      <c r="D216">
        <v>18</v>
      </c>
      <c r="E216">
        <v>0.99</v>
      </c>
      <c r="F216">
        <v>0.0409652076318743</v>
      </c>
      <c r="G216">
        <v>0.002012088709965276</v>
      </c>
      <c r="H216">
        <v>0.04</v>
      </c>
      <c r="I216">
        <v>0.07596902604818578</v>
      </c>
      <c r="J216" t="s">
        <v>777</v>
      </c>
      <c r="K216" t="s">
        <v>776</v>
      </c>
      <c r="L216">
        <v>1.33</v>
      </c>
      <c r="M216">
        <v>0.73</v>
      </c>
      <c r="N216">
        <v>0.5488721804511277</v>
      </c>
      <c r="O216">
        <v>29</v>
      </c>
      <c r="P216">
        <v>0.01333804570728625</v>
      </c>
      <c r="Q216">
        <v>0.415947873643895</v>
      </c>
      <c r="R216" t="s">
        <v>780</v>
      </c>
      <c r="S216" t="s">
        <v>789</v>
      </c>
      <c r="T216">
        <v>7468.949157</v>
      </c>
      <c r="U216" s="2">
        <v>44495</v>
      </c>
      <c r="V216" t="s">
        <v>803</v>
      </c>
    </row>
    <row r="217" spans="1:22">
      <c r="A217" s="1" t="s">
        <v>237</v>
      </c>
      <c r="B217">
        <f>HYPERLINK("https://www.suredividend.com/sure-analysis-CIO/","City Office REIT Inc")</f>
        <v>0</v>
      </c>
      <c r="C217">
        <v>19.5</v>
      </c>
      <c r="D217">
        <v>14.8</v>
      </c>
      <c r="E217">
        <v>1.317567567567568</v>
      </c>
      <c r="F217">
        <v>0.03076923076923077</v>
      </c>
      <c r="G217">
        <v>-0.0536638709881857</v>
      </c>
      <c r="H217">
        <v>0.1</v>
      </c>
      <c r="I217">
        <v>0.07407654312836653</v>
      </c>
      <c r="J217" t="s">
        <v>777</v>
      </c>
      <c r="K217" t="s">
        <v>777</v>
      </c>
      <c r="L217">
        <v>1.31</v>
      </c>
      <c r="M217">
        <v>0.6</v>
      </c>
      <c r="N217">
        <v>0.4580152671755725</v>
      </c>
      <c r="O217">
        <v>0</v>
      </c>
      <c r="P217">
        <v>0.1008397341583922</v>
      </c>
      <c r="Q217">
        <v>1.096534034713995</v>
      </c>
      <c r="R217" t="s">
        <v>782</v>
      </c>
      <c r="S217" t="s">
        <v>794</v>
      </c>
      <c r="T217">
        <v>840.163894</v>
      </c>
      <c r="U217" s="2">
        <v>44513</v>
      </c>
      <c r="V217" t="s">
        <v>796</v>
      </c>
    </row>
    <row r="218" spans="1:22">
      <c r="A218" s="1" t="s">
        <v>238</v>
      </c>
      <c r="B218">
        <f>HYPERLINK("https://www.suredividend.com/sure-analysis-EMN/","Eastman Chemical Co")</f>
        <v>0</v>
      </c>
      <c r="C218">
        <v>118.99</v>
      </c>
      <c r="D218">
        <v>120</v>
      </c>
      <c r="E218">
        <v>0.9915833333333333</v>
      </c>
      <c r="F218">
        <v>0.02319522648962098</v>
      </c>
      <c r="G218">
        <v>0.001691886991506797</v>
      </c>
      <c r="H218">
        <v>0.05</v>
      </c>
      <c r="I218">
        <v>0.07289544609052867</v>
      </c>
      <c r="J218" t="s">
        <v>777</v>
      </c>
      <c r="K218" t="s">
        <v>777</v>
      </c>
      <c r="L218">
        <v>8.9</v>
      </c>
      <c r="M218">
        <v>2.76</v>
      </c>
      <c r="N218">
        <v>0.3101123595505618</v>
      </c>
      <c r="O218">
        <v>11</v>
      </c>
      <c r="P218">
        <v>0.04984870359842875</v>
      </c>
      <c r="Q218">
        <v>0.187231421633522</v>
      </c>
      <c r="R218" t="s">
        <v>780</v>
      </c>
      <c r="S218" t="s">
        <v>790</v>
      </c>
      <c r="T218">
        <v>15781.944352</v>
      </c>
      <c r="U218" s="2">
        <v>44502</v>
      </c>
      <c r="V218" t="s">
        <v>796</v>
      </c>
    </row>
    <row r="219" spans="1:22">
      <c r="A219" s="1" t="s">
        <v>239</v>
      </c>
      <c r="B219">
        <f>HYPERLINK("https://www.suredividend.com/sure-analysis-MDLZ/","Mondelez International Inc.")</f>
        <v>0</v>
      </c>
      <c r="C219">
        <v>65.52</v>
      </c>
      <c r="D219">
        <v>57</v>
      </c>
      <c r="E219">
        <v>1.149473684210526</v>
      </c>
      <c r="F219">
        <v>0.02136752136752137</v>
      </c>
      <c r="G219">
        <v>-0.02747630071530838</v>
      </c>
      <c r="H219">
        <v>0.08</v>
      </c>
      <c r="I219">
        <v>0.07170572972133882</v>
      </c>
      <c r="J219" t="s">
        <v>777</v>
      </c>
      <c r="K219" t="s">
        <v>345</v>
      </c>
      <c r="L219">
        <v>2.85</v>
      </c>
      <c r="M219">
        <v>1.4</v>
      </c>
      <c r="N219">
        <v>0.4912280701754386</v>
      </c>
      <c r="O219">
        <v>8</v>
      </c>
      <c r="P219">
        <v>0.08030860883184343</v>
      </c>
      <c r="Q219">
        <v>0.14710256799771</v>
      </c>
      <c r="R219" t="s">
        <v>780</v>
      </c>
      <c r="S219" t="s">
        <v>791</v>
      </c>
      <c r="T219">
        <v>90589.490252</v>
      </c>
      <c r="U219" s="2">
        <v>44514</v>
      </c>
      <c r="V219" t="s">
        <v>804</v>
      </c>
    </row>
    <row r="220" spans="1:22">
      <c r="A220" s="1" t="s">
        <v>240</v>
      </c>
      <c r="B220">
        <f>HYPERLINK("https://www.suredividend.com/sure-analysis-RBGLY/","Reckitt Benckiser Group Plc")</f>
        <v>0</v>
      </c>
      <c r="C220">
        <v>17.256</v>
      </c>
      <c r="D220">
        <v>18</v>
      </c>
      <c r="E220">
        <v>0.9586666666666667</v>
      </c>
      <c r="F220">
        <v>0.02549837737598517</v>
      </c>
      <c r="G220">
        <v>0.008478107063839113</v>
      </c>
      <c r="H220">
        <v>0.04</v>
      </c>
      <c r="I220">
        <v>0.07141649517012194</v>
      </c>
      <c r="J220" t="s">
        <v>777</v>
      </c>
      <c r="K220" t="s">
        <v>777</v>
      </c>
      <c r="L220">
        <v>1.2</v>
      </c>
      <c r="M220">
        <v>0.44</v>
      </c>
      <c r="N220">
        <v>0.3666666666666667</v>
      </c>
      <c r="O220">
        <v>0</v>
      </c>
      <c r="P220">
        <v>0.03792181163298758</v>
      </c>
      <c r="Q220">
        <v>-0.04235624123422101</v>
      </c>
      <c r="R220" t="s">
        <v>780</v>
      </c>
      <c r="S220" t="s">
        <v>791</v>
      </c>
      <c r="T220">
        <v>60966.517848</v>
      </c>
      <c r="U220" s="2">
        <v>44497</v>
      </c>
      <c r="V220" t="s">
        <v>806</v>
      </c>
    </row>
    <row r="221" spans="1:22">
      <c r="A221" s="1" t="s">
        <v>241</v>
      </c>
      <c r="B221">
        <f>HYPERLINK("https://www.suredividend.com/sure-analysis-HD/","Home Depot, Inc.")</f>
        <v>0</v>
      </c>
      <c r="C221">
        <v>404.09</v>
      </c>
      <c r="D221">
        <v>341</v>
      </c>
      <c r="E221">
        <v>1.185014662756598</v>
      </c>
      <c r="F221">
        <v>0.01633299512484843</v>
      </c>
      <c r="G221">
        <v>-0.03338116083828979</v>
      </c>
      <c r="H221">
        <v>0.09</v>
      </c>
      <c r="I221">
        <v>0.07036013380573558</v>
      </c>
      <c r="J221" t="s">
        <v>777</v>
      </c>
      <c r="K221" t="s">
        <v>345</v>
      </c>
      <c r="L221">
        <v>15.48</v>
      </c>
      <c r="M221">
        <v>6.6</v>
      </c>
      <c r="N221">
        <v>0.4263565891472868</v>
      </c>
      <c r="O221">
        <v>12</v>
      </c>
      <c r="P221">
        <v>0.08989440052011655</v>
      </c>
      <c r="Q221">
        <v>0.4962538073323101</v>
      </c>
      <c r="R221" t="s">
        <v>780</v>
      </c>
      <c r="S221" t="s">
        <v>788</v>
      </c>
      <c r="T221">
        <v>414636.050011</v>
      </c>
      <c r="U221" s="2">
        <v>44530</v>
      </c>
      <c r="V221" t="s">
        <v>795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59.31</v>
      </c>
      <c r="D222">
        <v>60</v>
      </c>
      <c r="E222">
        <v>0.9885</v>
      </c>
      <c r="F222">
        <v>0.04720957679986511</v>
      </c>
      <c r="G222">
        <v>0.002316005080314598</v>
      </c>
      <c r="H222">
        <v>0.027</v>
      </c>
      <c r="I222">
        <v>0.06943677326680819</v>
      </c>
      <c r="J222" t="s">
        <v>777</v>
      </c>
      <c r="K222" t="s">
        <v>776</v>
      </c>
      <c r="L222">
        <v>3.5</v>
      </c>
      <c r="M222">
        <v>2.8</v>
      </c>
      <c r="N222">
        <v>0.7999999999999999</v>
      </c>
      <c r="O222">
        <v>37</v>
      </c>
      <c r="P222">
        <v>0.009805797673485328</v>
      </c>
      <c r="Q222">
        <v>-0.05377614597598</v>
      </c>
      <c r="R222" t="s">
        <v>782</v>
      </c>
      <c r="S222" t="s">
        <v>794</v>
      </c>
      <c r="T222">
        <v>812.453243</v>
      </c>
      <c r="U222" s="2">
        <v>44531</v>
      </c>
      <c r="V222" t="s">
        <v>805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191.84</v>
      </c>
      <c r="D223">
        <v>162</v>
      </c>
      <c r="E223">
        <v>1.184197530864198</v>
      </c>
      <c r="F223">
        <v>0.02397831526271893</v>
      </c>
      <c r="G223">
        <v>-0.03324779843186509</v>
      </c>
      <c r="H223">
        <v>0.08</v>
      </c>
      <c r="I223">
        <v>0.06918689993442251</v>
      </c>
      <c r="J223" t="s">
        <v>777</v>
      </c>
      <c r="K223" t="s">
        <v>345</v>
      </c>
      <c r="L223">
        <v>8.1</v>
      </c>
      <c r="M223">
        <v>4.6</v>
      </c>
      <c r="N223">
        <v>0.5679012345679012</v>
      </c>
      <c r="O223">
        <v>18</v>
      </c>
      <c r="P223">
        <v>0.09007175117662958</v>
      </c>
      <c r="Q223">
        <v>0.186639227481399</v>
      </c>
      <c r="R223" t="s">
        <v>780</v>
      </c>
      <c r="S223" t="s">
        <v>787</v>
      </c>
      <c r="T223">
        <v>173068.781208</v>
      </c>
      <c r="U223" s="2">
        <v>44504</v>
      </c>
      <c r="V223" t="s">
        <v>798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61.89</v>
      </c>
      <c r="D224">
        <v>65</v>
      </c>
      <c r="E224">
        <v>0.9521538461538461</v>
      </c>
      <c r="F224">
        <v>0.05687510098561965</v>
      </c>
      <c r="G224">
        <v>0.009853964534082715</v>
      </c>
      <c r="H224">
        <v>0.01</v>
      </c>
      <c r="I224">
        <v>0.06839521529653791</v>
      </c>
      <c r="J224" t="s">
        <v>777</v>
      </c>
      <c r="K224" t="s">
        <v>776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0.5570219085383591</v>
      </c>
      <c r="R224" t="s">
        <v>780</v>
      </c>
      <c r="S224" t="s">
        <v>793</v>
      </c>
      <c r="T224">
        <v>258332.248516</v>
      </c>
      <c r="U224" s="2">
        <v>44501</v>
      </c>
      <c r="V224" t="s">
        <v>803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52.87</v>
      </c>
      <c r="D225">
        <v>54</v>
      </c>
      <c r="E225">
        <v>0.979074074074074</v>
      </c>
      <c r="F225">
        <v>0.03177605447323624</v>
      </c>
      <c r="G225">
        <v>0.004238552625648984</v>
      </c>
      <c r="H225">
        <v>0.03</v>
      </c>
      <c r="I225">
        <v>0.06310614254794999</v>
      </c>
      <c r="J225" t="s">
        <v>777</v>
      </c>
      <c r="K225" t="s">
        <v>776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0.070065892882459</v>
      </c>
      <c r="R225" t="s">
        <v>780</v>
      </c>
      <c r="S225" t="s">
        <v>789</v>
      </c>
      <c r="T225">
        <v>4414.997474</v>
      </c>
      <c r="U225" s="2">
        <v>44512</v>
      </c>
      <c r="V225" t="s">
        <v>802</v>
      </c>
    </row>
    <row r="226" spans="1:22">
      <c r="A226" s="1" t="s">
        <v>246</v>
      </c>
      <c r="B226">
        <f>HYPERLINK("https://www.suredividend.com/sure-analysis-FLO/","Flowers Foods, Inc.")</f>
        <v>0</v>
      </c>
      <c r="C226">
        <v>27.12</v>
      </c>
      <c r="D226">
        <v>25</v>
      </c>
      <c r="E226">
        <v>1.0848</v>
      </c>
      <c r="F226">
        <v>0.03097345132743362</v>
      </c>
      <c r="G226">
        <v>-0.01614733874759244</v>
      </c>
      <c r="H226">
        <v>0.05</v>
      </c>
      <c r="I226">
        <v>0.06296401870445756</v>
      </c>
      <c r="J226" t="s">
        <v>777</v>
      </c>
      <c r="K226" t="s">
        <v>777</v>
      </c>
      <c r="L226">
        <v>1.24</v>
      </c>
      <c r="M226">
        <v>0.84</v>
      </c>
      <c r="N226">
        <v>0.6774193548387096</v>
      </c>
      <c r="O226">
        <v>19</v>
      </c>
      <c r="P226">
        <v>0.05154749679728043</v>
      </c>
      <c r="Q226">
        <v>0.201648076648076</v>
      </c>
      <c r="R226" t="s">
        <v>780</v>
      </c>
      <c r="S226" t="s">
        <v>791</v>
      </c>
      <c r="T226">
        <v>5684.405661</v>
      </c>
      <c r="U226" s="2">
        <v>44513</v>
      </c>
      <c r="V226" t="s">
        <v>800</v>
      </c>
    </row>
    <row r="227" spans="1:22">
      <c r="A227" s="1" t="s">
        <v>247</v>
      </c>
      <c r="B227">
        <f>HYPERLINK("https://www.suredividend.com/sure-analysis-UNH/","Unitedhealth Group Inc")</f>
        <v>0</v>
      </c>
      <c r="C227">
        <v>499.5</v>
      </c>
      <c r="D227">
        <v>358</v>
      </c>
      <c r="E227">
        <v>1.395251396648045</v>
      </c>
      <c r="F227">
        <v>0.01161161161161161</v>
      </c>
      <c r="G227">
        <v>-0.06444460653466721</v>
      </c>
      <c r="H227">
        <v>0.12</v>
      </c>
      <c r="I227">
        <v>0.06195509845881531</v>
      </c>
      <c r="J227" t="s">
        <v>777</v>
      </c>
      <c r="K227" t="s">
        <v>345</v>
      </c>
      <c r="L227">
        <v>18.65</v>
      </c>
      <c r="M227">
        <v>5.8</v>
      </c>
      <c r="N227">
        <v>0.3109919571045577</v>
      </c>
      <c r="O227">
        <v>12</v>
      </c>
      <c r="P227">
        <v>0.1400529846685179</v>
      </c>
      <c r="Q227">
        <v>0.474060954911076</v>
      </c>
      <c r="R227" t="s">
        <v>780</v>
      </c>
      <c r="S227" t="s">
        <v>785</v>
      </c>
      <c r="T227">
        <v>466574.272225</v>
      </c>
      <c r="U227" s="2">
        <v>44491</v>
      </c>
      <c r="V227" t="s">
        <v>802</v>
      </c>
    </row>
    <row r="228" spans="1:22">
      <c r="A228" s="1" t="s">
        <v>248</v>
      </c>
      <c r="B228">
        <f>HYPERLINK("https://www.suredividend.com/sure-analysis-LNT/","Alliant Energy Corp.")</f>
        <v>0</v>
      </c>
      <c r="C228">
        <v>59.99</v>
      </c>
      <c r="D228">
        <v>53</v>
      </c>
      <c r="E228">
        <v>1.13188679245283</v>
      </c>
      <c r="F228">
        <v>0.02683780630105018</v>
      </c>
      <c r="G228">
        <v>-0.02447275849300468</v>
      </c>
      <c r="H228">
        <v>0.06</v>
      </c>
      <c r="I228">
        <v>0.06066837380992673</v>
      </c>
      <c r="J228" t="s">
        <v>777</v>
      </c>
      <c r="K228" t="s">
        <v>777</v>
      </c>
      <c r="L228">
        <v>2.63</v>
      </c>
      <c r="M228">
        <v>1.61</v>
      </c>
      <c r="N228">
        <v>0.6121673003802282</v>
      </c>
      <c r="O228">
        <v>18</v>
      </c>
      <c r="P228">
        <v>0.05955258842469102</v>
      </c>
      <c r="Q228">
        <v>0.226126059348207</v>
      </c>
      <c r="R228" t="s">
        <v>780</v>
      </c>
      <c r="S228" t="s">
        <v>792</v>
      </c>
      <c r="T228">
        <v>14902.855325</v>
      </c>
      <c r="U228" s="2">
        <v>44513</v>
      </c>
      <c r="V228" t="s">
        <v>799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63.26</v>
      </c>
      <c r="D229">
        <v>62</v>
      </c>
      <c r="E229">
        <v>1.020322580645161</v>
      </c>
      <c r="F229">
        <v>0.0366740436294657</v>
      </c>
      <c r="G229">
        <v>-0.004015682064808956</v>
      </c>
      <c r="H229">
        <v>0.03</v>
      </c>
      <c r="I229">
        <v>0.05976687900962241</v>
      </c>
      <c r="J229" t="s">
        <v>777</v>
      </c>
      <c r="K229" t="s">
        <v>777</v>
      </c>
      <c r="L229">
        <v>4.15</v>
      </c>
      <c r="M229">
        <v>2.32</v>
      </c>
      <c r="N229">
        <v>0.5590361445783132</v>
      </c>
      <c r="O229">
        <v>17</v>
      </c>
      <c r="P229">
        <v>0.03003707999335203</v>
      </c>
      <c r="Q229">
        <v>0.056173584068863</v>
      </c>
      <c r="R229" t="s">
        <v>780</v>
      </c>
      <c r="S229" t="s">
        <v>791</v>
      </c>
      <c r="T229">
        <v>21446.390625</v>
      </c>
      <c r="U229" s="2">
        <v>44526</v>
      </c>
      <c r="V229" t="s">
        <v>802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131.62</v>
      </c>
      <c r="D230">
        <v>114</v>
      </c>
      <c r="E230">
        <v>1.154561403508772</v>
      </c>
      <c r="F230">
        <v>0.04984044977966874</v>
      </c>
      <c r="G230">
        <v>-0.02833492498134171</v>
      </c>
      <c r="H230">
        <v>0.04</v>
      </c>
      <c r="I230">
        <v>0.0594095221962041</v>
      </c>
      <c r="J230" t="s">
        <v>777</v>
      </c>
      <c r="K230" t="s">
        <v>776</v>
      </c>
      <c r="L230">
        <v>10.32</v>
      </c>
      <c r="M230">
        <v>6.56</v>
      </c>
      <c r="N230">
        <v>0.6356589147286821</v>
      </c>
      <c r="O230">
        <v>26</v>
      </c>
      <c r="P230">
        <v>0.03996760299438673</v>
      </c>
      <c r="Q230">
        <v>0.100347886149414</v>
      </c>
      <c r="R230" t="s">
        <v>780</v>
      </c>
      <c r="S230" t="s">
        <v>787</v>
      </c>
      <c r="T230">
        <v>117086.291136</v>
      </c>
      <c r="U230" s="2">
        <v>44494</v>
      </c>
      <c r="V230" t="s">
        <v>801</v>
      </c>
    </row>
    <row r="231" spans="1:22">
      <c r="A231" s="1" t="s">
        <v>251</v>
      </c>
      <c r="B231">
        <f>HYPERLINK("https://www.suredividend.com/sure-analysis-EIX/","Edison International")</f>
        <v>0</v>
      </c>
      <c r="C231">
        <v>67.62</v>
      </c>
      <c r="D231">
        <v>56.6</v>
      </c>
      <c r="E231">
        <v>1.19469964664311</v>
      </c>
      <c r="F231">
        <v>0.04140786749482401</v>
      </c>
      <c r="G231">
        <v>-0.03495347118229575</v>
      </c>
      <c r="H231">
        <v>0.058</v>
      </c>
      <c r="I231">
        <v>0.0586581110173412</v>
      </c>
      <c r="J231" t="s">
        <v>777</v>
      </c>
      <c r="K231" t="s">
        <v>776</v>
      </c>
      <c r="L231">
        <v>4.49</v>
      </c>
      <c r="M231">
        <v>2.8</v>
      </c>
      <c r="N231">
        <v>0.6236080178173719</v>
      </c>
      <c r="O231">
        <v>18</v>
      </c>
      <c r="P231">
        <v>0.02056514630321193</v>
      </c>
      <c r="Q231">
        <v>0.138097072095178</v>
      </c>
      <c r="R231" t="s">
        <v>780</v>
      </c>
      <c r="S231" t="s">
        <v>792</v>
      </c>
      <c r="T231">
        <v>25694.623748</v>
      </c>
      <c r="U231" s="2">
        <v>44509</v>
      </c>
      <c r="V231" t="s">
        <v>805</v>
      </c>
    </row>
    <row r="232" spans="1:22">
      <c r="A232" s="1" t="s">
        <v>252</v>
      </c>
      <c r="B232">
        <f>HYPERLINK("https://www.suredividend.com/sure-analysis-YORW/","York Water Co.")</f>
        <v>0</v>
      </c>
      <c r="C232">
        <v>48.66</v>
      </c>
      <c r="D232">
        <v>45</v>
      </c>
      <c r="E232">
        <v>1.081333333333333</v>
      </c>
      <c r="F232">
        <v>0.01602959309494452</v>
      </c>
      <c r="G232">
        <v>-0.01551731583825544</v>
      </c>
      <c r="H232">
        <v>0.06</v>
      </c>
      <c r="I232">
        <v>0.05798717142115928</v>
      </c>
      <c r="J232" t="s">
        <v>777</v>
      </c>
      <c r="K232" t="s">
        <v>523</v>
      </c>
      <c r="L232">
        <v>1.29</v>
      </c>
      <c r="M232">
        <v>0.78</v>
      </c>
      <c r="N232">
        <v>0.6046511627906976</v>
      </c>
      <c r="O232">
        <v>24</v>
      </c>
      <c r="P232">
        <v>0.03131030647754507</v>
      </c>
      <c r="Q232">
        <v>0.044728235007869</v>
      </c>
      <c r="R232" t="s">
        <v>780</v>
      </c>
      <c r="S232" t="s">
        <v>792</v>
      </c>
      <c r="T232">
        <v>635.835629</v>
      </c>
      <c r="U232" s="2">
        <v>44507</v>
      </c>
      <c r="V232" t="s">
        <v>796</v>
      </c>
    </row>
    <row r="233" spans="1:22">
      <c r="A233" s="1" t="s">
        <v>253</v>
      </c>
      <c r="B233">
        <f>HYPERLINK("https://www.suredividend.com/sure-analysis-EQIX/","Equinix Inc")</f>
        <v>0</v>
      </c>
      <c r="C233">
        <v>835.11</v>
      </c>
      <c r="D233">
        <v>638</v>
      </c>
      <c r="E233">
        <v>1.308949843260188</v>
      </c>
      <c r="F233">
        <v>0.01374669205254398</v>
      </c>
      <c r="G233">
        <v>-0.052421062235812</v>
      </c>
      <c r="H233">
        <v>0.1</v>
      </c>
      <c r="I233">
        <v>0.05752976108509311</v>
      </c>
      <c r="J233" t="s">
        <v>777</v>
      </c>
      <c r="K233" t="s">
        <v>523</v>
      </c>
      <c r="L233">
        <v>27.14</v>
      </c>
      <c r="M233">
        <v>11.48</v>
      </c>
      <c r="N233">
        <v>0.4229918938835667</v>
      </c>
      <c r="O233">
        <v>5</v>
      </c>
      <c r="P233">
        <v>0.1000160063233719</v>
      </c>
      <c r="Q233">
        <v>0.17784891378841</v>
      </c>
      <c r="R233" t="s">
        <v>782</v>
      </c>
      <c r="S233" t="s">
        <v>794</v>
      </c>
      <c r="T233">
        <v>73722.132912</v>
      </c>
      <c r="U233" s="2">
        <v>44505</v>
      </c>
      <c r="V233" t="s">
        <v>795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32.22</v>
      </c>
      <c r="D234">
        <v>28.6</v>
      </c>
      <c r="E234">
        <v>1.126573426573426</v>
      </c>
      <c r="F234">
        <v>0.02017380509000621</v>
      </c>
      <c r="G234">
        <v>-0.02355429513169083</v>
      </c>
      <c r="H234">
        <v>0.06</v>
      </c>
      <c r="I234">
        <v>0.05523731810765886</v>
      </c>
      <c r="J234" t="s">
        <v>777</v>
      </c>
      <c r="K234" t="s">
        <v>345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0.338069267231787</v>
      </c>
      <c r="R234" t="s">
        <v>780</v>
      </c>
      <c r="S234" t="s">
        <v>784</v>
      </c>
      <c r="T234">
        <v>61656.405945</v>
      </c>
      <c r="U234" s="2">
        <v>44411</v>
      </c>
      <c r="V234" t="s">
        <v>796</v>
      </c>
    </row>
    <row r="235" spans="1:22">
      <c r="A235" s="1" t="s">
        <v>255</v>
      </c>
      <c r="B235">
        <f>HYPERLINK("https://www.suredividend.com/sure-analysis-SBUX/","Starbucks Corp.")</f>
        <v>0</v>
      </c>
      <c r="C235">
        <v>114.22</v>
      </c>
      <c r="D235">
        <v>92</v>
      </c>
      <c r="E235">
        <v>1.241521739130435</v>
      </c>
      <c r="F235">
        <v>0.017159866923481</v>
      </c>
      <c r="G235">
        <v>-0.04234488135096659</v>
      </c>
      <c r="H235">
        <v>0.08</v>
      </c>
      <c r="I235">
        <v>0.05260887893245858</v>
      </c>
      <c r="J235" t="s">
        <v>777</v>
      </c>
      <c r="K235" t="s">
        <v>345</v>
      </c>
      <c r="L235">
        <v>4</v>
      </c>
      <c r="M235">
        <v>1.96</v>
      </c>
      <c r="N235">
        <v>0.49</v>
      </c>
      <c r="O235">
        <v>11</v>
      </c>
      <c r="P235">
        <v>0.0800087729241854</v>
      </c>
      <c r="Q235">
        <v>0.119768492821703</v>
      </c>
      <c r="R235" t="s">
        <v>780</v>
      </c>
      <c r="S235" t="s">
        <v>788</v>
      </c>
      <c r="T235">
        <v>131832.484</v>
      </c>
      <c r="U235" s="2">
        <v>44504</v>
      </c>
      <c r="V235" t="s">
        <v>800</v>
      </c>
    </row>
    <row r="236" spans="1:22">
      <c r="A236" s="1" t="s">
        <v>256</v>
      </c>
      <c r="B236">
        <f>HYPERLINK("https://www.suredividend.com/sure-analysis-DTE/","DTE Energy Co.")</f>
        <v>0</v>
      </c>
      <c r="C236">
        <v>117.85</v>
      </c>
      <c r="D236">
        <v>102</v>
      </c>
      <c r="E236">
        <v>1.155392156862745</v>
      </c>
      <c r="F236">
        <v>0.03003818413237166</v>
      </c>
      <c r="G236">
        <v>-0.02847469506330924</v>
      </c>
      <c r="H236">
        <v>0.05</v>
      </c>
      <c r="I236">
        <v>0.05043976124023519</v>
      </c>
      <c r="J236" t="s">
        <v>777</v>
      </c>
      <c r="K236" t="s">
        <v>777</v>
      </c>
      <c r="L236">
        <v>6</v>
      </c>
      <c r="M236">
        <v>3.54</v>
      </c>
      <c r="N236">
        <v>0.59</v>
      </c>
      <c r="O236">
        <v>12</v>
      </c>
      <c r="P236">
        <v>0.05009123759249423</v>
      </c>
      <c r="Q236">
        <v>0.184167312035486</v>
      </c>
      <c r="R236" t="s">
        <v>780</v>
      </c>
      <c r="S236" t="s">
        <v>792</v>
      </c>
      <c r="T236">
        <v>22631.220616</v>
      </c>
      <c r="U236" s="2">
        <v>44498</v>
      </c>
      <c r="V236" t="s">
        <v>803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23.48</v>
      </c>
      <c r="D237">
        <v>23</v>
      </c>
      <c r="E237">
        <v>1.020869565217391</v>
      </c>
      <c r="F237">
        <v>0.04258943781942078</v>
      </c>
      <c r="G237">
        <v>-0.004122435145075709</v>
      </c>
      <c r="H237">
        <v>0.01</v>
      </c>
      <c r="I237">
        <v>0.04893725967593698</v>
      </c>
      <c r="J237" t="s">
        <v>777</v>
      </c>
      <c r="K237" t="s">
        <v>776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0.4395636382044371</v>
      </c>
      <c r="R237" t="s">
        <v>780</v>
      </c>
      <c r="S237" t="s">
        <v>788</v>
      </c>
      <c r="T237">
        <v>221.82135</v>
      </c>
      <c r="U237" s="2">
        <v>44509</v>
      </c>
      <c r="V237" t="s">
        <v>801</v>
      </c>
    </row>
    <row r="238" spans="1:22">
      <c r="A238" s="1" t="s">
        <v>258</v>
      </c>
      <c r="B238">
        <f>HYPERLINK("https://www.suredividend.com/sure-analysis-NEP/","NextEra Energy Partners LP")</f>
        <v>0</v>
      </c>
      <c r="C238">
        <v>83.28</v>
      </c>
      <c r="D238">
        <v>72.8</v>
      </c>
      <c r="E238">
        <v>1.143956043956044</v>
      </c>
      <c r="F238">
        <v>0.03290105667627281</v>
      </c>
      <c r="G238">
        <v>-0.02653995128038333</v>
      </c>
      <c r="H238">
        <v>0.039</v>
      </c>
      <c r="I238">
        <v>0.04831199732375491</v>
      </c>
      <c r="J238" t="s">
        <v>777</v>
      </c>
      <c r="K238" t="s">
        <v>777</v>
      </c>
      <c r="L238">
        <v>6.62</v>
      </c>
      <c r="M238">
        <v>2.74</v>
      </c>
      <c r="N238">
        <v>0.4138972809667674</v>
      </c>
      <c r="O238">
        <v>7</v>
      </c>
      <c r="P238">
        <v>0.07860365022909654</v>
      </c>
      <c r="Q238">
        <v>0.294221444912045</v>
      </c>
      <c r="R238" t="s">
        <v>781</v>
      </c>
      <c r="S238" t="s">
        <v>792</v>
      </c>
      <c r="T238">
        <v>6350.216121</v>
      </c>
      <c r="U238" s="2">
        <v>44494</v>
      </c>
      <c r="V238" t="s">
        <v>805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137.75</v>
      </c>
      <c r="D239">
        <v>107</v>
      </c>
      <c r="E239">
        <v>1.287383177570093</v>
      </c>
      <c r="F239">
        <v>0.009582577132486388</v>
      </c>
      <c r="G239">
        <v>-0.04926729449903944</v>
      </c>
      <c r="H239">
        <v>0.09</v>
      </c>
      <c r="I239">
        <v>0.04787320160724562</v>
      </c>
      <c r="J239" t="s">
        <v>777</v>
      </c>
      <c r="K239" t="s">
        <v>523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0.218735364678565</v>
      </c>
      <c r="R239" t="s">
        <v>780</v>
      </c>
      <c r="S239" t="s">
        <v>789</v>
      </c>
      <c r="T239">
        <v>76532.845002</v>
      </c>
      <c r="U239" s="2">
        <v>44522</v>
      </c>
      <c r="V239" t="s">
        <v>801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118.79</v>
      </c>
      <c r="D240">
        <v>122</v>
      </c>
      <c r="E240">
        <v>0.973688524590164</v>
      </c>
      <c r="F240">
        <v>0.04512164323596262</v>
      </c>
      <c r="G240">
        <v>0.005347007778073509</v>
      </c>
      <c r="H240">
        <v>0</v>
      </c>
      <c r="I240">
        <v>0.04708379523825612</v>
      </c>
      <c r="J240" t="s">
        <v>777</v>
      </c>
      <c r="K240" t="s">
        <v>776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0.4157253631437101</v>
      </c>
      <c r="R240" t="s">
        <v>780</v>
      </c>
      <c r="S240" t="s">
        <v>793</v>
      </c>
      <c r="T240">
        <v>224401.917831</v>
      </c>
      <c r="U240" s="2">
        <v>44501</v>
      </c>
      <c r="V240" t="s">
        <v>803</v>
      </c>
    </row>
    <row r="241" spans="1:22">
      <c r="A241" s="1" t="s">
        <v>261</v>
      </c>
      <c r="B241">
        <f>HYPERLINK("https://www.suredividend.com/sure-analysis-KMB/","Kimberly-Clark Corp.")</f>
        <v>0</v>
      </c>
      <c r="C241">
        <v>139.8</v>
      </c>
      <c r="D241">
        <v>112</v>
      </c>
      <c r="E241">
        <v>1.248214285714286</v>
      </c>
      <c r="F241">
        <v>0.03261802575107296</v>
      </c>
      <c r="G241">
        <v>-0.04337402218417663</v>
      </c>
      <c r="H241">
        <v>0.06</v>
      </c>
      <c r="I241">
        <v>0.04655521566675502</v>
      </c>
      <c r="J241" t="s">
        <v>777</v>
      </c>
      <c r="K241" t="s">
        <v>777</v>
      </c>
      <c r="L241">
        <v>6.2</v>
      </c>
      <c r="M241">
        <v>4.56</v>
      </c>
      <c r="N241">
        <v>0.7354838709677418</v>
      </c>
      <c r="O241">
        <v>49</v>
      </c>
      <c r="P241">
        <v>0.03932663634209943</v>
      </c>
      <c r="Q241">
        <v>0.07320081040608301</v>
      </c>
      <c r="R241" t="s">
        <v>780</v>
      </c>
      <c r="S241" t="s">
        <v>791</v>
      </c>
      <c r="T241">
        <v>46766.585519</v>
      </c>
      <c r="U241" s="2">
        <v>44499</v>
      </c>
      <c r="V241" t="s">
        <v>802</v>
      </c>
    </row>
    <row r="242" spans="1:22">
      <c r="A242" s="1" t="s">
        <v>262</v>
      </c>
      <c r="B242">
        <f>HYPERLINK("https://www.suredividend.com/sure-analysis-WABC/","Westamerica Bancorporation")</f>
        <v>0</v>
      </c>
      <c r="C242">
        <v>57.33</v>
      </c>
      <c r="D242">
        <v>57</v>
      </c>
      <c r="E242">
        <v>1.005789473684211</v>
      </c>
      <c r="F242">
        <v>0.0293040293040293</v>
      </c>
      <c r="G242">
        <v>-0.001153889574010414</v>
      </c>
      <c r="H242">
        <v>0.02</v>
      </c>
      <c r="I242">
        <v>0.04614552850671827</v>
      </c>
      <c r="J242" t="s">
        <v>777</v>
      </c>
      <c r="K242" t="s">
        <v>777</v>
      </c>
      <c r="L242">
        <v>3.15</v>
      </c>
      <c r="M242">
        <v>1.68</v>
      </c>
      <c r="N242">
        <v>0.5333333333333333</v>
      </c>
      <c r="O242">
        <v>29</v>
      </c>
      <c r="P242">
        <v>0.01946539682289394</v>
      </c>
      <c r="Q242">
        <v>0.07898037682716001</v>
      </c>
      <c r="R242" t="s">
        <v>780</v>
      </c>
      <c r="S242" t="s">
        <v>789</v>
      </c>
      <c r="T242">
        <v>1527.606901</v>
      </c>
      <c r="U242" s="2">
        <v>44490</v>
      </c>
      <c r="V242" t="s">
        <v>797</v>
      </c>
    </row>
    <row r="243" spans="1:22">
      <c r="A243" s="1" t="s">
        <v>263</v>
      </c>
      <c r="B243">
        <f>HYPERLINK("https://www.suredividend.com/sure-analysis-UVV/","Universal Corp.")</f>
        <v>0</v>
      </c>
      <c r="C243">
        <v>54.12</v>
      </c>
      <c r="D243">
        <v>48</v>
      </c>
      <c r="E243">
        <v>1.1275</v>
      </c>
      <c r="F243">
        <v>0.05764966740576497</v>
      </c>
      <c r="G243">
        <v>-0.02371483547694608</v>
      </c>
      <c r="H243">
        <v>0.015</v>
      </c>
      <c r="I243">
        <v>0.04606096691778916</v>
      </c>
      <c r="J243" t="s">
        <v>777</v>
      </c>
      <c r="K243" t="s">
        <v>776</v>
      </c>
      <c r="L243">
        <v>4.4</v>
      </c>
      <c r="M243">
        <v>3.12</v>
      </c>
      <c r="N243">
        <v>0.7090909090909091</v>
      </c>
      <c r="O243">
        <v>50</v>
      </c>
      <c r="P243">
        <v>0.01005227214699711</v>
      </c>
      <c r="Q243">
        <v>0.172165000076199</v>
      </c>
      <c r="R243" t="s">
        <v>780</v>
      </c>
      <c r="S243" t="s">
        <v>791</v>
      </c>
      <c r="T243">
        <v>1324.861555</v>
      </c>
      <c r="U243" s="2">
        <v>44533</v>
      </c>
      <c r="V243" t="s">
        <v>798</v>
      </c>
    </row>
    <row r="244" spans="1:22">
      <c r="A244" s="1" t="s">
        <v>264</v>
      </c>
      <c r="B244">
        <f>HYPERLINK("https://www.suredividend.com/sure-analysis-SIEGY/","Siemens AG")</f>
        <v>0</v>
      </c>
      <c r="C244">
        <v>85.59999999999999</v>
      </c>
      <c r="D244">
        <v>74</v>
      </c>
      <c r="E244">
        <v>1.156756756756757</v>
      </c>
      <c r="F244">
        <v>0.02464953271028037</v>
      </c>
      <c r="G244">
        <v>-0.0287040206053254</v>
      </c>
      <c r="H244">
        <v>0.05</v>
      </c>
      <c r="I244">
        <v>0.04572276366694594</v>
      </c>
      <c r="J244" t="s">
        <v>777</v>
      </c>
      <c r="K244" t="s">
        <v>345</v>
      </c>
      <c r="L244">
        <v>4.6</v>
      </c>
      <c r="M244">
        <v>2.11</v>
      </c>
      <c r="N244">
        <v>0.4586956521739131</v>
      </c>
      <c r="O244">
        <v>0</v>
      </c>
      <c r="P244">
        <v>0.0597253677135221</v>
      </c>
      <c r="Q244">
        <v>0.188953285385098</v>
      </c>
      <c r="R244" t="s">
        <v>780</v>
      </c>
      <c r="S244" t="s">
        <v>786</v>
      </c>
      <c r="T244">
        <v>144729.5</v>
      </c>
      <c r="U244" s="2">
        <v>44513</v>
      </c>
      <c r="V244" t="s">
        <v>798</v>
      </c>
    </row>
    <row r="245" spans="1:22">
      <c r="A245" s="1" t="s">
        <v>265</v>
      </c>
      <c r="B245">
        <f>HYPERLINK("https://www.suredividend.com/sure-analysis-UPS/","United Parcel Service, Inc.")</f>
        <v>0</v>
      </c>
      <c r="C245">
        <v>215.11</v>
      </c>
      <c r="D245">
        <v>191</v>
      </c>
      <c r="E245">
        <v>1.126230366492147</v>
      </c>
      <c r="F245">
        <v>0.01896704011900888</v>
      </c>
      <c r="G245">
        <v>-0.02349481551807608</v>
      </c>
      <c r="H245">
        <v>0.05</v>
      </c>
      <c r="I245">
        <v>0.04523786424669352</v>
      </c>
      <c r="J245" t="s">
        <v>777</v>
      </c>
      <c r="K245" t="s">
        <v>345</v>
      </c>
      <c r="L245">
        <v>11.25</v>
      </c>
      <c r="M245">
        <v>4.08</v>
      </c>
      <c r="N245">
        <v>0.3626666666666667</v>
      </c>
      <c r="O245">
        <v>12</v>
      </c>
      <c r="P245">
        <v>0.06308972429112014</v>
      </c>
      <c r="Q245">
        <v>0.258817178147042</v>
      </c>
      <c r="R245" t="s">
        <v>780</v>
      </c>
      <c r="S245" t="s">
        <v>786</v>
      </c>
      <c r="T245">
        <v>183417.036</v>
      </c>
      <c r="U245" s="2">
        <v>44495</v>
      </c>
      <c r="V245" t="s">
        <v>800</v>
      </c>
    </row>
    <row r="246" spans="1:22">
      <c r="A246" s="1" t="s">
        <v>266</v>
      </c>
      <c r="B246">
        <f>HYPERLINK("https://www.suredividend.com/sure-analysis-DE/","Deere &amp; Co.")</f>
        <v>0</v>
      </c>
      <c r="C246">
        <v>350.75</v>
      </c>
      <c r="D246">
        <v>370</v>
      </c>
      <c r="E246">
        <v>0.947972972972973</v>
      </c>
      <c r="F246">
        <v>0.01197434069850321</v>
      </c>
      <c r="G246">
        <v>0.01074315501434286</v>
      </c>
      <c r="H246">
        <v>0.02</v>
      </c>
      <c r="I246">
        <v>0.04368340538899007</v>
      </c>
      <c r="J246" t="s">
        <v>777</v>
      </c>
      <c r="K246" t="s">
        <v>345</v>
      </c>
      <c r="L246">
        <v>21.75</v>
      </c>
      <c r="M246">
        <v>4.2</v>
      </c>
      <c r="N246">
        <v>0.1931034482758621</v>
      </c>
      <c r="O246">
        <v>1</v>
      </c>
      <c r="P246">
        <v>0.06997394153840619</v>
      </c>
      <c r="Q246">
        <v>0.311372235648957</v>
      </c>
      <c r="R246" t="s">
        <v>780</v>
      </c>
      <c r="S246" t="s">
        <v>786</v>
      </c>
      <c r="T246">
        <v>107352.77102</v>
      </c>
      <c r="U246" s="2">
        <v>44525</v>
      </c>
      <c r="V246" t="s">
        <v>800</v>
      </c>
    </row>
    <row r="247" spans="1:22">
      <c r="A247" s="1" t="s">
        <v>267</v>
      </c>
      <c r="B247">
        <f>HYPERLINK("https://www.suredividend.com/sure-analysis-SJM/","J.M. Smucker Co.")</f>
        <v>0</v>
      </c>
      <c r="C247">
        <v>133.85</v>
      </c>
      <c r="D247">
        <v>112</v>
      </c>
      <c r="E247">
        <v>1.195089285714286</v>
      </c>
      <c r="F247">
        <v>0.02958535674262234</v>
      </c>
      <c r="G247">
        <v>-0.03501640687843766</v>
      </c>
      <c r="H247">
        <v>0.05</v>
      </c>
      <c r="I247">
        <v>0.04305631911892038</v>
      </c>
      <c r="J247" t="s">
        <v>777</v>
      </c>
      <c r="K247" t="s">
        <v>777</v>
      </c>
      <c r="L247">
        <v>7</v>
      </c>
      <c r="M247">
        <v>3.96</v>
      </c>
      <c r="N247">
        <v>0.5657142857142857</v>
      </c>
      <c r="O247">
        <v>24</v>
      </c>
      <c r="P247">
        <v>0.04008868188296377</v>
      </c>
      <c r="Q247">
        <v>0.180228182773407</v>
      </c>
      <c r="R247" t="s">
        <v>780</v>
      </c>
      <c r="S247" t="s">
        <v>791</v>
      </c>
      <c r="T247">
        <v>14411.224096</v>
      </c>
      <c r="U247" s="2">
        <v>44525</v>
      </c>
      <c r="V247" t="s">
        <v>800</v>
      </c>
    </row>
    <row r="248" spans="1:22">
      <c r="A248" s="1" t="s">
        <v>268</v>
      </c>
      <c r="B248">
        <f>HYPERLINK("https://www.suredividend.com/sure-analysis-RTX/","Raytheon Technologies Corporation")</f>
        <v>0</v>
      </c>
      <c r="C248">
        <v>85.23999999999999</v>
      </c>
      <c r="D248">
        <v>66</v>
      </c>
      <c r="E248">
        <v>1.291515151515152</v>
      </c>
      <c r="F248">
        <v>0.02393242609103707</v>
      </c>
      <c r="G248">
        <v>-0.04987641468268722</v>
      </c>
      <c r="H248">
        <v>0.07000000000000001</v>
      </c>
      <c r="I248">
        <v>0.0428133286784167</v>
      </c>
      <c r="J248" t="s">
        <v>777</v>
      </c>
      <c r="K248" t="s">
        <v>777</v>
      </c>
      <c r="L248">
        <v>4.15</v>
      </c>
      <c r="M248">
        <v>2.04</v>
      </c>
      <c r="N248">
        <v>0.4915662650602409</v>
      </c>
      <c r="O248">
        <v>27</v>
      </c>
      <c r="P248">
        <v>0.06990981876632385</v>
      </c>
      <c r="Q248">
        <v>0.237508308359667</v>
      </c>
      <c r="R248" t="s">
        <v>780</v>
      </c>
      <c r="S248" t="s">
        <v>786</v>
      </c>
      <c r="T248">
        <v>127076.430296</v>
      </c>
      <c r="U248" s="2">
        <v>44497</v>
      </c>
      <c r="V248" t="s">
        <v>800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137.28</v>
      </c>
      <c r="D249">
        <v>107</v>
      </c>
      <c r="E249">
        <v>1.282990654205608</v>
      </c>
      <c r="F249">
        <v>0.0134032634032634</v>
      </c>
      <c r="G249">
        <v>-0.04861718714414809</v>
      </c>
      <c r="H249">
        <v>0.08</v>
      </c>
      <c r="I249">
        <v>0.04167654501180706</v>
      </c>
      <c r="J249" t="s">
        <v>777</v>
      </c>
      <c r="K249" t="s">
        <v>523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0.4394056154038291</v>
      </c>
      <c r="R249" t="s">
        <v>780</v>
      </c>
      <c r="S249" t="s">
        <v>786</v>
      </c>
      <c r="T249">
        <v>42940.977139</v>
      </c>
      <c r="U249" s="2">
        <v>44502</v>
      </c>
      <c r="V249" t="s">
        <v>796</v>
      </c>
    </row>
    <row r="250" spans="1:22">
      <c r="A250" s="1" t="s">
        <v>270</v>
      </c>
      <c r="B250">
        <f>HYPERLINK("https://www.suredividend.com/sure-analysis-DPZ/","Dominos Pizza Inc")</f>
        <v>0</v>
      </c>
      <c r="C250">
        <v>557.21</v>
      </c>
      <c r="D250">
        <v>370</v>
      </c>
      <c r="E250">
        <v>1.505972972972973</v>
      </c>
      <c r="F250">
        <v>0.006747904739685217</v>
      </c>
      <c r="G250">
        <v>-0.07862470251010689</v>
      </c>
      <c r="H250">
        <v>0.12</v>
      </c>
      <c r="I250">
        <v>0.04095878964022615</v>
      </c>
      <c r="J250" t="s">
        <v>777</v>
      </c>
      <c r="K250" t="s">
        <v>523</v>
      </c>
      <c r="L250">
        <v>13.9</v>
      </c>
      <c r="M250">
        <v>3.76</v>
      </c>
      <c r="N250">
        <v>0.2705035971223022</v>
      </c>
      <c r="O250">
        <v>8</v>
      </c>
      <c r="P250">
        <v>0.1480866941841668</v>
      </c>
      <c r="Q250">
        <v>0.387308506109378</v>
      </c>
      <c r="R250" t="s">
        <v>780</v>
      </c>
      <c r="S250" t="s">
        <v>788</v>
      </c>
      <c r="T250">
        <v>19861.358358</v>
      </c>
      <c r="U250" s="2">
        <v>44486</v>
      </c>
      <c r="V250" t="s">
        <v>803</v>
      </c>
    </row>
    <row r="251" spans="1:22">
      <c r="A251" s="1" t="s">
        <v>271</v>
      </c>
      <c r="B251">
        <f>HYPERLINK("https://www.suredividend.com/sure-analysis-ARTNA/","Artesian Resources Corp.")</f>
        <v>0</v>
      </c>
      <c r="C251">
        <v>45.87</v>
      </c>
      <c r="D251">
        <v>44.6</v>
      </c>
      <c r="E251">
        <v>1.02847533632287</v>
      </c>
      <c r="F251">
        <v>0.02332679311096578</v>
      </c>
      <c r="G251">
        <v>-0.005599752524612422</v>
      </c>
      <c r="H251">
        <v>0.023</v>
      </c>
      <c r="I251">
        <v>0.04015412213806191</v>
      </c>
      <c r="J251" t="s">
        <v>777</v>
      </c>
      <c r="K251" t="s">
        <v>777</v>
      </c>
      <c r="L251">
        <v>2.23</v>
      </c>
      <c r="M251">
        <v>1.07</v>
      </c>
      <c r="N251">
        <v>0.4798206278026906</v>
      </c>
      <c r="O251">
        <v>24</v>
      </c>
      <c r="P251">
        <v>0.03158554278749115</v>
      </c>
      <c r="Q251">
        <v>0.296496330148179</v>
      </c>
      <c r="R251" t="s">
        <v>780</v>
      </c>
      <c r="S251" t="s">
        <v>792</v>
      </c>
      <c r="T251">
        <v>399.04762</v>
      </c>
      <c r="U251" s="2">
        <v>44509</v>
      </c>
      <c r="V251" t="s">
        <v>805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63.42</v>
      </c>
      <c r="D252">
        <v>51</v>
      </c>
      <c r="E252">
        <v>1.243529411764706</v>
      </c>
      <c r="F252">
        <v>0.02333648691264585</v>
      </c>
      <c r="G252">
        <v>-0.04265430721733998</v>
      </c>
      <c r="H252">
        <v>0.06</v>
      </c>
      <c r="I252">
        <v>0.03981460972105033</v>
      </c>
      <c r="J252" t="s">
        <v>777</v>
      </c>
      <c r="K252" t="s">
        <v>777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0.439294496108266</v>
      </c>
      <c r="R252" t="s">
        <v>780</v>
      </c>
      <c r="S252" t="s">
        <v>787</v>
      </c>
      <c r="T252">
        <v>262672.536245</v>
      </c>
      <c r="U252" s="2">
        <v>44518</v>
      </c>
      <c r="V252" t="s">
        <v>797</v>
      </c>
    </row>
    <row r="253" spans="1:22">
      <c r="A253" s="1" t="s">
        <v>273</v>
      </c>
      <c r="B253">
        <f>HYPERLINK("https://www.suredividend.com/sure-analysis-CONE/","CyrusOne Inc")</f>
        <v>0</v>
      </c>
      <c r="C253">
        <v>89.98999999999999</v>
      </c>
      <c r="D253">
        <v>73</v>
      </c>
      <c r="E253">
        <v>1.232739726027397</v>
      </c>
      <c r="F253">
        <v>0.02311367929769974</v>
      </c>
      <c r="G253">
        <v>-0.04098428980260216</v>
      </c>
      <c r="H253">
        <v>0.06</v>
      </c>
      <c r="I253">
        <v>0.03951905940406619</v>
      </c>
      <c r="J253" t="s">
        <v>777</v>
      </c>
      <c r="K253" t="s">
        <v>345</v>
      </c>
      <c r="L253">
        <v>4.06</v>
      </c>
      <c r="M253">
        <v>2.08</v>
      </c>
      <c r="N253">
        <v>0.5123152709359606</v>
      </c>
      <c r="O253">
        <v>8</v>
      </c>
      <c r="P253">
        <v>0.03496752704080697</v>
      </c>
      <c r="Q253">
        <v>0.268856798628905</v>
      </c>
      <c r="R253" t="s">
        <v>782</v>
      </c>
      <c r="S253" t="s">
        <v>794</v>
      </c>
      <c r="T253">
        <v>11387.838077</v>
      </c>
      <c r="U253" s="2">
        <v>44500</v>
      </c>
      <c r="V253" t="s">
        <v>796</v>
      </c>
    </row>
    <row r="254" spans="1:22">
      <c r="A254" s="1" t="s">
        <v>274</v>
      </c>
      <c r="B254">
        <f>HYPERLINK("https://www.suredividend.com/sure-analysis-MTB/","M &amp; T Bank Corp")</f>
        <v>0</v>
      </c>
      <c r="C254">
        <v>153.48</v>
      </c>
      <c r="D254">
        <v>120</v>
      </c>
      <c r="E254">
        <v>1.279</v>
      </c>
      <c r="F254">
        <v>0.03127443315089914</v>
      </c>
      <c r="G254">
        <v>-0.04802423792424404</v>
      </c>
      <c r="H254">
        <v>0.057</v>
      </c>
      <c r="I254">
        <v>0.03773456526954977</v>
      </c>
      <c r="J254" t="s">
        <v>777</v>
      </c>
      <c r="K254" t="s">
        <v>777</v>
      </c>
      <c r="L254">
        <v>12.02</v>
      </c>
      <c r="M254">
        <v>4.8</v>
      </c>
      <c r="N254">
        <v>0.3993344425956739</v>
      </c>
      <c r="O254">
        <v>5</v>
      </c>
      <c r="P254">
        <v>0.03167836877916708</v>
      </c>
      <c r="Q254">
        <v>0.244403481856605</v>
      </c>
      <c r="R254" t="s">
        <v>780</v>
      </c>
      <c r="S254" t="s">
        <v>789</v>
      </c>
      <c r="T254">
        <v>19424.935389</v>
      </c>
      <c r="U254" s="2">
        <v>44490</v>
      </c>
      <c r="V254" t="s">
        <v>797</v>
      </c>
    </row>
    <row r="255" spans="1:22">
      <c r="A255" s="1" t="s">
        <v>275</v>
      </c>
      <c r="B255">
        <f>HYPERLINK("https://www.suredividend.com/sure-analysis-AAP/","Advance Auto Parts Inc")</f>
        <v>0</v>
      </c>
      <c r="C255">
        <v>236.5</v>
      </c>
      <c r="D255">
        <v>204</v>
      </c>
      <c r="E255">
        <v>1.159313725490196</v>
      </c>
      <c r="F255">
        <v>0.01691331923890063</v>
      </c>
      <c r="G255">
        <v>-0.0291328549054497</v>
      </c>
      <c r="H255">
        <v>0.05</v>
      </c>
      <c r="I255">
        <v>0.03773256865655483</v>
      </c>
      <c r="J255" t="s">
        <v>777</v>
      </c>
      <c r="K255" t="s">
        <v>345</v>
      </c>
      <c r="L255">
        <v>12</v>
      </c>
      <c r="M255">
        <v>4</v>
      </c>
      <c r="N255">
        <v>0.3333333333333333</v>
      </c>
      <c r="O255">
        <v>2</v>
      </c>
      <c r="P255">
        <v>0.06498652656427617</v>
      </c>
      <c r="Q255">
        <v>0.467265127280335</v>
      </c>
      <c r="R255" t="s">
        <v>780</v>
      </c>
      <c r="S255" t="s">
        <v>788</v>
      </c>
      <c r="T255">
        <v>14474.507237</v>
      </c>
      <c r="U255" s="2">
        <v>44517</v>
      </c>
      <c r="V255" t="s">
        <v>800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102.4</v>
      </c>
      <c r="D256">
        <v>87</v>
      </c>
      <c r="E256">
        <v>1.177011494252874</v>
      </c>
      <c r="F256">
        <v>0.021484375</v>
      </c>
      <c r="G256">
        <v>-0.03207020367203273</v>
      </c>
      <c r="H256">
        <v>0.05</v>
      </c>
      <c r="I256">
        <v>0.03745079782179905</v>
      </c>
      <c r="J256" t="s">
        <v>777</v>
      </c>
      <c r="K256" t="s">
        <v>345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0.5283009475133991</v>
      </c>
      <c r="R256" t="s">
        <v>780</v>
      </c>
      <c r="S256" t="s">
        <v>785</v>
      </c>
      <c r="T256">
        <v>133735.142541</v>
      </c>
      <c r="U256" s="2">
        <v>44503</v>
      </c>
      <c r="V256" t="s">
        <v>797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68.81</v>
      </c>
      <c r="D257">
        <v>72</v>
      </c>
      <c r="E257">
        <v>0.9556944444444445</v>
      </c>
      <c r="F257">
        <v>0.02267112338322918</v>
      </c>
      <c r="G257">
        <v>0.009104604202806232</v>
      </c>
      <c r="H257">
        <v>0.005</v>
      </c>
      <c r="I257">
        <v>0.03665971822358882</v>
      </c>
      <c r="J257" t="s">
        <v>777</v>
      </c>
      <c r="K257" t="s">
        <v>345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0.683253981444367</v>
      </c>
      <c r="R257" t="s">
        <v>780</v>
      </c>
      <c r="S257" t="s">
        <v>792</v>
      </c>
      <c r="T257">
        <v>2860.858698</v>
      </c>
      <c r="U257" s="2">
        <v>44506</v>
      </c>
      <c r="V257" t="s">
        <v>805</v>
      </c>
    </row>
    <row r="258" spans="1:22">
      <c r="A258" s="1" t="s">
        <v>278</v>
      </c>
      <c r="B258">
        <f>HYPERLINK("https://www.suredividend.com/sure-analysis-SPTN/","SpartanNash Co")</f>
        <v>0</v>
      </c>
      <c r="C258">
        <v>26.27</v>
      </c>
      <c r="D258">
        <v>21</v>
      </c>
      <c r="E258">
        <v>1.250952380952381</v>
      </c>
      <c r="F258">
        <v>0.03045298819946708</v>
      </c>
      <c r="G258">
        <v>-0.04379316353250751</v>
      </c>
      <c r="H258">
        <v>0.05</v>
      </c>
      <c r="I258">
        <v>0.03565134787414359</v>
      </c>
      <c r="J258" t="s">
        <v>777</v>
      </c>
      <c r="K258" t="s">
        <v>777</v>
      </c>
      <c r="L258">
        <v>1.78</v>
      </c>
      <c r="M258">
        <v>0.8</v>
      </c>
      <c r="N258">
        <v>0.4494382022471911</v>
      </c>
      <c r="O258">
        <v>10</v>
      </c>
      <c r="P258">
        <v>0.03928904495613805</v>
      </c>
      <c r="Q258">
        <v>0.523446655328457</v>
      </c>
      <c r="R258" t="s">
        <v>780</v>
      </c>
      <c r="S258" t="s">
        <v>791</v>
      </c>
      <c r="T258">
        <v>911.189475</v>
      </c>
      <c r="U258" s="2">
        <v>44513</v>
      </c>
      <c r="V258" t="s">
        <v>795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464.92</v>
      </c>
      <c r="D259">
        <v>400</v>
      </c>
      <c r="E259">
        <v>1.1623</v>
      </c>
      <c r="F259">
        <v>0.01118471995181967</v>
      </c>
      <c r="G259">
        <v>-0.02963225437723349</v>
      </c>
      <c r="H259">
        <v>0.055</v>
      </c>
      <c r="I259">
        <v>0.03529382242892032</v>
      </c>
      <c r="J259" t="s">
        <v>777</v>
      </c>
      <c r="K259" t="s">
        <v>523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0.257790368271954</v>
      </c>
      <c r="R259" t="s">
        <v>780</v>
      </c>
      <c r="S259" t="s">
        <v>791</v>
      </c>
      <c r="T259">
        <v>264938.982888</v>
      </c>
      <c r="U259" s="2">
        <v>44505</v>
      </c>
      <c r="V259" t="s">
        <v>796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110.83</v>
      </c>
      <c r="D260">
        <v>90</v>
      </c>
      <c r="E260">
        <v>1.231444444444444</v>
      </c>
      <c r="F260">
        <v>0.03645222412704142</v>
      </c>
      <c r="G260">
        <v>-0.04078262856056414</v>
      </c>
      <c r="H260">
        <v>0.04</v>
      </c>
      <c r="I260">
        <v>0.03441963861138175</v>
      </c>
      <c r="J260" t="s">
        <v>777</v>
      </c>
      <c r="K260" t="s">
        <v>777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0.198481567725802</v>
      </c>
      <c r="R260" t="s">
        <v>780</v>
      </c>
      <c r="S260" t="s">
        <v>792</v>
      </c>
      <c r="T260">
        <v>22126.031097</v>
      </c>
      <c r="U260" s="2">
        <v>44510</v>
      </c>
      <c r="V260" t="s">
        <v>798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41.74</v>
      </c>
      <c r="D261">
        <v>36</v>
      </c>
      <c r="E261">
        <v>1.159444444444444</v>
      </c>
      <c r="F261">
        <v>0.03162434115955918</v>
      </c>
      <c r="G261">
        <v>-0.02915474753898162</v>
      </c>
      <c r="H261">
        <v>0.03</v>
      </c>
      <c r="I261">
        <v>0.03238731226510461</v>
      </c>
      <c r="J261" t="s">
        <v>777</v>
      </c>
      <c r="K261" t="s">
        <v>776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0.362127123063416</v>
      </c>
      <c r="R261" t="s">
        <v>780</v>
      </c>
      <c r="S261" t="s">
        <v>789</v>
      </c>
      <c r="T261">
        <v>1332.032872</v>
      </c>
      <c r="U261" s="2">
        <v>44495</v>
      </c>
      <c r="V261" t="s">
        <v>797</v>
      </c>
    </row>
    <row r="262" spans="1:22">
      <c r="A262" s="1" t="s">
        <v>282</v>
      </c>
      <c r="B262">
        <f>HYPERLINK("https://www.suredividend.com/sure-analysis-AMX/","America Movil S.A.B.DE C.V.")</f>
        <v>0</v>
      </c>
      <c r="C262">
        <v>20.81</v>
      </c>
      <c r="D262">
        <v>18</v>
      </c>
      <c r="E262">
        <v>1.156111111111111</v>
      </c>
      <c r="F262">
        <v>0.01922152811148486</v>
      </c>
      <c r="G262">
        <v>-0.02859555819669024</v>
      </c>
      <c r="H262">
        <v>0.04</v>
      </c>
      <c r="I262">
        <v>0.03056586383788762</v>
      </c>
      <c r="J262" t="s">
        <v>777</v>
      </c>
      <c r="K262" t="s">
        <v>345</v>
      </c>
      <c r="L262">
        <v>1.35</v>
      </c>
      <c r="M262">
        <v>0.4</v>
      </c>
      <c r="N262">
        <v>0.2962962962962963</v>
      </c>
      <c r="O262">
        <v>0</v>
      </c>
      <c r="P262">
        <v>0.04563955259127317</v>
      </c>
      <c r="Q262">
        <v>0.489077704739214</v>
      </c>
      <c r="R262" t="s">
        <v>780</v>
      </c>
      <c r="S262" t="s">
        <v>784</v>
      </c>
      <c r="T262">
        <v>45877.845696</v>
      </c>
      <c r="U262" s="2">
        <v>44494</v>
      </c>
      <c r="V262" t="s">
        <v>803</v>
      </c>
    </row>
    <row r="263" spans="1:22">
      <c r="A263" s="1" t="s">
        <v>283</v>
      </c>
      <c r="B263">
        <f>HYPERLINK("https://www.suredividend.com/sure-analysis-CTSH/","Cognizant Technology Solutions Corp.")</f>
        <v>0</v>
      </c>
      <c r="C263">
        <v>88.09</v>
      </c>
      <c r="D263">
        <v>65</v>
      </c>
      <c r="E263">
        <v>1.355230769230769</v>
      </c>
      <c r="F263">
        <v>0.01089794528323306</v>
      </c>
      <c r="G263">
        <v>-0.05898325988309805</v>
      </c>
      <c r="H263">
        <v>0.08</v>
      </c>
      <c r="I263">
        <v>0.02864542422136851</v>
      </c>
      <c r="J263" t="s">
        <v>777</v>
      </c>
      <c r="K263" t="s">
        <v>523</v>
      </c>
      <c r="L263">
        <v>4.05</v>
      </c>
      <c r="M263">
        <v>0.96</v>
      </c>
      <c r="N263">
        <v>0.237037037037037</v>
      </c>
      <c r="O263">
        <v>2</v>
      </c>
      <c r="P263">
        <v>0.07214502590085092</v>
      </c>
      <c r="Q263">
        <v>0.077937814643165</v>
      </c>
      <c r="R263" t="s">
        <v>780</v>
      </c>
      <c r="S263" t="s">
        <v>787</v>
      </c>
      <c r="T263">
        <v>45323.972127</v>
      </c>
      <c r="U263" s="2">
        <v>44504</v>
      </c>
      <c r="V263" t="s">
        <v>803</v>
      </c>
    </row>
    <row r="264" spans="1:22">
      <c r="A264" s="1" t="s">
        <v>284</v>
      </c>
      <c r="B264">
        <f>HYPERLINK("https://www.suredividend.com/sure-analysis-CLX/","Clorox Co.")</f>
        <v>0</v>
      </c>
      <c r="C264">
        <v>170.89</v>
      </c>
      <c r="D264">
        <v>127</v>
      </c>
      <c r="E264">
        <v>1.345590551181102</v>
      </c>
      <c r="F264">
        <v>0.02715196910293171</v>
      </c>
      <c r="G264">
        <v>-0.05763876158048165</v>
      </c>
      <c r="H264">
        <v>0.06</v>
      </c>
      <c r="I264">
        <v>0.02790851653389215</v>
      </c>
      <c r="J264" t="s">
        <v>777</v>
      </c>
      <c r="K264" t="s">
        <v>777</v>
      </c>
      <c r="L264">
        <v>5.5</v>
      </c>
      <c r="M264">
        <v>4.64</v>
      </c>
      <c r="N264">
        <v>0.8436363636363636</v>
      </c>
      <c r="O264">
        <v>44</v>
      </c>
      <c r="P264">
        <v>0.04017423812999366</v>
      </c>
      <c r="Q264">
        <v>-0.14594430408265</v>
      </c>
      <c r="R264" t="s">
        <v>780</v>
      </c>
      <c r="S264" t="s">
        <v>791</v>
      </c>
      <c r="T264">
        <v>20865.78355</v>
      </c>
      <c r="U264" s="2">
        <v>44519</v>
      </c>
      <c r="V264" t="s">
        <v>802</v>
      </c>
    </row>
    <row r="265" spans="1:22">
      <c r="A265" s="1" t="s">
        <v>285</v>
      </c>
      <c r="B265">
        <f>HYPERLINK("https://www.suredividend.com/sure-analysis-HON/","Honeywell International Inc")</f>
        <v>0</v>
      </c>
      <c r="C265">
        <v>206.43</v>
      </c>
      <c r="D265">
        <v>137</v>
      </c>
      <c r="E265">
        <v>1.506788321167883</v>
      </c>
      <c r="F265">
        <v>0.01898948796202102</v>
      </c>
      <c r="G265">
        <v>-0.07872443839624865</v>
      </c>
      <c r="H265">
        <v>0.09</v>
      </c>
      <c r="I265">
        <v>0.0274481854243982</v>
      </c>
      <c r="J265" t="s">
        <v>777</v>
      </c>
      <c r="K265" t="s">
        <v>345</v>
      </c>
      <c r="L265">
        <v>8.050000000000001</v>
      </c>
      <c r="M265">
        <v>3.92</v>
      </c>
      <c r="N265">
        <v>0.4869565217391304</v>
      </c>
      <c r="O265">
        <v>12</v>
      </c>
      <c r="P265">
        <v>0.08994918009420316</v>
      </c>
      <c r="Q265">
        <v>-0.003833314644893</v>
      </c>
      <c r="R265" t="s">
        <v>780</v>
      </c>
      <c r="S265" t="s">
        <v>786</v>
      </c>
      <c r="T265">
        <v>141278.16293</v>
      </c>
      <c r="U265" s="2">
        <v>44491</v>
      </c>
      <c r="V265" t="s">
        <v>797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65.06</v>
      </c>
      <c r="D266">
        <v>54</v>
      </c>
      <c r="E266">
        <v>1.204814814814815</v>
      </c>
      <c r="F266">
        <v>0.03135567168767291</v>
      </c>
      <c r="G266">
        <v>-0.03657937349133256</v>
      </c>
      <c r="H266">
        <v>0.03</v>
      </c>
      <c r="I266">
        <v>0.02632508375803844</v>
      </c>
      <c r="J266" t="s">
        <v>777</v>
      </c>
      <c r="K266" t="s">
        <v>777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0.15906549671287</v>
      </c>
      <c r="R266" t="s">
        <v>780</v>
      </c>
      <c r="S266" t="s">
        <v>792</v>
      </c>
      <c r="T266">
        <v>32650.16731</v>
      </c>
      <c r="U266" s="2">
        <v>44513</v>
      </c>
      <c r="V266" t="s">
        <v>799</v>
      </c>
    </row>
    <row r="267" spans="1:22">
      <c r="A267" s="1" t="s">
        <v>287</v>
      </c>
      <c r="B267">
        <f>HYPERLINK("https://www.suredividend.com/sure-analysis-PRGO/","Perrigo Company plc")</f>
        <v>0</v>
      </c>
      <c r="C267">
        <v>39.75</v>
      </c>
      <c r="D267">
        <v>31</v>
      </c>
      <c r="E267">
        <v>1.282258064516129</v>
      </c>
      <c r="F267">
        <v>0.02415094339622641</v>
      </c>
      <c r="G267">
        <v>-0.04850850168788479</v>
      </c>
      <c r="H267">
        <v>0.05</v>
      </c>
      <c r="I267">
        <v>0.0257942458196756</v>
      </c>
      <c r="J267" t="s">
        <v>777</v>
      </c>
      <c r="K267" t="s">
        <v>777</v>
      </c>
      <c r="L267">
        <v>2.05</v>
      </c>
      <c r="M267">
        <v>0.96</v>
      </c>
      <c r="N267">
        <v>0.4682926829268293</v>
      </c>
      <c r="O267">
        <v>19</v>
      </c>
      <c r="P267">
        <v>0.05081623913789235</v>
      </c>
      <c r="Q267">
        <v>-0.08021056990190301</v>
      </c>
      <c r="R267" t="s">
        <v>780</v>
      </c>
      <c r="S267" t="s">
        <v>785</v>
      </c>
      <c r="T267">
        <v>5289.419255</v>
      </c>
      <c r="U267" s="2">
        <v>44510</v>
      </c>
      <c r="V267" t="s">
        <v>797</v>
      </c>
    </row>
    <row r="268" spans="1:22">
      <c r="A268" s="1" t="s">
        <v>288</v>
      </c>
      <c r="B268">
        <f>HYPERLINK("https://www.suredividend.com/sure-analysis-ED/","Consolidated Edison, Inc.")</f>
        <v>0</v>
      </c>
      <c r="C268">
        <v>83.73</v>
      </c>
      <c r="D268">
        <v>65</v>
      </c>
      <c r="E268">
        <v>1.288153846153846</v>
      </c>
      <c r="F268">
        <v>0.03702376686970023</v>
      </c>
      <c r="G268">
        <v>-0.04938108140964026</v>
      </c>
      <c r="H268">
        <v>0.035</v>
      </c>
      <c r="I268">
        <v>0.02427844408858704</v>
      </c>
      <c r="J268" t="s">
        <v>777</v>
      </c>
      <c r="K268" t="s">
        <v>776</v>
      </c>
      <c r="L268">
        <v>4.25</v>
      </c>
      <c r="M268">
        <v>3.1</v>
      </c>
      <c r="N268">
        <v>0.7294117647058824</v>
      </c>
      <c r="O268">
        <v>47</v>
      </c>
      <c r="P268">
        <v>0.03489723107282572</v>
      </c>
      <c r="Q268">
        <v>0.225130308118005</v>
      </c>
      <c r="R268" t="s">
        <v>780</v>
      </c>
      <c r="S268" t="s">
        <v>792</v>
      </c>
      <c r="T268">
        <v>29602.794056</v>
      </c>
      <c r="U268" s="2">
        <v>44507</v>
      </c>
      <c r="V268" t="s">
        <v>797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66.81999999999999</v>
      </c>
      <c r="D269">
        <v>53</v>
      </c>
      <c r="E269">
        <v>1.260754716981132</v>
      </c>
      <c r="F269">
        <v>0.02738700987728225</v>
      </c>
      <c r="G269">
        <v>-0.04528470624907011</v>
      </c>
      <c r="H269">
        <v>0.04</v>
      </c>
      <c r="I269">
        <v>0.02282228399891428</v>
      </c>
      <c r="J269" t="s">
        <v>777</v>
      </c>
      <c r="K269" t="s">
        <v>777</v>
      </c>
      <c r="L269">
        <v>2.96</v>
      </c>
      <c r="M269">
        <v>1.83</v>
      </c>
      <c r="N269">
        <v>0.6182432432432433</v>
      </c>
      <c r="O269">
        <v>18</v>
      </c>
      <c r="P269">
        <v>0.04032911905890546</v>
      </c>
      <c r="Q269">
        <v>0.052368817273952</v>
      </c>
      <c r="R269" t="s">
        <v>780</v>
      </c>
      <c r="S269" t="s">
        <v>792</v>
      </c>
      <c r="T269">
        <v>35881.179718</v>
      </c>
      <c r="U269" s="2">
        <v>44502</v>
      </c>
      <c r="V269" t="s">
        <v>800</v>
      </c>
    </row>
    <row r="270" spans="1:22">
      <c r="A270" s="1" t="s">
        <v>290</v>
      </c>
      <c r="B270">
        <f>HYPERLINK("https://www.suredividend.com/sure-analysis-INGR/","Ingredion Inc")</f>
        <v>0</v>
      </c>
      <c r="C270">
        <v>95.81</v>
      </c>
      <c r="D270">
        <v>79</v>
      </c>
      <c r="E270">
        <v>1.212784810126582</v>
      </c>
      <c r="F270">
        <v>0.0271370420624152</v>
      </c>
      <c r="G270">
        <v>-0.03784896753897149</v>
      </c>
      <c r="H270">
        <v>0.03</v>
      </c>
      <c r="I270">
        <v>0.02171126510652677</v>
      </c>
      <c r="J270" t="s">
        <v>777</v>
      </c>
      <c r="K270" t="s">
        <v>777</v>
      </c>
      <c r="L270">
        <v>5.3</v>
      </c>
      <c r="M270">
        <v>2.6</v>
      </c>
      <c r="N270">
        <v>0.4905660377358491</v>
      </c>
      <c r="O270">
        <v>11</v>
      </c>
      <c r="P270">
        <v>0.05010553388446692</v>
      </c>
      <c r="Q270">
        <v>0.230563559432027</v>
      </c>
      <c r="R270" t="s">
        <v>780</v>
      </c>
      <c r="S270" t="s">
        <v>791</v>
      </c>
      <c r="T270">
        <v>6308.271713</v>
      </c>
      <c r="U270" s="2">
        <v>44509</v>
      </c>
      <c r="V270" t="s">
        <v>806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291.53</v>
      </c>
      <c r="D271">
        <v>216</v>
      </c>
      <c r="E271">
        <v>1.349675925925926</v>
      </c>
      <c r="F271">
        <v>0.01495557918567558</v>
      </c>
      <c r="G271">
        <v>-0.05820994590162443</v>
      </c>
      <c r="H271">
        <v>0.065</v>
      </c>
      <c r="I271">
        <v>0.02107570317327312</v>
      </c>
      <c r="J271" t="s">
        <v>777</v>
      </c>
      <c r="K271" t="s">
        <v>523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0.245969438583582</v>
      </c>
      <c r="R271" t="s">
        <v>780</v>
      </c>
      <c r="S271" t="s">
        <v>786</v>
      </c>
      <c r="T271">
        <v>73028.30475</v>
      </c>
      <c r="U271" s="2">
        <v>44503</v>
      </c>
      <c r="V271" t="s">
        <v>798</v>
      </c>
    </row>
    <row r="272" spans="1:22">
      <c r="A272" s="1" t="s">
        <v>292</v>
      </c>
      <c r="B272">
        <f>HYPERLINK("https://www.suredividend.com/sure-analysis-PEP/","PepsiCo Inc")</f>
        <v>0</v>
      </c>
      <c r="C272">
        <v>171.47</v>
      </c>
      <c r="D272">
        <v>124</v>
      </c>
      <c r="E272">
        <v>1.382822580645161</v>
      </c>
      <c r="F272">
        <v>0.02507727299236018</v>
      </c>
      <c r="G272">
        <v>-0.06276886510713953</v>
      </c>
      <c r="H272">
        <v>0.055</v>
      </c>
      <c r="I272">
        <v>0.01790648290592123</v>
      </c>
      <c r="J272" t="s">
        <v>777</v>
      </c>
      <c r="K272" t="s">
        <v>777</v>
      </c>
      <c r="L272">
        <v>6.2</v>
      </c>
      <c r="M272">
        <v>4.3</v>
      </c>
      <c r="N272">
        <v>0.6935483870967741</v>
      </c>
      <c r="O272">
        <v>49</v>
      </c>
      <c r="P272">
        <v>0.0550027021888726</v>
      </c>
      <c r="Q272">
        <v>0.204603005334792</v>
      </c>
      <c r="R272" t="s">
        <v>780</v>
      </c>
      <c r="S272" t="s">
        <v>791</v>
      </c>
      <c r="T272">
        <v>234746.816663</v>
      </c>
      <c r="U272" s="2">
        <v>44474</v>
      </c>
      <c r="V272" t="s">
        <v>797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170.44</v>
      </c>
      <c r="D273">
        <v>136</v>
      </c>
      <c r="E273">
        <v>1.253235294117647</v>
      </c>
      <c r="F273">
        <v>0.01126496127669561</v>
      </c>
      <c r="G273">
        <v>-0.04414178593657392</v>
      </c>
      <c r="H273">
        <v>0.05</v>
      </c>
      <c r="I273">
        <v>0.01621366632441057</v>
      </c>
      <c r="J273" t="s">
        <v>777</v>
      </c>
      <c r="K273" t="s">
        <v>523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0.366991968870853</v>
      </c>
      <c r="R273" t="s">
        <v>780</v>
      </c>
      <c r="S273" t="s">
        <v>789</v>
      </c>
      <c r="T273">
        <v>34501.4231</v>
      </c>
      <c r="U273" s="2">
        <v>44518</v>
      </c>
      <c r="V273" t="s">
        <v>802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383.36</v>
      </c>
      <c r="D274">
        <v>244</v>
      </c>
      <c r="E274">
        <v>1.571147540983607</v>
      </c>
      <c r="F274">
        <v>0.006051752921535892</v>
      </c>
      <c r="G274">
        <v>-0.08639891643172815</v>
      </c>
      <c r="H274">
        <v>0.1</v>
      </c>
      <c r="I274">
        <v>0.01533759118716493</v>
      </c>
      <c r="J274" t="s">
        <v>777</v>
      </c>
      <c r="K274" t="s">
        <v>523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0.3714406319150511</v>
      </c>
      <c r="R274" t="s">
        <v>780</v>
      </c>
      <c r="S274" t="s">
        <v>787</v>
      </c>
      <c r="T274">
        <v>41003.666015</v>
      </c>
      <c r="U274" s="2">
        <v>44502</v>
      </c>
      <c r="V274" t="s">
        <v>796</v>
      </c>
    </row>
    <row r="275" spans="1:22">
      <c r="A275" s="1" t="s">
        <v>295</v>
      </c>
      <c r="B275">
        <f>HYPERLINK("https://www.suredividend.com/sure-analysis-MWA/","Mueller Water Products Inc")</f>
        <v>0</v>
      </c>
      <c r="C275">
        <v>14.29</v>
      </c>
      <c r="D275">
        <v>11</v>
      </c>
      <c r="E275">
        <v>1.299090909090909</v>
      </c>
      <c r="F275">
        <v>0.01609517144856543</v>
      </c>
      <c r="G275">
        <v>-0.05098715373324503</v>
      </c>
      <c r="H275">
        <v>0.05</v>
      </c>
      <c r="I275">
        <v>0.01421784676380833</v>
      </c>
      <c r="J275" t="s">
        <v>777</v>
      </c>
      <c r="K275" t="s">
        <v>523</v>
      </c>
      <c r="L275">
        <v>0.5</v>
      </c>
      <c r="M275">
        <v>0.23</v>
      </c>
      <c r="N275">
        <v>0.46</v>
      </c>
      <c r="O275">
        <v>8</v>
      </c>
      <c r="P275">
        <v>0.04012620718096094</v>
      </c>
      <c r="Q275">
        <v>0.180483563522054</v>
      </c>
      <c r="R275" t="s">
        <v>780</v>
      </c>
      <c r="S275" t="s">
        <v>786</v>
      </c>
      <c r="T275">
        <v>2230.946402</v>
      </c>
      <c r="U275" s="2">
        <v>44511</v>
      </c>
      <c r="V275" t="s">
        <v>796</v>
      </c>
    </row>
    <row r="276" spans="1:22">
      <c r="A276" s="1" t="s">
        <v>296</v>
      </c>
      <c r="B276">
        <f>HYPERLINK("https://www.suredividend.com/sure-analysis-IFF/","International Flavors &amp; Fragrances Inc.")</f>
        <v>0</v>
      </c>
      <c r="C276">
        <v>145.21</v>
      </c>
      <c r="D276">
        <v>113</v>
      </c>
      <c r="E276">
        <v>1.285044247787611</v>
      </c>
      <c r="F276">
        <v>0.02176158666758488</v>
      </c>
      <c r="G276">
        <v>-0.04892145740356035</v>
      </c>
      <c r="H276">
        <v>0.04</v>
      </c>
      <c r="I276">
        <v>0.01348548741066313</v>
      </c>
      <c r="J276" t="s">
        <v>777</v>
      </c>
      <c r="K276" t="s">
        <v>345</v>
      </c>
      <c r="L276">
        <v>5.63</v>
      </c>
      <c r="M276">
        <v>3.16</v>
      </c>
      <c r="N276">
        <v>0.5612788632326821</v>
      </c>
      <c r="O276">
        <v>19</v>
      </c>
      <c r="P276">
        <v>0.03974975894363819</v>
      </c>
      <c r="Q276">
        <v>0.322182242895661</v>
      </c>
      <c r="R276" t="s">
        <v>780</v>
      </c>
      <c r="S276" t="s">
        <v>790</v>
      </c>
      <c r="T276">
        <v>36423.129371</v>
      </c>
      <c r="U276" s="2">
        <v>44516</v>
      </c>
      <c r="V276" t="s">
        <v>801</v>
      </c>
    </row>
    <row r="277" spans="1:22">
      <c r="A277" s="1" t="s">
        <v>297</v>
      </c>
      <c r="B277">
        <f>HYPERLINK("https://www.suredividend.com/sure-analysis-CARR/","Carrier Global Corp")</f>
        <v>0</v>
      </c>
      <c r="C277">
        <v>53.53</v>
      </c>
      <c r="D277">
        <v>40</v>
      </c>
      <c r="E277">
        <v>1.33825</v>
      </c>
      <c r="F277">
        <v>0.01120866803661498</v>
      </c>
      <c r="G277">
        <v>-0.05660721691286219</v>
      </c>
      <c r="H277">
        <v>0.06</v>
      </c>
      <c r="I277">
        <v>0.01261939203861595</v>
      </c>
      <c r="J277" t="s">
        <v>777</v>
      </c>
      <c r="K277" t="s">
        <v>523</v>
      </c>
      <c r="L277">
        <v>2.2</v>
      </c>
      <c r="M277">
        <v>0.6</v>
      </c>
      <c r="N277">
        <v>0.2727272727272727</v>
      </c>
      <c r="O277">
        <v>2</v>
      </c>
      <c r="P277">
        <v>0.04841317128472156</v>
      </c>
      <c r="Q277">
        <v>0.404652746013679</v>
      </c>
      <c r="R277" t="s">
        <v>780</v>
      </c>
      <c r="S277" t="s">
        <v>786</v>
      </c>
      <c r="T277">
        <v>45773.016108</v>
      </c>
      <c r="U277" s="2">
        <v>44502</v>
      </c>
      <c r="V277" t="s">
        <v>800</v>
      </c>
    </row>
    <row r="278" spans="1:22">
      <c r="A278" s="1" t="s">
        <v>298</v>
      </c>
      <c r="B278">
        <f>HYPERLINK("https://www.suredividend.com/sure-analysis-MGRC/","McGrath Rentcorp")</f>
        <v>0</v>
      </c>
      <c r="C278">
        <v>79.895</v>
      </c>
      <c r="D278">
        <v>65</v>
      </c>
      <c r="E278">
        <v>1.229153846153846</v>
      </c>
      <c r="F278">
        <v>0.02177858439201452</v>
      </c>
      <c r="G278">
        <v>-0.04042538350490421</v>
      </c>
      <c r="H278">
        <v>0.03</v>
      </c>
      <c r="I278">
        <v>0.012169328015601</v>
      </c>
      <c r="J278" t="s">
        <v>777</v>
      </c>
      <c r="K278" t="s">
        <v>777</v>
      </c>
      <c r="L278">
        <v>3.69</v>
      </c>
      <c r="M278">
        <v>1.74</v>
      </c>
      <c r="N278">
        <v>0.4715447154471545</v>
      </c>
      <c r="O278">
        <v>30</v>
      </c>
      <c r="P278">
        <v>0.0302922291651091</v>
      </c>
      <c r="Q278">
        <v>0.267790476918568</v>
      </c>
      <c r="R278" t="s">
        <v>780</v>
      </c>
      <c r="S278" t="s">
        <v>786</v>
      </c>
      <c r="T278">
        <v>1930.026813</v>
      </c>
      <c r="U278" s="2">
        <v>44498</v>
      </c>
      <c r="V278" t="s">
        <v>797</v>
      </c>
    </row>
    <row r="279" spans="1:22">
      <c r="A279" s="1" t="s">
        <v>299</v>
      </c>
      <c r="B279">
        <f>HYPERLINK("https://www.suredividend.com/sure-analysis-UNP/","Union Pacific Corp.")</f>
        <v>0</v>
      </c>
      <c r="C279">
        <v>247.95</v>
      </c>
      <c r="D279">
        <v>169</v>
      </c>
      <c r="E279">
        <v>1.467159763313609</v>
      </c>
      <c r="F279">
        <v>0.01903609598709417</v>
      </c>
      <c r="G279">
        <v>-0.07380055078034531</v>
      </c>
      <c r="H279">
        <v>0.07000000000000001</v>
      </c>
      <c r="I279">
        <v>0.01170743804759367</v>
      </c>
      <c r="J279" t="s">
        <v>777</v>
      </c>
      <c r="K279" t="s">
        <v>345</v>
      </c>
      <c r="L279">
        <v>9.93</v>
      </c>
      <c r="M279">
        <v>4.72</v>
      </c>
      <c r="N279">
        <v>0.4753272910372608</v>
      </c>
      <c r="O279">
        <v>15</v>
      </c>
      <c r="P279">
        <v>0.02955636723032895</v>
      </c>
      <c r="Q279">
        <v>0.230898128698106</v>
      </c>
      <c r="R279" t="s">
        <v>780</v>
      </c>
      <c r="S279" t="s">
        <v>786</v>
      </c>
      <c r="T279">
        <v>157915.986948</v>
      </c>
      <c r="U279" s="2">
        <v>44490</v>
      </c>
      <c r="V279" t="s">
        <v>797</v>
      </c>
    </row>
    <row r="280" spans="1:22">
      <c r="A280" s="1" t="s">
        <v>300</v>
      </c>
      <c r="B280">
        <f>HYPERLINK("https://www.suredividend.com/sure-analysis-RHHBY/","Roche Holding AG")</f>
        <v>0</v>
      </c>
      <c r="C280">
        <v>51.96</v>
      </c>
      <c r="D280">
        <v>42</v>
      </c>
      <c r="E280">
        <v>1.237142857142857</v>
      </c>
      <c r="F280">
        <v>0.02251732101616628</v>
      </c>
      <c r="G280">
        <v>-0.04166791277232462</v>
      </c>
      <c r="H280">
        <v>0.03</v>
      </c>
      <c r="I280">
        <v>0.01158484018190453</v>
      </c>
      <c r="J280" t="s">
        <v>777</v>
      </c>
      <c r="K280" t="s">
        <v>777</v>
      </c>
      <c r="L280">
        <v>2.3</v>
      </c>
      <c r="M280">
        <v>1.17</v>
      </c>
      <c r="N280">
        <v>0.5086956521739131</v>
      </c>
      <c r="O280">
        <v>34</v>
      </c>
      <c r="P280">
        <v>0.0275046295579735</v>
      </c>
      <c r="Q280">
        <v>0.239928759223136</v>
      </c>
      <c r="R280" t="s">
        <v>780</v>
      </c>
      <c r="S280" t="s">
        <v>785</v>
      </c>
      <c r="T280">
        <v>287601.066872</v>
      </c>
      <c r="U280" s="2">
        <v>44490</v>
      </c>
      <c r="V280" t="s">
        <v>806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262.07</v>
      </c>
      <c r="D281">
        <v>151</v>
      </c>
      <c r="E281">
        <v>1.735562913907285</v>
      </c>
      <c r="F281">
        <v>0.006410501011180219</v>
      </c>
      <c r="G281">
        <v>-0.1044044485319455</v>
      </c>
      <c r="H281">
        <v>0.12</v>
      </c>
      <c r="I281">
        <v>0.01144002931644938</v>
      </c>
      <c r="J281" t="s">
        <v>777</v>
      </c>
      <c r="K281" t="s">
        <v>523</v>
      </c>
      <c r="L281">
        <v>6.3</v>
      </c>
      <c r="M281">
        <v>1.68</v>
      </c>
      <c r="N281">
        <v>0.2666666666666667</v>
      </c>
      <c r="O281">
        <v>1</v>
      </c>
      <c r="P281">
        <v>0.1003529239440031</v>
      </c>
      <c r="Q281">
        <v>0.227055526609354</v>
      </c>
      <c r="R281" t="s">
        <v>780</v>
      </c>
      <c r="S281" t="s">
        <v>785</v>
      </c>
      <c r="T281">
        <v>37716.063612</v>
      </c>
      <c r="U281" s="2">
        <v>44508</v>
      </c>
      <c r="V281" t="s">
        <v>798</v>
      </c>
    </row>
    <row r="282" spans="1:22">
      <c r="A282" s="1" t="s">
        <v>302</v>
      </c>
      <c r="B282">
        <f>HYPERLINK("https://www.suredividend.com/sure-analysis-HSY/","Hershey Company")</f>
        <v>0</v>
      </c>
      <c r="C282">
        <v>189.88</v>
      </c>
      <c r="D282">
        <v>141</v>
      </c>
      <c r="E282">
        <v>1.346666666666667</v>
      </c>
      <c r="F282">
        <v>0.01895934274278492</v>
      </c>
      <c r="G282">
        <v>-0.05778941709815066</v>
      </c>
      <c r="H282">
        <v>0.05</v>
      </c>
      <c r="I282">
        <v>0.01127599075500552</v>
      </c>
      <c r="J282" t="s">
        <v>777</v>
      </c>
      <c r="K282" t="s">
        <v>345</v>
      </c>
      <c r="L282">
        <v>7.05</v>
      </c>
      <c r="M282">
        <v>3.6</v>
      </c>
      <c r="N282">
        <v>0.5106382978723405</v>
      </c>
      <c r="O282">
        <v>12</v>
      </c>
      <c r="P282">
        <v>0.04978904632428516</v>
      </c>
      <c r="Q282">
        <v>0.282306000696742</v>
      </c>
      <c r="R282" t="s">
        <v>780</v>
      </c>
      <c r="S282" t="s">
        <v>791</v>
      </c>
      <c r="T282">
        <v>39226.44132</v>
      </c>
      <c r="U282" s="2">
        <v>44500</v>
      </c>
      <c r="V282" t="s">
        <v>800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91.31999999999999</v>
      </c>
      <c r="D283">
        <v>61</v>
      </c>
      <c r="E283">
        <v>1.497049180327869</v>
      </c>
      <c r="F283">
        <v>0.01686377573368375</v>
      </c>
      <c r="G283">
        <v>-0.07752886312531793</v>
      </c>
      <c r="H283">
        <v>0.07000000000000001</v>
      </c>
      <c r="I283">
        <v>0.008809787752241061</v>
      </c>
      <c r="J283" t="s">
        <v>777</v>
      </c>
      <c r="K283" t="s">
        <v>345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0.226977266424518</v>
      </c>
      <c r="R283" t="s">
        <v>780</v>
      </c>
      <c r="S283" t="s">
        <v>792</v>
      </c>
      <c r="T283">
        <v>177687.644646</v>
      </c>
      <c r="U283" s="2">
        <v>44498</v>
      </c>
      <c r="V283" t="s">
        <v>804</v>
      </c>
    </row>
    <row r="284" spans="1:22">
      <c r="A284" s="1" t="s">
        <v>304</v>
      </c>
      <c r="B284">
        <f>HYPERLINK("https://www.suredividend.com/sure-analysis-AWK/","American Water Works Co. Inc.")</f>
        <v>0</v>
      </c>
      <c r="C284">
        <v>183.58</v>
      </c>
      <c r="D284">
        <v>136</v>
      </c>
      <c r="E284">
        <v>1.349852941176471</v>
      </c>
      <c r="F284">
        <v>0.0131277916984421</v>
      </c>
      <c r="G284">
        <v>-0.05823464784400223</v>
      </c>
      <c r="H284">
        <v>0.05</v>
      </c>
      <c r="I284">
        <v>0.006156095906479475</v>
      </c>
      <c r="J284" t="s">
        <v>777</v>
      </c>
      <c r="K284" t="s">
        <v>523</v>
      </c>
      <c r="L284">
        <v>4.25</v>
      </c>
      <c r="M284">
        <v>2.41</v>
      </c>
      <c r="N284">
        <v>0.5670588235294118</v>
      </c>
      <c r="O284">
        <v>13</v>
      </c>
      <c r="P284">
        <v>0.0901126350638779</v>
      </c>
      <c r="Q284">
        <v>0.238428838632885</v>
      </c>
      <c r="R284" t="s">
        <v>780</v>
      </c>
      <c r="S284" t="s">
        <v>792</v>
      </c>
      <c r="T284">
        <v>33054.393156</v>
      </c>
      <c r="U284" s="2">
        <v>44504</v>
      </c>
      <c r="V284" t="s">
        <v>796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4.11</v>
      </c>
      <c r="D285">
        <v>3.26</v>
      </c>
      <c r="E285">
        <v>1.260736196319019</v>
      </c>
      <c r="F285">
        <v>0.0267639902676399</v>
      </c>
      <c r="G285">
        <v>-0.04528190124426079</v>
      </c>
      <c r="H285">
        <v>0.02</v>
      </c>
      <c r="I285">
        <v>0.006077140834118921</v>
      </c>
      <c r="J285" t="s">
        <v>777</v>
      </c>
      <c r="K285" t="s">
        <v>345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-0.254539547308761</v>
      </c>
      <c r="R285" t="s">
        <v>780</v>
      </c>
      <c r="S285" t="s">
        <v>790</v>
      </c>
      <c r="T285">
        <v>3977.839719</v>
      </c>
      <c r="U285" s="2">
        <v>44528</v>
      </c>
      <c r="V285" t="s">
        <v>799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302.22</v>
      </c>
      <c r="D286">
        <v>200</v>
      </c>
      <c r="E286">
        <v>1.5111</v>
      </c>
      <c r="F286">
        <v>0.01985308715505261</v>
      </c>
      <c r="G286">
        <v>-0.07925078156040011</v>
      </c>
      <c r="H286">
        <v>0.06</v>
      </c>
      <c r="I286">
        <v>0.001555447059778059</v>
      </c>
      <c r="J286" t="s">
        <v>777</v>
      </c>
      <c r="K286" t="s">
        <v>777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0.140001971821228</v>
      </c>
      <c r="R286" t="s">
        <v>780</v>
      </c>
      <c r="S286" t="s">
        <v>790</v>
      </c>
      <c r="T286">
        <v>66390.029737</v>
      </c>
      <c r="U286" s="2">
        <v>44506</v>
      </c>
      <c r="V286" t="s">
        <v>798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122.25</v>
      </c>
      <c r="D287">
        <v>79</v>
      </c>
      <c r="E287">
        <v>1.54746835443038</v>
      </c>
      <c r="F287">
        <v>0.01627811860940695</v>
      </c>
      <c r="G287">
        <v>-0.08361991020012949</v>
      </c>
      <c r="H287">
        <v>0.07000000000000001</v>
      </c>
      <c r="I287">
        <v>0.001295078696713192</v>
      </c>
      <c r="J287" t="s">
        <v>777</v>
      </c>
      <c r="K287" t="s">
        <v>345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0.122963952921718</v>
      </c>
      <c r="R287" t="s">
        <v>780</v>
      </c>
      <c r="S287" t="s">
        <v>786</v>
      </c>
      <c r="T287">
        <v>85782.363899</v>
      </c>
      <c r="U287" s="2">
        <v>44490</v>
      </c>
      <c r="V287" t="s">
        <v>797</v>
      </c>
    </row>
    <row r="288" spans="1:22">
      <c r="A288" s="1" t="s">
        <v>308</v>
      </c>
      <c r="B288">
        <f>HYPERLINK("https://www.suredividend.com/sure-analysis-ERIE/","Erie Indemnity Co.")</f>
        <v>0</v>
      </c>
      <c r="C288">
        <v>192.66</v>
      </c>
      <c r="D288">
        <v>128</v>
      </c>
      <c r="E288">
        <v>1.50515625</v>
      </c>
      <c r="F288">
        <v>0.02304578013080038</v>
      </c>
      <c r="G288">
        <v>-0.07852473347421585</v>
      </c>
      <c r="H288">
        <v>0.055</v>
      </c>
      <c r="I288">
        <v>-0.0007353360177225765</v>
      </c>
      <c r="J288" t="s">
        <v>777</v>
      </c>
      <c r="K288" t="s">
        <v>345</v>
      </c>
      <c r="L288">
        <v>5.8</v>
      </c>
      <c r="M288">
        <v>4.44</v>
      </c>
      <c r="N288">
        <v>0.7655172413793104</v>
      </c>
      <c r="O288">
        <v>32</v>
      </c>
      <c r="P288">
        <v>0.03526180275714519</v>
      </c>
      <c r="Q288">
        <v>-0.202543339899126</v>
      </c>
      <c r="R288" t="s">
        <v>780</v>
      </c>
      <c r="S288" t="s">
        <v>789</v>
      </c>
      <c r="T288">
        <v>8783.313171</v>
      </c>
      <c r="U288" s="2">
        <v>44504</v>
      </c>
      <c r="V288" t="s">
        <v>798</v>
      </c>
    </row>
    <row r="289" spans="1:22">
      <c r="A289" s="1" t="s">
        <v>309</v>
      </c>
      <c r="B289">
        <f>HYPERLINK("https://www.suredividend.com/sure-analysis-NVO/","Novo Nordisk")</f>
        <v>0</v>
      </c>
      <c r="C289">
        <v>111.63</v>
      </c>
      <c r="D289">
        <v>75</v>
      </c>
      <c r="E289">
        <v>1.4884</v>
      </c>
      <c r="F289">
        <v>0.01415390128101765</v>
      </c>
      <c r="G289">
        <v>-0.07645923964785939</v>
      </c>
      <c r="H289">
        <v>0.06</v>
      </c>
      <c r="I289">
        <v>-0.002756295043924828</v>
      </c>
      <c r="J289" t="s">
        <v>777</v>
      </c>
      <c r="K289" t="s">
        <v>523</v>
      </c>
      <c r="L289">
        <v>3.4</v>
      </c>
      <c r="M289">
        <v>1.58</v>
      </c>
      <c r="N289">
        <v>0.4647058823529412</v>
      </c>
      <c r="O289">
        <v>0</v>
      </c>
      <c r="P289">
        <v>0.0703829372933884</v>
      </c>
      <c r="Q289">
        <v>0.5926453070355171</v>
      </c>
      <c r="R289" t="s">
        <v>780</v>
      </c>
      <c r="S289" t="s">
        <v>785</v>
      </c>
      <c r="T289">
        <v>192199.11452</v>
      </c>
      <c r="U289" s="2">
        <v>44516</v>
      </c>
      <c r="V289" t="s">
        <v>801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348.31</v>
      </c>
      <c r="D290">
        <v>216</v>
      </c>
      <c r="E290">
        <v>1.612546296296296</v>
      </c>
      <c r="F290">
        <v>0.01286210559559014</v>
      </c>
      <c r="G290">
        <v>-0.09113880390639295</v>
      </c>
      <c r="H290">
        <v>0.065</v>
      </c>
      <c r="I290">
        <v>-0.01467250885306215</v>
      </c>
      <c r="J290" t="s">
        <v>777</v>
      </c>
      <c r="K290" t="s">
        <v>523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0.3889268894073291</v>
      </c>
      <c r="R290" t="s">
        <v>780</v>
      </c>
      <c r="S290" t="s">
        <v>786</v>
      </c>
      <c r="T290">
        <v>39448.436245</v>
      </c>
      <c r="U290" s="2">
        <v>44503</v>
      </c>
      <c r="V290" t="s">
        <v>798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106.27</v>
      </c>
      <c r="D291">
        <v>97</v>
      </c>
      <c r="E291">
        <v>1.095567010309278</v>
      </c>
      <c r="F291">
        <v>0.01392679025124683</v>
      </c>
      <c r="G291">
        <v>-0.01808880683524872</v>
      </c>
      <c r="H291">
        <v>-0.015</v>
      </c>
      <c r="I291">
        <v>-0.01598103822907593</v>
      </c>
      <c r="J291" t="s">
        <v>777</v>
      </c>
      <c r="K291" t="s">
        <v>523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0.5432691955017931</v>
      </c>
      <c r="R291" t="s">
        <v>780</v>
      </c>
      <c r="S291" t="s">
        <v>789</v>
      </c>
      <c r="T291">
        <v>5086.861856</v>
      </c>
      <c r="U291" s="2">
        <v>44512</v>
      </c>
      <c r="V291" t="s">
        <v>802</v>
      </c>
    </row>
    <row r="292" spans="1:22">
      <c r="A292" s="1" t="s">
        <v>312</v>
      </c>
      <c r="B292">
        <f>HYPERLINK("https://www.suredividend.com/sure-analysis-WTRG/","Essential Utilities Inc")</f>
        <v>0</v>
      </c>
      <c r="C292">
        <v>52.55</v>
      </c>
      <c r="D292">
        <v>30</v>
      </c>
      <c r="E292">
        <v>1.751666666666666</v>
      </c>
      <c r="F292">
        <v>0.02036156041864891</v>
      </c>
      <c r="G292">
        <v>-0.1060572493221195</v>
      </c>
      <c r="H292">
        <v>0.07000000000000001</v>
      </c>
      <c r="I292">
        <v>-0.01605498168823405</v>
      </c>
      <c r="J292" t="s">
        <v>777</v>
      </c>
      <c r="K292" t="s">
        <v>345</v>
      </c>
      <c r="L292">
        <v>1.68</v>
      </c>
      <c r="M292">
        <v>1.07</v>
      </c>
      <c r="N292">
        <v>0.636904761904762</v>
      </c>
      <c r="O292">
        <v>30</v>
      </c>
      <c r="P292">
        <v>0.05971834352437777</v>
      </c>
      <c r="Q292">
        <v>0.173884113225191</v>
      </c>
      <c r="R292" t="s">
        <v>780</v>
      </c>
      <c r="S292" t="s">
        <v>792</v>
      </c>
      <c r="T292">
        <v>13198.233298</v>
      </c>
      <c r="U292" s="2">
        <v>44502</v>
      </c>
      <c r="V292" t="s">
        <v>803</v>
      </c>
    </row>
    <row r="293" spans="1:22">
      <c r="A293" s="1" t="s">
        <v>313</v>
      </c>
      <c r="B293">
        <f>HYPERLINK("https://www.suredividend.com/sure-analysis-CFR/","Cullen Frost Bankers Inc.")</f>
        <v>0</v>
      </c>
      <c r="C293">
        <v>126.71</v>
      </c>
      <c r="D293">
        <v>86</v>
      </c>
      <c r="E293">
        <v>1.473372093023256</v>
      </c>
      <c r="F293">
        <v>0.02367611080419857</v>
      </c>
      <c r="G293">
        <v>-0.074582917330549</v>
      </c>
      <c r="H293">
        <v>0.03</v>
      </c>
      <c r="I293">
        <v>-0.01649853790029077</v>
      </c>
      <c r="J293" t="s">
        <v>777</v>
      </c>
      <c r="K293" t="s">
        <v>777</v>
      </c>
      <c r="L293">
        <v>6.6</v>
      </c>
      <c r="M293">
        <v>3</v>
      </c>
      <c r="N293">
        <v>0.4545454545454546</v>
      </c>
      <c r="O293">
        <v>28</v>
      </c>
      <c r="P293">
        <v>0.04000235313991807</v>
      </c>
      <c r="Q293">
        <v>0.470562383464259</v>
      </c>
      <c r="R293" t="s">
        <v>780</v>
      </c>
      <c r="S293" t="s">
        <v>789</v>
      </c>
      <c r="T293">
        <v>7994.959204</v>
      </c>
      <c r="U293" s="2">
        <v>44504</v>
      </c>
      <c r="V293" t="s">
        <v>800</v>
      </c>
    </row>
    <row r="294" spans="1:22">
      <c r="A294" s="1" t="s">
        <v>314</v>
      </c>
      <c r="B294">
        <f>HYPERLINK("https://www.suredividend.com/sure-analysis-OTIS/","Otis Worldwide Corp")</f>
        <v>0</v>
      </c>
      <c r="C294">
        <v>86.52</v>
      </c>
      <c r="D294">
        <v>52</v>
      </c>
      <c r="E294">
        <v>1.663846153846154</v>
      </c>
      <c r="F294">
        <v>0.01109570041608877</v>
      </c>
      <c r="G294">
        <v>-0.09681364756862398</v>
      </c>
      <c r="H294">
        <v>0.07000000000000001</v>
      </c>
      <c r="I294">
        <v>-0.01839534262406195</v>
      </c>
      <c r="J294" t="s">
        <v>777</v>
      </c>
      <c r="K294" t="s">
        <v>523</v>
      </c>
      <c r="L294">
        <v>2.95</v>
      </c>
      <c r="M294">
        <v>0.96</v>
      </c>
      <c r="N294">
        <v>0.3254237288135593</v>
      </c>
      <c r="O294">
        <v>1</v>
      </c>
      <c r="P294">
        <v>0.07056368416916192</v>
      </c>
      <c r="Q294">
        <v>0.310953574559043</v>
      </c>
      <c r="R294" t="s">
        <v>780</v>
      </c>
      <c r="S294" t="s">
        <v>786</v>
      </c>
      <c r="T294">
        <v>36211.554266</v>
      </c>
      <c r="U294" s="2">
        <v>44495</v>
      </c>
      <c r="V294" t="s">
        <v>800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134.61</v>
      </c>
      <c r="D295">
        <v>78.2</v>
      </c>
      <c r="E295">
        <v>1.721355498721228</v>
      </c>
      <c r="F295">
        <v>0.03179555753658718</v>
      </c>
      <c r="G295">
        <v>-0.1029309241224033</v>
      </c>
      <c r="H295">
        <v>0.05</v>
      </c>
      <c r="I295">
        <v>-0.01970374069500025</v>
      </c>
      <c r="J295" t="s">
        <v>777</v>
      </c>
      <c r="K295" t="s">
        <v>777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0.591807924889945</v>
      </c>
      <c r="R295" t="s">
        <v>782</v>
      </c>
      <c r="S295" t="s">
        <v>794</v>
      </c>
      <c r="T295">
        <v>10297.772819</v>
      </c>
      <c r="U295" s="2">
        <v>44509</v>
      </c>
      <c r="V295" t="s">
        <v>805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346.51</v>
      </c>
      <c r="D296">
        <v>224</v>
      </c>
      <c r="E296">
        <v>1.546919642857143</v>
      </c>
      <c r="F296">
        <v>0.02412628784162073</v>
      </c>
      <c r="G296">
        <v>-0.08355490914665165</v>
      </c>
      <c r="H296">
        <v>0.038</v>
      </c>
      <c r="I296">
        <v>-0.01974772917883783</v>
      </c>
      <c r="J296" t="s">
        <v>777</v>
      </c>
      <c r="K296" t="s">
        <v>345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0.506935942359381</v>
      </c>
      <c r="R296" t="s">
        <v>782</v>
      </c>
      <c r="S296" t="s">
        <v>794</v>
      </c>
      <c r="T296">
        <v>22303.647049</v>
      </c>
      <c r="U296" s="2">
        <v>44503</v>
      </c>
      <c r="V296" t="s">
        <v>805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200.06</v>
      </c>
      <c r="D297">
        <v>121</v>
      </c>
      <c r="E297">
        <v>1.653388429752066</v>
      </c>
      <c r="F297">
        <v>0.01179646106168149</v>
      </c>
      <c r="G297">
        <v>-0.09567399191853787</v>
      </c>
      <c r="H297">
        <v>0.06</v>
      </c>
      <c r="I297">
        <v>-0.02526562483696571</v>
      </c>
      <c r="J297" t="s">
        <v>777</v>
      </c>
      <c r="K297" t="s">
        <v>523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0.39151703568081</v>
      </c>
      <c r="R297" t="s">
        <v>780</v>
      </c>
      <c r="S297" t="s">
        <v>786</v>
      </c>
      <c r="T297">
        <v>46866.677119</v>
      </c>
      <c r="U297" s="2">
        <v>44511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163.79</v>
      </c>
      <c r="D298">
        <v>98</v>
      </c>
      <c r="E298">
        <v>1.671326530612245</v>
      </c>
      <c r="F298">
        <v>0.01587398498076806</v>
      </c>
      <c r="G298">
        <v>-0.09762357933751942</v>
      </c>
      <c r="H298">
        <v>0.05</v>
      </c>
      <c r="I298">
        <v>-0.03217962141804753</v>
      </c>
      <c r="J298" t="s">
        <v>777</v>
      </c>
      <c r="K298" t="s">
        <v>523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0.406572866189702</v>
      </c>
      <c r="R298" t="s">
        <v>780</v>
      </c>
      <c r="S298" t="s">
        <v>786</v>
      </c>
      <c r="T298">
        <v>67742.150853</v>
      </c>
      <c r="U298" s="2">
        <v>44496</v>
      </c>
      <c r="V298" t="s">
        <v>800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74.91</v>
      </c>
      <c r="D299">
        <v>55</v>
      </c>
      <c r="E299">
        <v>1.362</v>
      </c>
      <c r="F299">
        <v>0.02296088639700974</v>
      </c>
      <c r="G299">
        <v>-0.05992050819678163</v>
      </c>
      <c r="H299">
        <v>-0.02</v>
      </c>
      <c r="I299">
        <v>-0.04797673869229613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0.211304638952173</v>
      </c>
      <c r="R299" t="s">
        <v>780</v>
      </c>
      <c r="S299" t="s">
        <v>789</v>
      </c>
      <c r="T299">
        <v>4000.066275</v>
      </c>
      <c r="U299" s="2">
        <v>44501</v>
      </c>
      <c r="V299" t="s">
        <v>802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118.29</v>
      </c>
      <c r="D300">
        <v>54</v>
      </c>
      <c r="E300">
        <v>2.190555555555556</v>
      </c>
      <c r="F300">
        <v>0.009468255981063489</v>
      </c>
      <c r="G300">
        <v>-0.1451515164731955</v>
      </c>
      <c r="H300">
        <v>0.09</v>
      </c>
      <c r="I300">
        <v>-0.05216904390671995</v>
      </c>
      <c r="J300" t="s">
        <v>777</v>
      </c>
      <c r="K300" t="s">
        <v>523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0.183254382572827</v>
      </c>
      <c r="R300" t="s">
        <v>780</v>
      </c>
      <c r="S300" t="s">
        <v>786</v>
      </c>
      <c r="T300">
        <v>21188.21946</v>
      </c>
      <c r="U300" s="2">
        <v>44507</v>
      </c>
      <c r="V300" t="s">
        <v>798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246.51</v>
      </c>
      <c r="D301">
        <v>92</v>
      </c>
      <c r="E301">
        <v>2.67945652173913</v>
      </c>
      <c r="F301">
        <v>0.005273619731451057</v>
      </c>
      <c r="G301">
        <v>-0.178910200006267</v>
      </c>
      <c r="H301">
        <v>0.12</v>
      </c>
      <c r="I301">
        <v>-0.07092597193563799</v>
      </c>
      <c r="J301" t="s">
        <v>777</v>
      </c>
      <c r="K301" t="s">
        <v>523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0.514863792812658</v>
      </c>
      <c r="R301" t="s">
        <v>780</v>
      </c>
      <c r="S301" t="s">
        <v>785</v>
      </c>
      <c r="T301">
        <v>114737.743093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278.41</v>
      </c>
      <c r="D302">
        <v>140</v>
      </c>
      <c r="E302">
        <v>1.988642857142857</v>
      </c>
      <c r="F302">
        <v>0.01407995402463992</v>
      </c>
      <c r="G302">
        <v>-0.1284573572697923</v>
      </c>
      <c r="H302">
        <v>0.04</v>
      </c>
      <c r="I302">
        <v>-0.07183444631080593</v>
      </c>
      <c r="J302" t="s">
        <v>777</v>
      </c>
      <c r="K302" t="s">
        <v>523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0.663501283411645</v>
      </c>
      <c r="R302" t="s">
        <v>780</v>
      </c>
      <c r="S302" t="s">
        <v>785</v>
      </c>
      <c r="T302">
        <v>261245.382528</v>
      </c>
      <c r="U302" s="2">
        <v>44496</v>
      </c>
      <c r="V302" t="s">
        <v>797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4.34</v>
      </c>
      <c r="D303">
        <v>12</v>
      </c>
      <c r="E303">
        <v>0.3616666666666666</v>
      </c>
      <c r="F303">
        <v>0.009216589861751152</v>
      </c>
      <c r="G303">
        <v>0.2255705128243366</v>
      </c>
      <c r="H303">
        <v>0</v>
      </c>
      <c r="I303">
        <v>0.2724940680343113</v>
      </c>
      <c r="J303" t="s">
        <v>345</v>
      </c>
      <c r="K303" t="s">
        <v>523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-0.68339882850152</v>
      </c>
      <c r="R303" t="s">
        <v>781</v>
      </c>
      <c r="S303" t="s">
        <v>793</v>
      </c>
      <c r="T303">
        <v>142.451649</v>
      </c>
      <c r="U303" s="2">
        <v>44527</v>
      </c>
      <c r="V303" t="s">
        <v>796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85.29000000000001</v>
      </c>
      <c r="D304">
        <v>130</v>
      </c>
      <c r="E304">
        <v>0.6560769230769231</v>
      </c>
      <c r="F304">
        <v>0.02063547895415641</v>
      </c>
      <c r="G304">
        <v>0.08795027822096557</v>
      </c>
      <c r="H304">
        <v>0.09</v>
      </c>
      <c r="I304">
        <v>0.1990917126703113</v>
      </c>
      <c r="J304" t="s">
        <v>345</v>
      </c>
      <c r="K304" t="s">
        <v>523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-0.09307182110237801</v>
      </c>
      <c r="R304" t="s">
        <v>780</v>
      </c>
      <c r="S304" t="s">
        <v>788</v>
      </c>
      <c r="T304">
        <v>1783.193814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5.41</v>
      </c>
      <c r="D305">
        <v>9.17</v>
      </c>
      <c r="E305">
        <v>0.5899672846237732</v>
      </c>
      <c r="F305">
        <v>0.033271719038817</v>
      </c>
      <c r="G305">
        <v>0.1113079319015327</v>
      </c>
      <c r="H305">
        <v>0.04</v>
      </c>
      <c r="I305">
        <v>0.1760983188200871</v>
      </c>
      <c r="J305" t="s">
        <v>345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-0.045794693687564</v>
      </c>
      <c r="R305" t="s">
        <v>780</v>
      </c>
      <c r="S305" t="s">
        <v>787</v>
      </c>
      <c r="T305">
        <v>1789.041406</v>
      </c>
      <c r="U305" s="2">
        <v>44384</v>
      </c>
      <c r="V305" t="s">
        <v>797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13.67</v>
      </c>
      <c r="D306">
        <v>26.6</v>
      </c>
      <c r="E306">
        <v>0.5139097744360902</v>
      </c>
      <c r="F306">
        <v>0.0160936356986101</v>
      </c>
      <c r="G306">
        <v>0.1424116530045907</v>
      </c>
      <c r="H306">
        <v>0.02</v>
      </c>
      <c r="I306">
        <v>0.1743175475299428</v>
      </c>
      <c r="J306" t="s">
        <v>345</v>
      </c>
      <c r="K306" t="s">
        <v>523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-0.215096860387441</v>
      </c>
      <c r="R306" t="s">
        <v>780</v>
      </c>
      <c r="S306" t="s">
        <v>785</v>
      </c>
      <c r="T306">
        <v>16484.03226</v>
      </c>
      <c r="U306" s="2">
        <v>44515</v>
      </c>
      <c r="V306" t="s">
        <v>806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107.48</v>
      </c>
      <c r="D307">
        <v>162</v>
      </c>
      <c r="E307">
        <v>0.6634567901234568</v>
      </c>
      <c r="F307">
        <v>0.01628209899516189</v>
      </c>
      <c r="G307">
        <v>0.08551910492558101</v>
      </c>
      <c r="H307">
        <v>0.05</v>
      </c>
      <c r="I307">
        <v>0.1521050283195282</v>
      </c>
      <c r="J307" t="s">
        <v>345</v>
      </c>
      <c r="K307" t="s">
        <v>523</v>
      </c>
      <c r="L307">
        <v>14.7</v>
      </c>
      <c r="M307">
        <v>1.75</v>
      </c>
      <c r="N307">
        <v>0.1190476190476191</v>
      </c>
      <c r="O307">
        <v>7</v>
      </c>
      <c r="P307">
        <v>0.08979006975364512</v>
      </c>
      <c r="Q307">
        <v>0.8989955092063091</v>
      </c>
      <c r="R307" t="s">
        <v>780</v>
      </c>
      <c r="S307" t="s">
        <v>788</v>
      </c>
      <c r="T307">
        <v>6538.896166</v>
      </c>
      <c r="U307" s="2">
        <v>44532</v>
      </c>
      <c r="V307" t="s">
        <v>795</v>
      </c>
    </row>
    <row r="308" spans="1:22">
      <c r="A308" s="1" t="s">
        <v>328</v>
      </c>
      <c r="B308">
        <f>HYPERLINK("https://www.suredividend.com/sure-analysis-MMP/","Magellan Midstream Partners L.P.")</f>
        <v>0</v>
      </c>
      <c r="C308">
        <v>45.2</v>
      </c>
      <c r="D308">
        <v>60</v>
      </c>
      <c r="E308">
        <v>0.7533333333333334</v>
      </c>
      <c r="F308">
        <v>0.0918141592920354</v>
      </c>
      <c r="G308">
        <v>0.05828481134425934</v>
      </c>
      <c r="H308">
        <v>0.03</v>
      </c>
      <c r="I308">
        <v>0.1514595202913809</v>
      </c>
      <c r="J308" t="s">
        <v>345</v>
      </c>
      <c r="K308" t="s">
        <v>776</v>
      </c>
      <c r="L308">
        <v>5</v>
      </c>
      <c r="M308">
        <v>4.15</v>
      </c>
      <c r="N308">
        <v>0.8300000000000001</v>
      </c>
      <c r="O308">
        <v>21</v>
      </c>
      <c r="P308">
        <v>0.01857417298664354</v>
      </c>
      <c r="Q308">
        <v>0.134793435923631</v>
      </c>
      <c r="R308" t="s">
        <v>781</v>
      </c>
      <c r="S308" t="s">
        <v>793</v>
      </c>
      <c r="T308">
        <v>9483.371923999999</v>
      </c>
      <c r="U308" s="2">
        <v>44504</v>
      </c>
      <c r="V308" t="s">
        <v>803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42.19</v>
      </c>
      <c r="D309">
        <v>84</v>
      </c>
      <c r="E309">
        <v>0.5022619047619047</v>
      </c>
      <c r="F309">
        <v>0.02844275894761792</v>
      </c>
      <c r="G309">
        <v>0.1476618681138144</v>
      </c>
      <c r="H309">
        <v>-0.02</v>
      </c>
      <c r="I309">
        <v>0.1509889480969304</v>
      </c>
      <c r="J309" t="s">
        <v>345</v>
      </c>
      <c r="K309" t="s">
        <v>345</v>
      </c>
      <c r="L309">
        <v>7.6</v>
      </c>
      <c r="M309">
        <v>1.2</v>
      </c>
      <c r="N309">
        <v>0.1578947368421053</v>
      </c>
      <c r="O309">
        <v>1</v>
      </c>
      <c r="P309">
        <v>0.1496540121887568</v>
      </c>
      <c r="Q309">
        <v>0.07901076951588601</v>
      </c>
      <c r="R309" t="s">
        <v>780</v>
      </c>
      <c r="S309" t="s">
        <v>788</v>
      </c>
      <c r="T309">
        <v>4207.445927</v>
      </c>
      <c r="U309" s="2">
        <v>44535</v>
      </c>
      <c r="V309" t="s">
        <v>802</v>
      </c>
    </row>
    <row r="310" spans="1:22">
      <c r="A310" s="1" t="s">
        <v>330</v>
      </c>
      <c r="B310">
        <f>HYPERLINK("https://www.suredividend.com/sure-analysis-MDC/","M.D.C. Holdings, Inc.")</f>
        <v>0</v>
      </c>
      <c r="C310">
        <v>54.3</v>
      </c>
      <c r="D310">
        <v>65</v>
      </c>
      <c r="E310">
        <v>0.8353846153846154</v>
      </c>
      <c r="F310">
        <v>0.03683241252302026</v>
      </c>
      <c r="G310">
        <v>0.03662745141568746</v>
      </c>
      <c r="H310">
        <v>0.08</v>
      </c>
      <c r="I310">
        <v>0.1478123809976701</v>
      </c>
      <c r="J310" t="s">
        <v>345</v>
      </c>
      <c r="K310" t="s">
        <v>777</v>
      </c>
      <c r="L310">
        <v>8.09</v>
      </c>
      <c r="M310">
        <v>2</v>
      </c>
      <c r="N310">
        <v>0.2472187886279357</v>
      </c>
      <c r="O310">
        <v>6</v>
      </c>
      <c r="P310">
        <v>0.08009875865888949</v>
      </c>
      <c r="Q310">
        <v>0.179107088197997</v>
      </c>
      <c r="R310" t="s">
        <v>780</v>
      </c>
      <c r="S310" t="s">
        <v>789</v>
      </c>
      <c r="T310">
        <v>3811.739395</v>
      </c>
      <c r="U310" s="2">
        <v>44502</v>
      </c>
      <c r="V310" t="s">
        <v>796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60.09</v>
      </c>
      <c r="D311">
        <v>81</v>
      </c>
      <c r="E311">
        <v>0.7418518518518519</v>
      </c>
      <c r="F311">
        <v>0.04326843068730238</v>
      </c>
      <c r="G311">
        <v>0.06154048755416675</v>
      </c>
      <c r="H311">
        <v>0.05</v>
      </c>
      <c r="I311">
        <v>0.1471776840063388</v>
      </c>
      <c r="J311" t="s">
        <v>345</v>
      </c>
      <c r="K311" t="s">
        <v>777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0.28827324229623</v>
      </c>
      <c r="R311" t="s">
        <v>780</v>
      </c>
      <c r="S311" t="s">
        <v>786</v>
      </c>
      <c r="T311">
        <v>3940.183973</v>
      </c>
      <c r="U311" s="2">
        <v>44497</v>
      </c>
      <c r="V311" t="s">
        <v>796</v>
      </c>
    </row>
    <row r="312" spans="1:22">
      <c r="A312" s="1" t="s">
        <v>332</v>
      </c>
      <c r="B312">
        <f>HYPERLINK("https://www.suredividend.com/sure-analysis-T/","AT&amp;T, Inc.")</f>
        <v>0</v>
      </c>
      <c r="C312">
        <v>24.78</v>
      </c>
      <c r="D312">
        <v>32.5</v>
      </c>
      <c r="E312">
        <v>0.7624615384615385</v>
      </c>
      <c r="F312">
        <v>0.08393866020984665</v>
      </c>
      <c r="G312">
        <v>0.05573862730585022</v>
      </c>
      <c r="H312">
        <v>0.03</v>
      </c>
      <c r="I312">
        <v>0.1445383211238447</v>
      </c>
      <c r="J312" t="s">
        <v>345</v>
      </c>
      <c r="K312" t="s">
        <v>776</v>
      </c>
      <c r="L312">
        <v>3.25</v>
      </c>
      <c r="M312">
        <v>2.08</v>
      </c>
      <c r="N312">
        <v>0.64</v>
      </c>
      <c r="O312">
        <v>0</v>
      </c>
      <c r="P312">
        <v>0.01853111887485781</v>
      </c>
      <c r="Q312">
        <v>-0.08530866694863801</v>
      </c>
      <c r="R312" t="s">
        <v>780</v>
      </c>
      <c r="S312" t="s">
        <v>784</v>
      </c>
      <c r="T312">
        <v>177571.8</v>
      </c>
      <c r="U312" s="2">
        <v>44490</v>
      </c>
      <c r="V312" t="s">
        <v>800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91.67</v>
      </c>
      <c r="D313">
        <v>190</v>
      </c>
      <c r="E313">
        <v>0.4824736842105263</v>
      </c>
      <c r="F313">
        <v>0.0493072979164394</v>
      </c>
      <c r="G313">
        <v>0.1569251813416939</v>
      </c>
      <c r="H313">
        <v>-0.05</v>
      </c>
      <c r="I313">
        <v>0.1367880108482895</v>
      </c>
      <c r="J313" t="s">
        <v>345</v>
      </c>
      <c r="K313" t="s">
        <v>777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0.030599295482093</v>
      </c>
      <c r="R313" t="s">
        <v>780</v>
      </c>
      <c r="S313" t="s">
        <v>790</v>
      </c>
      <c r="T313">
        <v>30133.586129</v>
      </c>
      <c r="U313" s="2">
        <v>44502</v>
      </c>
      <c r="V313" t="s">
        <v>796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47.63</v>
      </c>
      <c r="D314">
        <v>68</v>
      </c>
      <c r="E314">
        <v>0.7004411764705882</v>
      </c>
      <c r="F314">
        <v>0.02099517111064455</v>
      </c>
      <c r="G314">
        <v>0.07380560424805549</v>
      </c>
      <c r="H314">
        <v>0.04</v>
      </c>
      <c r="I314">
        <v>0.1343229010364118</v>
      </c>
      <c r="J314" t="s">
        <v>345</v>
      </c>
      <c r="K314" t="s">
        <v>523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0.403581226584854</v>
      </c>
      <c r="R314" t="s">
        <v>780</v>
      </c>
      <c r="S314" t="s">
        <v>789</v>
      </c>
      <c r="T314">
        <v>16483.80552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HYPERLINK("https://www.suredividend.com/sure-analysis-TFC/","Truist Financial Corporation")</f>
        <v>0</v>
      </c>
      <c r="C315">
        <v>58.46</v>
      </c>
      <c r="D315">
        <v>70</v>
      </c>
      <c r="E315">
        <v>0.8351428571428572</v>
      </c>
      <c r="F315">
        <v>0.03284296955183031</v>
      </c>
      <c r="G315">
        <v>0.03668746132028544</v>
      </c>
      <c r="H315">
        <v>0.06</v>
      </c>
      <c r="I315">
        <v>0.1238600518605879</v>
      </c>
      <c r="J315" t="s">
        <v>345</v>
      </c>
      <c r="K315" t="s">
        <v>345</v>
      </c>
      <c r="L315">
        <v>5.38</v>
      </c>
      <c r="M315">
        <v>1.92</v>
      </c>
      <c r="N315">
        <v>0.3568773234200743</v>
      </c>
      <c r="O315">
        <v>10</v>
      </c>
      <c r="P315">
        <v>0.04996052445273014</v>
      </c>
      <c r="Q315">
        <v>0.268908984279762</v>
      </c>
      <c r="R315" t="s">
        <v>780</v>
      </c>
      <c r="S315" t="s">
        <v>789</v>
      </c>
      <c r="T315">
        <v>77116.68345700001</v>
      </c>
      <c r="U315" s="2">
        <v>44493</v>
      </c>
      <c r="V315" t="s">
        <v>795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100.06</v>
      </c>
      <c r="D316">
        <v>152</v>
      </c>
      <c r="E316">
        <v>0.6582894736842105</v>
      </c>
      <c r="F316">
        <v>0.01718968618828703</v>
      </c>
      <c r="G316">
        <v>0.0872179597165188</v>
      </c>
      <c r="H316">
        <v>0.02</v>
      </c>
      <c r="I316">
        <v>0.1212908512617312</v>
      </c>
      <c r="J316" t="s">
        <v>345</v>
      </c>
      <c r="K316" t="s">
        <v>523</v>
      </c>
      <c r="L316">
        <v>14.5</v>
      </c>
      <c r="M316">
        <v>1.72</v>
      </c>
      <c r="N316">
        <v>0.1186206896551724</v>
      </c>
      <c r="O316">
        <v>11</v>
      </c>
      <c r="P316">
        <v>0.03471404488278096</v>
      </c>
      <c r="Q316">
        <v>0.000119970770757</v>
      </c>
      <c r="R316" t="s">
        <v>780</v>
      </c>
      <c r="S316" t="s">
        <v>788</v>
      </c>
      <c r="T316">
        <v>5610.243038</v>
      </c>
      <c r="U316" s="2">
        <v>44547</v>
      </c>
      <c r="V316" t="s">
        <v>795</v>
      </c>
    </row>
    <row r="317" spans="1:22">
      <c r="A317" s="1" t="s">
        <v>337</v>
      </c>
      <c r="B317">
        <f>HYPERLINK("https://www.suredividend.com/sure-analysis-TYCB/","Calvin b. Taylor Bankshares, Inc.")</f>
        <v>0</v>
      </c>
      <c r="C317">
        <v>36.6</v>
      </c>
      <c r="D317">
        <v>43</v>
      </c>
      <c r="E317">
        <v>0.8511627906976744</v>
      </c>
      <c r="F317">
        <v>0.03169398907103825</v>
      </c>
      <c r="G317">
        <v>0.03275539898584601</v>
      </c>
      <c r="H317">
        <v>0.06</v>
      </c>
      <c r="I317">
        <v>0.1206527182429904</v>
      </c>
      <c r="J317" t="s">
        <v>345</v>
      </c>
      <c r="K317" t="s">
        <v>777</v>
      </c>
      <c r="L317">
        <v>3.45</v>
      </c>
      <c r="M317">
        <v>1.16</v>
      </c>
      <c r="N317">
        <v>0.336231884057971</v>
      </c>
      <c r="O317">
        <v>30</v>
      </c>
      <c r="P317">
        <v>0.07039956279333892</v>
      </c>
      <c r="Q317">
        <v>0.041749684059521</v>
      </c>
      <c r="R317" t="s">
        <v>780</v>
      </c>
      <c r="S317" t="s">
        <v>789</v>
      </c>
      <c r="T317">
        <v>101.043816</v>
      </c>
      <c r="U317" s="2">
        <v>44529</v>
      </c>
      <c r="V317" t="s">
        <v>798</v>
      </c>
    </row>
    <row r="318" spans="1:22">
      <c r="A318" s="1" t="s">
        <v>338</v>
      </c>
      <c r="B318">
        <f>HYPERLINK("https://www.suredividend.com/sure-analysis-SVC/","Service Properties Trust")</f>
        <v>0</v>
      </c>
      <c r="C318">
        <v>8.91</v>
      </c>
      <c r="D318">
        <v>14</v>
      </c>
      <c r="E318">
        <v>0.6364285714285715</v>
      </c>
      <c r="F318">
        <v>0.004489337822671156</v>
      </c>
      <c r="G318">
        <v>0.09458644663596627</v>
      </c>
      <c r="H318">
        <v>0.02</v>
      </c>
      <c r="I318">
        <v>0.1193525619382152</v>
      </c>
      <c r="J318" t="s">
        <v>345</v>
      </c>
      <c r="K318" t="s">
        <v>778</v>
      </c>
      <c r="L318">
        <v>0.3</v>
      </c>
      <c r="M318">
        <v>0.04</v>
      </c>
      <c r="N318">
        <v>0.1333333333333333</v>
      </c>
      <c r="O318">
        <v>0</v>
      </c>
      <c r="P318">
        <v>0</v>
      </c>
      <c r="Q318">
        <v>-0.215411558669001</v>
      </c>
      <c r="R318" t="s">
        <v>782</v>
      </c>
      <c r="S318" t="s">
        <v>794</v>
      </c>
      <c r="T318">
        <v>1479.227304</v>
      </c>
      <c r="U318" s="2">
        <v>44512</v>
      </c>
      <c r="V318" t="s">
        <v>798</v>
      </c>
    </row>
    <row r="319" spans="1:22">
      <c r="A319" s="1" t="s">
        <v>339</v>
      </c>
      <c r="B319">
        <f>HYPERLINK("https://www.suredividend.com/sure-analysis-BTI/","British American Tobacco Plc")</f>
        <v>0</v>
      </c>
      <c r="C319">
        <v>36.99</v>
      </c>
      <c r="D319">
        <v>42</v>
      </c>
      <c r="E319">
        <v>0.8807142857142858</v>
      </c>
      <c r="F319">
        <v>0.07839956745066233</v>
      </c>
      <c r="G319">
        <v>0.0257298443619729</v>
      </c>
      <c r="H319">
        <v>0.03</v>
      </c>
      <c r="I319">
        <v>0.1169659033140094</v>
      </c>
      <c r="J319" t="s">
        <v>345</v>
      </c>
      <c r="K319" t="s">
        <v>776</v>
      </c>
      <c r="L319">
        <v>4.4</v>
      </c>
      <c r="M319">
        <v>2.9</v>
      </c>
      <c r="N319">
        <v>0.6590909090909091</v>
      </c>
      <c r="O319">
        <v>2</v>
      </c>
      <c r="P319">
        <v>0.02493227484012395</v>
      </c>
      <c r="Q319">
        <v>0.07624906731855101</v>
      </c>
      <c r="R319" t="s">
        <v>780</v>
      </c>
      <c r="S319" t="s">
        <v>791</v>
      </c>
      <c r="T319">
        <v>85061.846429</v>
      </c>
      <c r="U319" s="2">
        <v>44462</v>
      </c>
      <c r="V319" t="s">
        <v>798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106.21</v>
      </c>
      <c r="D320">
        <v>127</v>
      </c>
      <c r="E320">
        <v>0.8362992125984251</v>
      </c>
      <c r="F320">
        <v>0.008473778363619245</v>
      </c>
      <c r="G320">
        <v>0.03640061595261312</v>
      </c>
      <c r="H320">
        <v>0.07000000000000001</v>
      </c>
      <c r="I320">
        <v>0.1163759896405869</v>
      </c>
      <c r="J320" t="s">
        <v>345</v>
      </c>
      <c r="K320" t="s">
        <v>523</v>
      </c>
      <c r="L320">
        <v>13.35</v>
      </c>
      <c r="M320">
        <v>0.9</v>
      </c>
      <c r="N320">
        <v>0.06741573033707865</v>
      </c>
      <c r="O320">
        <v>7</v>
      </c>
      <c r="P320">
        <v>0.100082101138866</v>
      </c>
      <c r="Q320">
        <v>0.469461612906388</v>
      </c>
      <c r="R320" t="s">
        <v>780</v>
      </c>
      <c r="S320" t="s">
        <v>788</v>
      </c>
      <c r="T320">
        <v>37370.551649</v>
      </c>
      <c r="U320" s="2">
        <v>44513</v>
      </c>
      <c r="V320" t="s">
        <v>795</v>
      </c>
    </row>
    <row r="321" spans="1:22">
      <c r="A321" s="1" t="s">
        <v>341</v>
      </c>
      <c r="B321">
        <f>HYPERLINK("https://www.suredividend.com/sure-analysis-GWLIF/","Great-West Lifeco, Inc.")</f>
        <v>0</v>
      </c>
      <c r="C321">
        <v>29.42</v>
      </c>
      <c r="D321">
        <v>34</v>
      </c>
      <c r="E321">
        <v>0.8652941176470589</v>
      </c>
      <c r="F321">
        <v>0.05336505778382053</v>
      </c>
      <c r="G321">
        <v>0.02935990941012356</v>
      </c>
      <c r="H321">
        <v>0.045</v>
      </c>
      <c r="I321">
        <v>0.1161165180887371</v>
      </c>
      <c r="J321" t="s">
        <v>345</v>
      </c>
      <c r="K321" t="s">
        <v>776</v>
      </c>
      <c r="L321">
        <v>2.8</v>
      </c>
      <c r="M321">
        <v>1.57</v>
      </c>
      <c r="N321">
        <v>0.5607142857142857</v>
      </c>
      <c r="O321">
        <v>6</v>
      </c>
      <c r="P321">
        <v>0.02999317534988744</v>
      </c>
      <c r="Q321">
        <v>0.293186813186813</v>
      </c>
      <c r="R321" t="s">
        <v>780</v>
      </c>
      <c r="S321" t="s">
        <v>789</v>
      </c>
      <c r="T321">
        <v>27374.868288</v>
      </c>
      <c r="U321" s="2">
        <v>44514</v>
      </c>
      <c r="V321" t="s">
        <v>795</v>
      </c>
    </row>
    <row r="322" spans="1:22">
      <c r="A322" s="1" t="s">
        <v>342</v>
      </c>
      <c r="B322">
        <f>HYPERLINK("https://www.suredividend.com/sure-analysis-TX/","Ternium S.A.")</f>
        <v>0</v>
      </c>
      <c r="C322">
        <v>42.98</v>
      </c>
      <c r="D322">
        <v>135</v>
      </c>
      <c r="E322">
        <v>0.3183703703703704</v>
      </c>
      <c r="F322">
        <v>0.0488599348534202</v>
      </c>
      <c r="G322">
        <v>0.257226340506183</v>
      </c>
      <c r="H322">
        <v>-0.15</v>
      </c>
      <c r="I322">
        <v>0.1135708028068987</v>
      </c>
      <c r="J322" t="s">
        <v>345</v>
      </c>
      <c r="K322" t="s">
        <v>777</v>
      </c>
      <c r="L322">
        <v>18</v>
      </c>
      <c r="M322">
        <v>2.1</v>
      </c>
      <c r="N322">
        <v>0.1166666666666667</v>
      </c>
      <c r="O322">
        <v>1</v>
      </c>
      <c r="P322">
        <v>0.08992507843838271</v>
      </c>
      <c r="Q322">
        <v>0.5210360607986061</v>
      </c>
      <c r="R322" t="s">
        <v>780</v>
      </c>
      <c r="S322" t="s">
        <v>790</v>
      </c>
      <c r="T322">
        <v>8542.211798</v>
      </c>
      <c r="U322" s="2">
        <v>44513</v>
      </c>
      <c r="V322" t="s">
        <v>795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51.58</v>
      </c>
      <c r="D323">
        <v>75</v>
      </c>
      <c r="E323">
        <v>0.6877333333333333</v>
      </c>
      <c r="F323">
        <v>0.03412175261729353</v>
      </c>
      <c r="G323">
        <v>0.07774492162326552</v>
      </c>
      <c r="H323">
        <v>0.01</v>
      </c>
      <c r="I323">
        <v>0.113157998494912</v>
      </c>
      <c r="J323" t="s">
        <v>345</v>
      </c>
      <c r="K323" t="s">
        <v>777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0.366142218357301</v>
      </c>
      <c r="R323" t="s">
        <v>780</v>
      </c>
      <c r="S323" t="s">
        <v>789</v>
      </c>
      <c r="T323">
        <v>14482.665413</v>
      </c>
      <c r="U323" s="2">
        <v>44511</v>
      </c>
      <c r="V323" t="s">
        <v>800</v>
      </c>
    </row>
    <row r="324" spans="1:22">
      <c r="A324" s="1" t="s">
        <v>344</v>
      </c>
      <c r="B324">
        <f>HYPERLINK("https://www.suredividend.com/sure-analysis-SYF/","Synchrony Financial")</f>
        <v>0</v>
      </c>
      <c r="C324">
        <v>46.18</v>
      </c>
      <c r="D324">
        <v>63</v>
      </c>
      <c r="E324">
        <v>0.733015873015873</v>
      </c>
      <c r="F324">
        <v>0.01905586834127328</v>
      </c>
      <c r="G324">
        <v>0.06408745755646872</v>
      </c>
      <c r="H324">
        <v>0.03</v>
      </c>
      <c r="I324">
        <v>0.1113749086331111</v>
      </c>
      <c r="J324" t="s">
        <v>345</v>
      </c>
      <c r="K324" t="s">
        <v>523</v>
      </c>
      <c r="L324">
        <v>7</v>
      </c>
      <c r="M324">
        <v>0.88</v>
      </c>
      <c r="N324">
        <v>0.1257142857142857</v>
      </c>
      <c r="O324">
        <v>4</v>
      </c>
      <c r="P324">
        <v>0.06042477819475911</v>
      </c>
      <c r="Q324">
        <v>0.38717762244487</v>
      </c>
      <c r="R324" t="s">
        <v>780</v>
      </c>
      <c r="S324" t="s">
        <v>789</v>
      </c>
      <c r="T324">
        <v>25261.48361</v>
      </c>
      <c r="U324" s="2">
        <v>44500</v>
      </c>
      <c r="V324" t="s">
        <v>798</v>
      </c>
    </row>
    <row r="325" spans="1:22">
      <c r="A325" s="1" t="s">
        <v>345</v>
      </c>
      <c r="B325">
        <f>HYPERLINK("https://www.suredividend.com/sure-analysis-C/","Citigroup Inc")</f>
        <v>0</v>
      </c>
      <c r="C325">
        <v>60.65</v>
      </c>
      <c r="D325">
        <v>105</v>
      </c>
      <c r="E325">
        <v>0.5776190476190476</v>
      </c>
      <c r="F325">
        <v>0.03363561417971971</v>
      </c>
      <c r="G325">
        <v>0.1160192835243206</v>
      </c>
      <c r="H325">
        <v>-0.03</v>
      </c>
      <c r="I325">
        <v>0.1103430026930801</v>
      </c>
      <c r="J325" t="s">
        <v>345</v>
      </c>
      <c r="K325" t="s">
        <v>777</v>
      </c>
      <c r="L325">
        <v>10.5</v>
      </c>
      <c r="M325">
        <v>2.04</v>
      </c>
      <c r="N325">
        <v>0.1942857142857143</v>
      </c>
      <c r="O325">
        <v>6</v>
      </c>
      <c r="P325">
        <v>0.06000153927394081</v>
      </c>
      <c r="Q325">
        <v>0.024411656617076</v>
      </c>
      <c r="R325" t="s">
        <v>780</v>
      </c>
      <c r="S325" t="s">
        <v>789</v>
      </c>
      <c r="T325">
        <v>122032.735868</v>
      </c>
      <c r="U325" s="2">
        <v>44485</v>
      </c>
      <c r="V325" t="s">
        <v>802</v>
      </c>
    </row>
    <row r="326" spans="1:22">
      <c r="A326" s="1" t="s">
        <v>346</v>
      </c>
      <c r="B326">
        <f>HYPERLINK("https://www.suredividend.com/sure-analysis-SNY/","Sanofi")</f>
        <v>0</v>
      </c>
      <c r="C326">
        <v>50.5</v>
      </c>
      <c r="D326">
        <v>61</v>
      </c>
      <c r="E326">
        <v>0.8278688524590164</v>
      </c>
      <c r="F326">
        <v>0.03821782178217822</v>
      </c>
      <c r="G326">
        <v>0.03850284678617966</v>
      </c>
      <c r="H326">
        <v>0.04</v>
      </c>
      <c r="I326">
        <v>0.1099930447743405</v>
      </c>
      <c r="J326" t="s">
        <v>345</v>
      </c>
      <c r="K326" t="s">
        <v>777</v>
      </c>
      <c r="L326">
        <v>3.79</v>
      </c>
      <c r="M326">
        <v>1.93</v>
      </c>
      <c r="N326">
        <v>0.5092348284960422</v>
      </c>
      <c r="O326">
        <v>27</v>
      </c>
      <c r="P326">
        <v>0.04016469901021225</v>
      </c>
      <c r="Q326">
        <v>0.08982350239485501</v>
      </c>
      <c r="R326" t="s">
        <v>780</v>
      </c>
      <c r="S326" t="s">
        <v>785</v>
      </c>
      <c r="T326">
        <v>125913.734275</v>
      </c>
      <c r="U326" s="2">
        <v>44501</v>
      </c>
      <c r="V326" t="s">
        <v>797</v>
      </c>
    </row>
    <row r="327" spans="1:22">
      <c r="A327" s="1" t="s">
        <v>347</v>
      </c>
      <c r="B327">
        <f>HYPERLINK("https://www.suredividend.com/sure-analysis-DDAIF/","Daimler AG")</f>
        <v>0</v>
      </c>
      <c r="C327">
        <v>79.5</v>
      </c>
      <c r="D327">
        <v>113</v>
      </c>
      <c r="E327">
        <v>0.7035398230088495</v>
      </c>
      <c r="F327">
        <v>0.02</v>
      </c>
      <c r="G327">
        <v>0.072858046943167</v>
      </c>
      <c r="H327">
        <v>0.02</v>
      </c>
      <c r="I327">
        <v>0.1089516582194174</v>
      </c>
      <c r="J327" t="s">
        <v>345</v>
      </c>
      <c r="K327" t="s">
        <v>523</v>
      </c>
      <c r="L327">
        <v>14.1</v>
      </c>
      <c r="M327">
        <v>1.59</v>
      </c>
      <c r="N327">
        <v>0.1127659574468085</v>
      </c>
      <c r="O327">
        <v>1</v>
      </c>
      <c r="P327">
        <v>0.02512087219852699</v>
      </c>
      <c r="Q327">
        <v>0.113244569025928</v>
      </c>
      <c r="R327" t="s">
        <v>780</v>
      </c>
      <c r="S327" t="s">
        <v>788</v>
      </c>
      <c r="T327">
        <v>84977.188415</v>
      </c>
      <c r="U327" s="2">
        <v>44498</v>
      </c>
      <c r="V327" t="s">
        <v>798</v>
      </c>
    </row>
    <row r="328" spans="1:22">
      <c r="A328" s="1" t="s">
        <v>348</v>
      </c>
      <c r="B328">
        <f>HYPERLINK("https://www.suredividend.com/sure-analysis-PNW/","Pinnacle West Capital Corp.")</f>
        <v>0</v>
      </c>
      <c r="C328">
        <v>68.89</v>
      </c>
      <c r="D328">
        <v>88</v>
      </c>
      <c r="E328">
        <v>0.7828409090909091</v>
      </c>
      <c r="F328">
        <v>0.04964436057482944</v>
      </c>
      <c r="G328">
        <v>0.05018375852318857</v>
      </c>
      <c r="H328">
        <v>0.02</v>
      </c>
      <c r="I328">
        <v>0.108544752871647</v>
      </c>
      <c r="J328" t="s">
        <v>345</v>
      </c>
      <c r="K328" t="s">
        <v>776</v>
      </c>
      <c r="L328">
        <v>5.06</v>
      </c>
      <c r="M328">
        <v>3.42</v>
      </c>
      <c r="N328">
        <v>0.6758893280632411</v>
      </c>
      <c r="O328">
        <v>10</v>
      </c>
      <c r="P328">
        <v>0.02021836907521135</v>
      </c>
      <c r="Q328">
        <v>-0.07565144373291401</v>
      </c>
      <c r="R328" t="s">
        <v>780</v>
      </c>
      <c r="S328" t="s">
        <v>792</v>
      </c>
      <c r="T328">
        <v>7772.054869</v>
      </c>
      <c r="U328" s="2">
        <v>44513</v>
      </c>
      <c r="V328" t="s">
        <v>799</v>
      </c>
    </row>
    <row r="329" spans="1:22">
      <c r="A329" s="1" t="s">
        <v>349</v>
      </c>
      <c r="B329">
        <f>HYPERLINK("https://www.suredividend.com/sure-analysis-MCHP/","Microchip Technology, Inc.")</f>
        <v>0</v>
      </c>
      <c r="C329">
        <v>89.34999999999999</v>
      </c>
      <c r="D329">
        <v>81</v>
      </c>
      <c r="E329">
        <v>1.103086419753086</v>
      </c>
      <c r="F329">
        <v>0.01040850587576945</v>
      </c>
      <c r="G329">
        <v>-0.01943115083493996</v>
      </c>
      <c r="H329">
        <v>0.12</v>
      </c>
      <c r="I329">
        <v>0.1082390611784727</v>
      </c>
      <c r="J329" t="s">
        <v>345</v>
      </c>
      <c r="K329" t="s">
        <v>523</v>
      </c>
      <c r="L329">
        <v>4.5</v>
      </c>
      <c r="M329">
        <v>0.93</v>
      </c>
      <c r="N329">
        <v>0.2066666666666667</v>
      </c>
      <c r="O329">
        <v>19</v>
      </c>
      <c r="P329">
        <v>0.1201396745310872</v>
      </c>
      <c r="Q329">
        <v>1.57089707835129</v>
      </c>
      <c r="R329" t="s">
        <v>780</v>
      </c>
      <c r="S329" t="s">
        <v>787</v>
      </c>
      <c r="T329">
        <v>48234.910994</v>
      </c>
      <c r="U329" s="2">
        <v>44513</v>
      </c>
      <c r="V329" t="s">
        <v>796</v>
      </c>
    </row>
    <row r="330" spans="1:22">
      <c r="A330" s="1" t="s">
        <v>350</v>
      </c>
      <c r="B330">
        <f>HYPERLINK("https://www.suredividend.com/sure-analysis-ALL/","Allstate Corp (The)")</f>
        <v>0</v>
      </c>
      <c r="C330">
        <v>116.08</v>
      </c>
      <c r="D330">
        <v>143</v>
      </c>
      <c r="E330">
        <v>0.8117482517482517</v>
      </c>
      <c r="F330">
        <v>0.02791178497587871</v>
      </c>
      <c r="G330">
        <v>0.04259521550386247</v>
      </c>
      <c r="H330">
        <v>0.04</v>
      </c>
      <c r="I330">
        <v>0.1067941837035467</v>
      </c>
      <c r="J330" t="s">
        <v>345</v>
      </c>
      <c r="K330" t="s">
        <v>345</v>
      </c>
      <c r="L330">
        <v>14.25</v>
      </c>
      <c r="M330">
        <v>3.24</v>
      </c>
      <c r="N330">
        <v>0.2273684210526316</v>
      </c>
      <c r="O330">
        <v>9</v>
      </c>
      <c r="P330">
        <v>0.05024607263868264</v>
      </c>
      <c r="Q330">
        <v>0.09301811098352401</v>
      </c>
      <c r="R330" t="s">
        <v>780</v>
      </c>
      <c r="S330" t="s">
        <v>789</v>
      </c>
      <c r="T330">
        <v>32718.336559</v>
      </c>
      <c r="U330" s="2">
        <v>44505</v>
      </c>
      <c r="V330" t="s">
        <v>795</v>
      </c>
    </row>
    <row r="331" spans="1:22">
      <c r="A331" s="1" t="s">
        <v>351</v>
      </c>
      <c r="B331">
        <f>HYPERLINK("https://www.suredividend.com/sure-analysis-GLOP/","Gaslog Partners LP")</f>
        <v>0</v>
      </c>
      <c r="C331">
        <v>4.21</v>
      </c>
      <c r="D331">
        <v>5.25</v>
      </c>
      <c r="E331">
        <v>0.8019047619047619</v>
      </c>
      <c r="F331">
        <v>0.009501187648456057</v>
      </c>
      <c r="G331">
        <v>0.0451423390745993</v>
      </c>
      <c r="H331">
        <v>0.05</v>
      </c>
      <c r="I331">
        <v>0.1056839970483097</v>
      </c>
      <c r="J331" t="s">
        <v>345</v>
      </c>
      <c r="K331" t="s">
        <v>523</v>
      </c>
      <c r="L331">
        <v>1.25</v>
      </c>
      <c r="M331">
        <v>0.04</v>
      </c>
      <c r="N331">
        <v>0.032</v>
      </c>
      <c r="O331">
        <v>0</v>
      </c>
      <c r="P331">
        <v>0.08447177119769855</v>
      </c>
      <c r="Q331">
        <v>0.382995951417004</v>
      </c>
      <c r="R331" t="s">
        <v>780</v>
      </c>
      <c r="S331" t="s">
        <v>793</v>
      </c>
      <c r="T331">
        <v>202.901108</v>
      </c>
      <c r="U331" s="2">
        <v>44498</v>
      </c>
      <c r="V331" t="s">
        <v>796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116.12</v>
      </c>
      <c r="D332">
        <v>154</v>
      </c>
      <c r="E332">
        <v>0.754025974025974</v>
      </c>
      <c r="F332">
        <v>0.01722356183258698</v>
      </c>
      <c r="G332">
        <v>0.05809031390432873</v>
      </c>
      <c r="H332">
        <v>0.03</v>
      </c>
      <c r="I332">
        <v>0.1040594184118502</v>
      </c>
      <c r="J332" t="s">
        <v>345</v>
      </c>
      <c r="K332" t="s">
        <v>523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0.3281805975546001</v>
      </c>
      <c r="R332" t="s">
        <v>780</v>
      </c>
      <c r="S332" t="s">
        <v>789</v>
      </c>
      <c r="T332">
        <v>33803.357466</v>
      </c>
      <c r="U332" s="2">
        <v>44499</v>
      </c>
      <c r="V332" t="s">
        <v>798</v>
      </c>
    </row>
    <row r="333" spans="1:22">
      <c r="A333" s="1" t="s">
        <v>353</v>
      </c>
      <c r="B333">
        <f>HYPERLINK("https://www.suredividend.com/sure-analysis-LNC/","Lincoln National Corp.")</f>
        <v>0</v>
      </c>
      <c r="C333">
        <v>68.81999999999999</v>
      </c>
      <c r="D333">
        <v>76</v>
      </c>
      <c r="E333">
        <v>0.9055263157894736</v>
      </c>
      <c r="F333">
        <v>0.02615518744551003</v>
      </c>
      <c r="G333">
        <v>0.02004606494111849</v>
      </c>
      <c r="H333">
        <v>0.06</v>
      </c>
      <c r="I333">
        <v>0.1038106317348371</v>
      </c>
      <c r="J333" t="s">
        <v>345</v>
      </c>
      <c r="K333" t="s">
        <v>345</v>
      </c>
      <c r="L333">
        <v>8.960000000000001</v>
      </c>
      <c r="M333">
        <v>1.8</v>
      </c>
      <c r="N333">
        <v>0.2008928571428571</v>
      </c>
      <c r="O333">
        <v>11</v>
      </c>
      <c r="P333">
        <v>0.06961037572506878</v>
      </c>
      <c r="Q333">
        <v>0.402777031412119</v>
      </c>
      <c r="R333" t="s">
        <v>780</v>
      </c>
      <c r="S333" t="s">
        <v>789</v>
      </c>
      <c r="T333">
        <v>12264.698587</v>
      </c>
      <c r="U333" s="2">
        <v>44505</v>
      </c>
      <c r="V333" t="s">
        <v>795</v>
      </c>
    </row>
    <row r="334" spans="1:22">
      <c r="A334" s="1" t="s">
        <v>354</v>
      </c>
      <c r="B334">
        <f>HYPERLINK("https://www.suredividend.com/sure-analysis-M/","Macy`s Inc")</f>
        <v>0</v>
      </c>
      <c r="C334">
        <v>25.81</v>
      </c>
      <c r="D334">
        <v>37</v>
      </c>
      <c r="E334">
        <v>0.6975675675675675</v>
      </c>
      <c r="F334">
        <v>0.02324680356450988</v>
      </c>
      <c r="G334">
        <v>0.07468885210634646</v>
      </c>
      <c r="H334">
        <v>0.01</v>
      </c>
      <c r="I334">
        <v>0.1016890212202115</v>
      </c>
      <c r="J334" t="s">
        <v>345</v>
      </c>
      <c r="K334" t="s">
        <v>523</v>
      </c>
      <c r="L334">
        <v>4.65</v>
      </c>
      <c r="M334">
        <v>0.6</v>
      </c>
      <c r="N334">
        <v>0.1290322580645161</v>
      </c>
      <c r="O334">
        <v>0</v>
      </c>
      <c r="P334">
        <v>0</v>
      </c>
      <c r="Q334">
        <v>1.369596772673289</v>
      </c>
      <c r="R334" t="s">
        <v>780</v>
      </c>
      <c r="S334" t="s">
        <v>788</v>
      </c>
      <c r="T334">
        <v>7523.633118</v>
      </c>
      <c r="U334" s="2">
        <v>44519</v>
      </c>
      <c r="V334" t="s">
        <v>798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161.95</v>
      </c>
      <c r="D335">
        <v>174</v>
      </c>
      <c r="E335">
        <v>0.9307471264367816</v>
      </c>
      <c r="F335">
        <v>0.01630132757023773</v>
      </c>
      <c r="G335">
        <v>0.01445703727675629</v>
      </c>
      <c r="H335">
        <v>0.07000000000000001</v>
      </c>
      <c r="I335">
        <v>0.09914559892977248</v>
      </c>
      <c r="J335" t="s">
        <v>345</v>
      </c>
      <c r="K335" t="s">
        <v>523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-0.18435318711689</v>
      </c>
      <c r="R335" t="s">
        <v>780</v>
      </c>
      <c r="S335" t="s">
        <v>790</v>
      </c>
      <c r="T335">
        <v>8887.69507</v>
      </c>
      <c r="U335" s="2">
        <v>44503</v>
      </c>
      <c r="V335" t="s">
        <v>796</v>
      </c>
    </row>
    <row r="336" spans="1:22">
      <c r="A336" s="1" t="s">
        <v>356</v>
      </c>
      <c r="B336">
        <f>HYPERLINK("https://www.suredividend.com/sure-analysis-MPLX/","MPLX LP")</f>
        <v>0</v>
      </c>
      <c r="C336">
        <v>29.33</v>
      </c>
      <c r="D336">
        <v>29</v>
      </c>
      <c r="E336">
        <v>1.011379310344827</v>
      </c>
      <c r="F336">
        <v>0.0961472894647119</v>
      </c>
      <c r="G336">
        <v>-0.002260451922557083</v>
      </c>
      <c r="H336">
        <v>0.02</v>
      </c>
      <c r="I336">
        <v>0.09878981573816903</v>
      </c>
      <c r="J336" t="s">
        <v>345</v>
      </c>
      <c r="K336" t="s">
        <v>776</v>
      </c>
      <c r="L336">
        <v>4.1</v>
      </c>
      <c r="M336">
        <v>2.82</v>
      </c>
      <c r="N336">
        <v>0.6878048780487805</v>
      </c>
      <c r="O336">
        <v>9</v>
      </c>
      <c r="P336">
        <v>0.01977005769334617</v>
      </c>
      <c r="Q336">
        <v>0.467484987008232</v>
      </c>
      <c r="R336" t="s">
        <v>781</v>
      </c>
      <c r="S336" t="s">
        <v>793</v>
      </c>
      <c r="T336">
        <v>29433.264593</v>
      </c>
      <c r="U336" s="2">
        <v>44509</v>
      </c>
      <c r="V336" t="s">
        <v>800</v>
      </c>
    </row>
    <row r="337" spans="1:22">
      <c r="A337" s="1" t="s">
        <v>357</v>
      </c>
      <c r="B337">
        <f>HYPERLINK("https://www.suredividend.com/sure-analysis-BASFY/","Basf SE")</f>
        <v>0</v>
      </c>
      <c r="C337">
        <v>17.43</v>
      </c>
      <c r="D337">
        <v>19.6</v>
      </c>
      <c r="E337">
        <v>0.8892857142857142</v>
      </c>
      <c r="F337">
        <v>0.05393000573723465</v>
      </c>
      <c r="G337">
        <v>0.02374486606608861</v>
      </c>
      <c r="H337">
        <v>0.03</v>
      </c>
      <c r="I337">
        <v>0.09767679482037539</v>
      </c>
      <c r="J337" t="s">
        <v>345</v>
      </c>
      <c r="K337" t="s">
        <v>776</v>
      </c>
      <c r="L337">
        <v>1.51</v>
      </c>
      <c r="M337">
        <v>0.9399999999999999</v>
      </c>
      <c r="N337">
        <v>0.6225165562913907</v>
      </c>
      <c r="O337">
        <v>0</v>
      </c>
      <c r="P337">
        <v>0.02431988176177757</v>
      </c>
      <c r="Q337">
        <v>-0.074853268297912</v>
      </c>
      <c r="R337" t="s">
        <v>780</v>
      </c>
      <c r="S337" t="s">
        <v>790</v>
      </c>
      <c r="T337">
        <v>63411.769034</v>
      </c>
      <c r="U337" s="2">
        <v>44497</v>
      </c>
      <c r="V337" t="s">
        <v>806</v>
      </c>
    </row>
    <row r="338" spans="1:22">
      <c r="A338" s="1" t="s">
        <v>358</v>
      </c>
      <c r="B338">
        <f>HYPERLINK("https://www.suredividend.com/sure-analysis-EQNR/","Equinor ASA")</f>
        <v>0</v>
      </c>
      <c r="C338">
        <v>27.44</v>
      </c>
      <c r="D338">
        <v>34.8</v>
      </c>
      <c r="E338">
        <v>0.7885057471264368</v>
      </c>
      <c r="F338">
        <v>0.02623906705539358</v>
      </c>
      <c r="G338">
        <v>0.04867044272977727</v>
      </c>
      <c r="H338">
        <v>0.02</v>
      </c>
      <c r="I338">
        <v>0.09755403256247752</v>
      </c>
      <c r="J338" t="s">
        <v>345</v>
      </c>
      <c r="K338" t="s">
        <v>523</v>
      </c>
      <c r="L338">
        <v>2.9</v>
      </c>
      <c r="M338">
        <v>0.72</v>
      </c>
      <c r="N338">
        <v>0.2482758620689655</v>
      </c>
      <c r="O338">
        <v>0</v>
      </c>
      <c r="P338">
        <v>0.1305865872992673</v>
      </c>
      <c r="Q338">
        <v>0.728569268759764</v>
      </c>
      <c r="R338" t="s">
        <v>780</v>
      </c>
      <c r="S338" t="s">
        <v>793</v>
      </c>
      <c r="T338">
        <v>89390.95067999999</v>
      </c>
      <c r="U338" s="2">
        <v>44502</v>
      </c>
      <c r="V338" t="s">
        <v>796</v>
      </c>
    </row>
    <row r="339" spans="1:22">
      <c r="A339" s="1" t="s">
        <v>359</v>
      </c>
      <c r="B339">
        <f>HYPERLINK("https://www.suredividend.com/sure-analysis-AEG/","Aegon N. V.")</f>
        <v>0</v>
      </c>
      <c r="C339">
        <v>4.99</v>
      </c>
      <c r="D339">
        <v>5.6</v>
      </c>
      <c r="E339">
        <v>0.8910714285714286</v>
      </c>
      <c r="F339">
        <v>0.03406813627254509</v>
      </c>
      <c r="G339">
        <v>0.0233342181737608</v>
      </c>
      <c r="H339">
        <v>0.04</v>
      </c>
      <c r="I339">
        <v>0.09598778404687169</v>
      </c>
      <c r="J339" t="s">
        <v>345</v>
      </c>
      <c r="K339" t="s">
        <v>345</v>
      </c>
      <c r="L339">
        <v>0.7</v>
      </c>
      <c r="M339">
        <v>0.17</v>
      </c>
      <c r="N339">
        <v>0.2428571428571429</v>
      </c>
      <c r="O339">
        <v>0</v>
      </c>
      <c r="P339">
        <v>0.0801851873035635</v>
      </c>
      <c r="Q339">
        <v>0.3427388604423131</v>
      </c>
      <c r="R339" t="s">
        <v>780</v>
      </c>
      <c r="S339" t="s">
        <v>789</v>
      </c>
      <c r="T339">
        <v>10378.334703</v>
      </c>
      <c r="U339" s="2">
        <v>44517</v>
      </c>
      <c r="V339" t="s">
        <v>803</v>
      </c>
    </row>
    <row r="340" spans="1:22">
      <c r="A340" s="1" t="s">
        <v>360</v>
      </c>
      <c r="B340">
        <f>HYPERLINK("https://www.suredividend.com/sure-analysis-RLJ/","RLJ Lodging Trust")</f>
        <v>0</v>
      </c>
      <c r="C340">
        <v>14.07</v>
      </c>
      <c r="D340">
        <v>18.7</v>
      </c>
      <c r="E340">
        <v>0.7524064171122995</v>
      </c>
      <c r="F340">
        <v>0.002842928216062544</v>
      </c>
      <c r="G340">
        <v>0.05854543068779061</v>
      </c>
      <c r="H340">
        <v>0.01</v>
      </c>
      <c r="I340">
        <v>0.09484520803699747</v>
      </c>
      <c r="J340" t="s">
        <v>345</v>
      </c>
      <c r="K340" t="s">
        <v>778</v>
      </c>
      <c r="L340">
        <v>0.2</v>
      </c>
      <c r="M340">
        <v>0.04</v>
      </c>
      <c r="N340">
        <v>0.2</v>
      </c>
      <c r="O340">
        <v>0</v>
      </c>
      <c r="P340">
        <v>1</v>
      </c>
      <c r="Q340">
        <v>-0.017611620730913</v>
      </c>
      <c r="R340" t="s">
        <v>782</v>
      </c>
      <c r="S340" t="s">
        <v>794</v>
      </c>
      <c r="T340">
        <v>2338.780139</v>
      </c>
      <c r="U340" s="2">
        <v>44526</v>
      </c>
      <c r="V340" t="s">
        <v>803</v>
      </c>
    </row>
    <row r="341" spans="1:22">
      <c r="A341" s="1" t="s">
        <v>361</v>
      </c>
      <c r="B341">
        <f>HYPERLINK("https://www.suredividend.com/sure-analysis-UL/","Unilever plc")</f>
        <v>0</v>
      </c>
      <c r="C341">
        <v>53.25</v>
      </c>
      <c r="D341">
        <v>54</v>
      </c>
      <c r="E341">
        <v>0.9861111111111112</v>
      </c>
      <c r="F341">
        <v>0.03812206572769953</v>
      </c>
      <c r="G341">
        <v>0.002801164344682805</v>
      </c>
      <c r="H341">
        <v>0.06</v>
      </c>
      <c r="I341">
        <v>0.09413966437535759</v>
      </c>
      <c r="J341" t="s">
        <v>345</v>
      </c>
      <c r="K341" t="s">
        <v>777</v>
      </c>
      <c r="L341">
        <v>2.98</v>
      </c>
      <c r="M341">
        <v>2.03</v>
      </c>
      <c r="N341">
        <v>0.6812080536912751</v>
      </c>
      <c r="O341">
        <v>6</v>
      </c>
      <c r="P341">
        <v>0.03405357579605606</v>
      </c>
      <c r="Q341">
        <v>-0.06675477311999301</v>
      </c>
      <c r="R341" t="s">
        <v>780</v>
      </c>
      <c r="S341" t="s">
        <v>791</v>
      </c>
      <c r="T341">
        <v>135701.268385</v>
      </c>
      <c r="U341" s="2">
        <v>44516</v>
      </c>
      <c r="V341" t="s">
        <v>803</v>
      </c>
    </row>
    <row r="342" spans="1:22">
      <c r="A342" s="1" t="s">
        <v>362</v>
      </c>
      <c r="B342">
        <f>HYPERLINK("https://www.suredividend.com/sure-analysis-NHI/","National Health Investors, Inc.")</f>
        <v>0</v>
      </c>
      <c r="C342">
        <v>56.95</v>
      </c>
      <c r="D342">
        <v>61</v>
      </c>
      <c r="E342">
        <v>0.9336065573770492</v>
      </c>
      <c r="F342">
        <v>0.06321334503950835</v>
      </c>
      <c r="G342">
        <v>0.01383486295097747</v>
      </c>
      <c r="H342">
        <v>0.03</v>
      </c>
      <c r="I342">
        <v>0.09401945699469816</v>
      </c>
      <c r="J342" t="s">
        <v>345</v>
      </c>
      <c r="K342" t="s">
        <v>777</v>
      </c>
      <c r="L342">
        <v>4.78</v>
      </c>
      <c r="M342">
        <v>3.6</v>
      </c>
      <c r="N342">
        <v>0.7531380753138075</v>
      </c>
      <c r="O342">
        <v>0</v>
      </c>
      <c r="P342">
        <v>0.009805797673485328</v>
      </c>
      <c r="Q342">
        <v>-0.146596443745466</v>
      </c>
      <c r="R342" t="s">
        <v>782</v>
      </c>
      <c r="S342" t="s">
        <v>794</v>
      </c>
      <c r="T342">
        <v>2567.633544</v>
      </c>
      <c r="U342" s="2">
        <v>44513</v>
      </c>
      <c r="V342" t="s">
        <v>795</v>
      </c>
    </row>
    <row r="343" spans="1:22">
      <c r="A343" s="1" t="s">
        <v>363</v>
      </c>
      <c r="B343">
        <f>HYPERLINK("https://www.suredividend.com/sure-analysis-IVZ/","Invesco Ltd")</f>
        <v>0</v>
      </c>
      <c r="C343">
        <v>23.55</v>
      </c>
      <c r="D343">
        <v>30</v>
      </c>
      <c r="E343">
        <v>0.785</v>
      </c>
      <c r="F343">
        <v>0.02887473460721868</v>
      </c>
      <c r="G343">
        <v>0.04960542962870207</v>
      </c>
      <c r="H343">
        <v>0.02</v>
      </c>
      <c r="I343">
        <v>0.09330903371419907</v>
      </c>
      <c r="J343" t="s">
        <v>345</v>
      </c>
      <c r="K343" t="s">
        <v>345</v>
      </c>
      <c r="L343">
        <v>3</v>
      </c>
      <c r="M343">
        <v>0.68</v>
      </c>
      <c r="N343">
        <v>0.2266666666666667</v>
      </c>
      <c r="O343">
        <v>1</v>
      </c>
      <c r="P343">
        <v>0.02517111829582741</v>
      </c>
      <c r="Q343">
        <v>0.360425264041407</v>
      </c>
      <c r="R343" t="s">
        <v>780</v>
      </c>
      <c r="S343" t="s">
        <v>789</v>
      </c>
      <c r="T343">
        <v>10764.560107</v>
      </c>
      <c r="U343" s="2">
        <v>44505</v>
      </c>
      <c r="V343" t="s">
        <v>798</v>
      </c>
    </row>
    <row r="344" spans="1:22">
      <c r="A344" s="1" t="s">
        <v>364</v>
      </c>
      <c r="B344">
        <f>HYPERLINK("https://www.suredividend.com/sure-analysis-SJI/","South Jersey Industries Inc.")</f>
        <v>0</v>
      </c>
      <c r="C344">
        <v>25.86</v>
      </c>
      <c r="D344">
        <v>29</v>
      </c>
      <c r="E344">
        <v>0.8917241379310344</v>
      </c>
      <c r="F344">
        <v>0.04640371229698376</v>
      </c>
      <c r="G344">
        <v>0.02318436567057147</v>
      </c>
      <c r="H344">
        <v>0.03</v>
      </c>
      <c r="I344">
        <v>0.09227957205589687</v>
      </c>
      <c r="J344" t="s">
        <v>345</v>
      </c>
      <c r="K344" t="s">
        <v>776</v>
      </c>
      <c r="L344">
        <v>1.6</v>
      </c>
      <c r="M344">
        <v>1.2</v>
      </c>
      <c r="N344">
        <v>0.7499999999999999</v>
      </c>
      <c r="O344">
        <v>23</v>
      </c>
      <c r="P344">
        <v>0.03131030647754507</v>
      </c>
      <c r="Q344">
        <v>0.252938091260514</v>
      </c>
      <c r="R344" t="s">
        <v>780</v>
      </c>
      <c r="S344" t="s">
        <v>792</v>
      </c>
      <c r="T344">
        <v>2901.135154</v>
      </c>
      <c r="U344" s="2">
        <v>44517</v>
      </c>
      <c r="V344" t="s">
        <v>801</v>
      </c>
    </row>
    <row r="345" spans="1:22">
      <c r="A345" s="1" t="s">
        <v>365</v>
      </c>
      <c r="B345">
        <f>HYPERLINK("https://www.suredividend.com/sure-analysis-ROST/","Ross Stores, Inc.")</f>
        <v>0</v>
      </c>
      <c r="C345">
        <v>112.37</v>
      </c>
      <c r="D345">
        <v>90</v>
      </c>
      <c r="E345">
        <v>1.248555555555556</v>
      </c>
      <c r="F345">
        <v>0.01014505650974459</v>
      </c>
      <c r="G345">
        <v>-0.04342632314805217</v>
      </c>
      <c r="H345">
        <v>0.13</v>
      </c>
      <c r="I345">
        <v>0.0921732932080328</v>
      </c>
      <c r="J345" t="s">
        <v>345</v>
      </c>
      <c r="K345" t="s">
        <v>778</v>
      </c>
      <c r="L345">
        <v>4.8</v>
      </c>
      <c r="M345">
        <v>1.14</v>
      </c>
      <c r="N345">
        <v>0.2375</v>
      </c>
      <c r="O345">
        <v>0</v>
      </c>
      <c r="P345">
        <v>0.1486983549970351</v>
      </c>
      <c r="Q345">
        <v>-0.057458577717314</v>
      </c>
      <c r="R345" t="s">
        <v>780</v>
      </c>
      <c r="S345" t="s">
        <v>788</v>
      </c>
      <c r="T345">
        <v>38922.803608</v>
      </c>
      <c r="U345" s="2">
        <v>44522</v>
      </c>
      <c r="V345" t="s">
        <v>803</v>
      </c>
    </row>
    <row r="346" spans="1:22">
      <c r="A346" s="1" t="s">
        <v>366</v>
      </c>
      <c r="B346">
        <f>HYPERLINK("https://www.suredividend.com/sure-analysis-CC/","Chemours Company")</f>
        <v>0</v>
      </c>
      <c r="C346">
        <v>32.56</v>
      </c>
      <c r="D346">
        <v>39</v>
      </c>
      <c r="E346">
        <v>0.834871794871795</v>
      </c>
      <c r="F346">
        <v>0.03071253071253071</v>
      </c>
      <c r="G346">
        <v>0.03675476994709115</v>
      </c>
      <c r="H346">
        <v>0.03</v>
      </c>
      <c r="I346">
        <v>0.09049602442129467</v>
      </c>
      <c r="J346" t="s">
        <v>345</v>
      </c>
      <c r="K346" t="s">
        <v>345</v>
      </c>
      <c r="L346">
        <v>3.93</v>
      </c>
      <c r="M346">
        <v>1</v>
      </c>
      <c r="N346">
        <v>0.2544529262086514</v>
      </c>
      <c r="O346">
        <v>0</v>
      </c>
      <c r="P346">
        <v>0</v>
      </c>
      <c r="Q346">
        <v>0.217200438990322</v>
      </c>
      <c r="R346" t="s">
        <v>780</v>
      </c>
      <c r="S346" t="s">
        <v>790</v>
      </c>
      <c r="T346">
        <v>5169.118035</v>
      </c>
      <c r="U346" s="2">
        <v>44505</v>
      </c>
      <c r="V346" t="s">
        <v>797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55.71</v>
      </c>
      <c r="D347">
        <v>49</v>
      </c>
      <c r="E347">
        <v>1.136938775510204</v>
      </c>
      <c r="F347">
        <v>0.009513552324537785</v>
      </c>
      <c r="G347">
        <v>-0.0253412538360952</v>
      </c>
      <c r="H347">
        <v>0.11</v>
      </c>
      <c r="I347">
        <v>0.09005108491788194</v>
      </c>
      <c r="J347" t="s">
        <v>345</v>
      </c>
      <c r="K347" t="s">
        <v>778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0.7443929103337961</v>
      </c>
      <c r="R347" t="s">
        <v>780</v>
      </c>
      <c r="S347" t="s">
        <v>786</v>
      </c>
      <c r="T347">
        <v>6162.784418</v>
      </c>
      <c r="U347" s="2">
        <v>44511</v>
      </c>
      <c r="V347" t="s">
        <v>796</v>
      </c>
    </row>
    <row r="348" spans="1:22">
      <c r="A348" s="1" t="s">
        <v>368</v>
      </c>
      <c r="B348">
        <f>HYPERLINK("https://www.suredividend.com/sure-analysis-OGS/","ONE Gas Inc")</f>
        <v>0</v>
      </c>
      <c r="C348">
        <v>76.26000000000001</v>
      </c>
      <c r="D348">
        <v>77</v>
      </c>
      <c r="E348">
        <v>0.9903896103896105</v>
      </c>
      <c r="F348">
        <v>0.03042223970626803</v>
      </c>
      <c r="G348">
        <v>0.001933239787938135</v>
      </c>
      <c r="H348">
        <v>0.06</v>
      </c>
      <c r="I348">
        <v>0.08959025301194101</v>
      </c>
      <c r="J348" t="s">
        <v>345</v>
      </c>
      <c r="K348" t="s">
        <v>777</v>
      </c>
      <c r="L348">
        <v>3.85</v>
      </c>
      <c r="M348">
        <v>2.32</v>
      </c>
      <c r="N348">
        <v>0.6025974025974026</v>
      </c>
      <c r="O348">
        <v>7</v>
      </c>
      <c r="P348">
        <v>0.06509372738446295</v>
      </c>
      <c r="Q348">
        <v>0.021195436655129</v>
      </c>
      <c r="R348" t="s">
        <v>780</v>
      </c>
      <c r="S348" t="s">
        <v>792</v>
      </c>
      <c r="T348">
        <v>4057.110231</v>
      </c>
      <c r="U348" s="2">
        <v>44502</v>
      </c>
      <c r="V348" t="s">
        <v>796</v>
      </c>
    </row>
    <row r="349" spans="1:22">
      <c r="A349" s="1" t="s">
        <v>369</v>
      </c>
      <c r="B349">
        <f>HYPERLINK("https://www.suredividend.com/sure-analysis-PHM/","PulteGroup Inc")</f>
        <v>0</v>
      </c>
      <c r="C349">
        <v>55.38</v>
      </c>
      <c r="D349">
        <v>61</v>
      </c>
      <c r="E349">
        <v>0.9078688524590164</v>
      </c>
      <c r="F349">
        <v>0.01083423618634886</v>
      </c>
      <c r="G349">
        <v>0.01951912421904178</v>
      </c>
      <c r="H349">
        <v>0.06</v>
      </c>
      <c r="I349">
        <v>0.0893477513571761</v>
      </c>
      <c r="J349" t="s">
        <v>345</v>
      </c>
      <c r="K349" t="s">
        <v>523</v>
      </c>
      <c r="L349">
        <v>7.13</v>
      </c>
      <c r="M349">
        <v>0.6</v>
      </c>
      <c r="N349">
        <v>0.08415147265077139</v>
      </c>
      <c r="O349">
        <v>4</v>
      </c>
      <c r="P349">
        <v>0.03424021252947318</v>
      </c>
      <c r="Q349">
        <v>0.222469276092393</v>
      </c>
      <c r="R349" t="s">
        <v>780</v>
      </c>
      <c r="S349" t="s">
        <v>788</v>
      </c>
      <c r="T349">
        <v>13836.596702</v>
      </c>
      <c r="U349" s="2">
        <v>44498</v>
      </c>
      <c r="V349" t="s">
        <v>795</v>
      </c>
    </row>
    <row r="350" spans="1:22">
      <c r="A350" s="1" t="s">
        <v>370</v>
      </c>
      <c r="B350">
        <f>HYPERLINK("https://www.suredividend.com/sure-analysis-GPS/","Gap, Inc.")</f>
        <v>0</v>
      </c>
      <c r="C350">
        <v>17.54</v>
      </c>
      <c r="D350">
        <v>20</v>
      </c>
      <c r="E350">
        <v>0.877</v>
      </c>
      <c r="F350">
        <v>0.02736602052451539</v>
      </c>
      <c r="G350">
        <v>0.02659721399403825</v>
      </c>
      <c r="H350">
        <v>0.04</v>
      </c>
      <c r="I350">
        <v>0.08793715884395703</v>
      </c>
      <c r="J350" t="s">
        <v>345</v>
      </c>
      <c r="K350" t="s">
        <v>523</v>
      </c>
      <c r="L350">
        <v>2</v>
      </c>
      <c r="M350">
        <v>0.48</v>
      </c>
      <c r="N350">
        <v>0.24</v>
      </c>
      <c r="O350">
        <v>0</v>
      </c>
      <c r="P350">
        <v>0</v>
      </c>
      <c r="Q350">
        <v>-0.14304842669047</v>
      </c>
      <c r="R350" t="s">
        <v>780</v>
      </c>
      <c r="S350" t="s">
        <v>788</v>
      </c>
      <c r="T350">
        <v>6452.408056</v>
      </c>
      <c r="U350" s="2">
        <v>44528</v>
      </c>
      <c r="V350" t="s">
        <v>799</v>
      </c>
    </row>
    <row r="351" spans="1:22">
      <c r="A351" s="1" t="s">
        <v>371</v>
      </c>
      <c r="B351">
        <f>HYPERLINK("https://www.suredividend.com/sure-analysis-SR/","Spire Inc.")</f>
        <v>0</v>
      </c>
      <c r="C351">
        <v>64.52</v>
      </c>
      <c r="D351">
        <v>63</v>
      </c>
      <c r="E351">
        <v>1.024126984126984</v>
      </c>
      <c r="F351">
        <v>0.04246745195288283</v>
      </c>
      <c r="G351">
        <v>-0.004756756004164697</v>
      </c>
      <c r="H351">
        <v>0.055</v>
      </c>
      <c r="I351">
        <v>0.08773338081874926</v>
      </c>
      <c r="J351" t="s">
        <v>345</v>
      </c>
      <c r="K351" t="s">
        <v>777</v>
      </c>
      <c r="L351">
        <v>3.96</v>
      </c>
      <c r="M351">
        <v>2.74</v>
      </c>
      <c r="N351">
        <v>0.6919191919191919</v>
      </c>
      <c r="O351">
        <v>19</v>
      </c>
      <c r="P351">
        <v>0.05017940304678881</v>
      </c>
      <c r="Q351">
        <v>0.050249070279357</v>
      </c>
      <c r="R351" t="s">
        <v>780</v>
      </c>
      <c r="S351" t="s">
        <v>792</v>
      </c>
      <c r="T351">
        <v>3322.867323</v>
      </c>
      <c r="U351" s="2">
        <v>44527</v>
      </c>
      <c r="V351" t="s">
        <v>799</v>
      </c>
    </row>
    <row r="352" spans="1:22">
      <c r="A352" s="1" t="s">
        <v>372</v>
      </c>
      <c r="B352">
        <f>HYPERLINK("https://www.suredividend.com/sure-analysis-OGE/","Oge Energy Corp.")</f>
        <v>0</v>
      </c>
      <c r="C352">
        <v>37.51</v>
      </c>
      <c r="D352">
        <v>37</v>
      </c>
      <c r="E352">
        <v>1.013783783783784</v>
      </c>
      <c r="F352">
        <v>0.04372167422020794</v>
      </c>
      <c r="G352">
        <v>-0.002734185577145221</v>
      </c>
      <c r="H352">
        <v>0.05</v>
      </c>
      <c r="I352">
        <v>0.08646930014577014</v>
      </c>
      <c r="J352" t="s">
        <v>345</v>
      </c>
      <c r="K352" t="s">
        <v>777</v>
      </c>
      <c r="L352">
        <v>2.17</v>
      </c>
      <c r="M352">
        <v>1.64</v>
      </c>
      <c r="N352">
        <v>0.7557603686635944</v>
      </c>
      <c r="O352">
        <v>15</v>
      </c>
      <c r="P352">
        <v>0.05168994430952489</v>
      </c>
      <c r="Q352">
        <v>0.254758877899585</v>
      </c>
      <c r="R352" t="s">
        <v>780</v>
      </c>
      <c r="S352" t="s">
        <v>792</v>
      </c>
      <c r="T352">
        <v>7448.487973</v>
      </c>
      <c r="U352" s="2">
        <v>44508</v>
      </c>
      <c r="V352" t="s">
        <v>803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163.83</v>
      </c>
      <c r="D353">
        <v>197</v>
      </c>
      <c r="E353">
        <v>0.8316243654822336</v>
      </c>
      <c r="F353">
        <v>0.0166025758408106</v>
      </c>
      <c r="G353">
        <v>0.03756319777035966</v>
      </c>
      <c r="H353">
        <v>0.03</v>
      </c>
      <c r="I353">
        <v>0.08526221228093434</v>
      </c>
      <c r="J353" t="s">
        <v>345</v>
      </c>
      <c r="K353" t="s">
        <v>523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0.265521902268007</v>
      </c>
      <c r="R353" t="s">
        <v>780</v>
      </c>
      <c r="S353" t="s">
        <v>786</v>
      </c>
      <c r="T353">
        <v>17563.045199</v>
      </c>
      <c r="U353" s="2">
        <v>44494</v>
      </c>
      <c r="V353" t="s">
        <v>795</v>
      </c>
    </row>
    <row r="354" spans="1:22">
      <c r="A354" s="1" t="s">
        <v>374</v>
      </c>
      <c r="B354">
        <f>HYPERLINK("https://www.suredividend.com/sure-analysis-VIAC/","ViacomCBS Inc")</f>
        <v>0</v>
      </c>
      <c r="C354">
        <v>30.12</v>
      </c>
      <c r="D354">
        <v>36</v>
      </c>
      <c r="E354">
        <v>0.8366666666666667</v>
      </c>
      <c r="F354">
        <v>0.03187250996015936</v>
      </c>
      <c r="G354">
        <v>0.03630956498624616</v>
      </c>
      <c r="H354">
        <v>0.02</v>
      </c>
      <c r="I354">
        <v>0.08519173661719548</v>
      </c>
      <c r="J354" t="s">
        <v>345</v>
      </c>
      <c r="K354" t="s">
        <v>345</v>
      </c>
      <c r="L354">
        <v>3.64</v>
      </c>
      <c r="M354">
        <v>0.96</v>
      </c>
      <c r="N354">
        <v>0.2637362637362637</v>
      </c>
      <c r="O354">
        <v>1</v>
      </c>
      <c r="P354">
        <v>0.05081623913789235</v>
      </c>
      <c r="Q354">
        <v>-0.131092016730314</v>
      </c>
      <c r="R354" t="s">
        <v>780</v>
      </c>
      <c r="S354" t="s">
        <v>784</v>
      </c>
      <c r="T354">
        <v>19948.533224</v>
      </c>
      <c r="U354" s="2">
        <v>44513</v>
      </c>
      <c r="V354" t="s">
        <v>799</v>
      </c>
    </row>
    <row r="355" spans="1:22">
      <c r="A355" s="1" t="s">
        <v>375</v>
      </c>
      <c r="B355">
        <f>HYPERLINK("https://www.suredividend.com/sure-analysis-JBL/","Jabil Inc")</f>
        <v>0</v>
      </c>
      <c r="C355">
        <v>71.3</v>
      </c>
      <c r="D355">
        <v>75</v>
      </c>
      <c r="E355">
        <v>0.9506666666666667</v>
      </c>
      <c r="F355">
        <v>0.004488078541374474</v>
      </c>
      <c r="G355">
        <v>0.01016972089213786</v>
      </c>
      <c r="H355">
        <v>0.07000000000000001</v>
      </c>
      <c r="I355">
        <v>0.08467949482338155</v>
      </c>
      <c r="J355" t="s">
        <v>345</v>
      </c>
      <c r="K355" t="s">
        <v>778</v>
      </c>
      <c r="L355">
        <v>6.55</v>
      </c>
      <c r="M355">
        <v>0.32</v>
      </c>
      <c r="N355">
        <v>0.04885496183206107</v>
      </c>
      <c r="O355">
        <v>0</v>
      </c>
      <c r="P355">
        <v>0.05081623913789235</v>
      </c>
      <c r="Q355">
        <v>0.638136358836573</v>
      </c>
      <c r="R355" t="s">
        <v>780</v>
      </c>
      <c r="S355" t="s">
        <v>787</v>
      </c>
      <c r="T355">
        <v>10006.214744</v>
      </c>
      <c r="U355" s="2">
        <v>44551</v>
      </c>
      <c r="V355" t="s">
        <v>795</v>
      </c>
    </row>
    <row r="356" spans="1:22">
      <c r="A356" s="1" t="s">
        <v>376</v>
      </c>
      <c r="B356">
        <f>HYPERLINK("https://www.suredividend.com/sure-analysis-DGX/","Quest Diagnostics, Inc.")</f>
        <v>0</v>
      </c>
      <c r="C356">
        <v>169.35</v>
      </c>
      <c r="D356">
        <v>206</v>
      </c>
      <c r="E356">
        <v>0.8220873786407766</v>
      </c>
      <c r="F356">
        <v>0.01464422793032182</v>
      </c>
      <c r="G356">
        <v>0.03995944573267085</v>
      </c>
      <c r="H356">
        <v>0.03</v>
      </c>
      <c r="I356">
        <v>0.08451464603166969</v>
      </c>
      <c r="J356" t="s">
        <v>345</v>
      </c>
      <c r="K356" t="s">
        <v>523</v>
      </c>
      <c r="L356">
        <v>13.7</v>
      </c>
      <c r="M356">
        <v>2.48</v>
      </c>
      <c r="N356">
        <v>0.181021897810219</v>
      </c>
      <c r="O356">
        <v>10</v>
      </c>
      <c r="P356">
        <v>0.07010283006626494</v>
      </c>
      <c r="Q356">
        <v>0.402137830022788</v>
      </c>
      <c r="R356" t="s">
        <v>780</v>
      </c>
      <c r="S356" t="s">
        <v>785</v>
      </c>
      <c r="T356">
        <v>20492.820496</v>
      </c>
      <c r="U356" s="2">
        <v>44490</v>
      </c>
      <c r="V356" t="s">
        <v>799</v>
      </c>
    </row>
    <row r="357" spans="1:22">
      <c r="A357" s="1" t="s">
        <v>377</v>
      </c>
      <c r="B357">
        <f>HYPERLINK("https://www.suredividend.com/sure-analysis-HPQ/","HP Inc")</f>
        <v>0</v>
      </c>
      <c r="C357">
        <v>38.1</v>
      </c>
      <c r="D357">
        <v>42</v>
      </c>
      <c r="E357">
        <v>0.9071428571428571</v>
      </c>
      <c r="F357">
        <v>0.02624671916010499</v>
      </c>
      <c r="G357">
        <v>0.01968225823303538</v>
      </c>
      <c r="H357">
        <v>0.04</v>
      </c>
      <c r="I357">
        <v>0.08420475459073962</v>
      </c>
      <c r="J357" t="s">
        <v>345</v>
      </c>
      <c r="K357" t="s">
        <v>345</v>
      </c>
      <c r="L357">
        <v>4.17</v>
      </c>
      <c r="M357">
        <v>1</v>
      </c>
      <c r="N357">
        <v>0.2398081534772182</v>
      </c>
      <c r="O357">
        <v>11</v>
      </c>
      <c r="P357">
        <v>0.0602809527753625</v>
      </c>
      <c r="Q357">
        <v>0.582657603692447</v>
      </c>
      <c r="R357" t="s">
        <v>780</v>
      </c>
      <c r="S357" t="s">
        <v>787</v>
      </c>
      <c r="T357">
        <v>40764.504346</v>
      </c>
      <c r="U357" s="2">
        <v>44533</v>
      </c>
      <c r="V357" t="s">
        <v>798</v>
      </c>
    </row>
    <row r="358" spans="1:22">
      <c r="A358" s="1" t="s">
        <v>378</v>
      </c>
      <c r="B358">
        <f>HYPERLINK("https://www.suredividend.com/sure-analysis-PM/","Philip Morris International Inc")</f>
        <v>0</v>
      </c>
      <c r="C358">
        <v>93.54000000000001</v>
      </c>
      <c r="D358">
        <v>97</v>
      </c>
      <c r="E358">
        <v>0.9643298969072166</v>
      </c>
      <c r="F358">
        <v>0.05345306820611503</v>
      </c>
      <c r="G358">
        <v>0.007290814749813856</v>
      </c>
      <c r="H358">
        <v>0.03</v>
      </c>
      <c r="I358">
        <v>0.08368552251375805</v>
      </c>
      <c r="J358" t="s">
        <v>345</v>
      </c>
      <c r="K358" t="s">
        <v>777</v>
      </c>
      <c r="L358">
        <v>6.04</v>
      </c>
      <c r="M358">
        <v>5</v>
      </c>
      <c r="N358">
        <v>0.8278145695364238</v>
      </c>
      <c r="O358">
        <v>14</v>
      </c>
      <c r="P358">
        <v>0.03012896281839894</v>
      </c>
      <c r="Q358">
        <v>0.169529557899453</v>
      </c>
      <c r="R358" t="s">
        <v>780</v>
      </c>
      <c r="S358" t="s">
        <v>791</v>
      </c>
      <c r="T358">
        <v>144675.996302</v>
      </c>
      <c r="U358" s="2">
        <v>44488</v>
      </c>
      <c r="V358" t="s">
        <v>796</v>
      </c>
    </row>
    <row r="359" spans="1:22">
      <c r="A359" s="1" t="s">
        <v>379</v>
      </c>
      <c r="B359">
        <f>HYPERLINK("https://www.suredividend.com/sure-analysis-FAF/","First American Financial Corp")</f>
        <v>0</v>
      </c>
      <c r="C359">
        <v>77.91</v>
      </c>
      <c r="D359">
        <v>82</v>
      </c>
      <c r="E359">
        <v>0.9501219512195122</v>
      </c>
      <c r="F359">
        <v>0.02490052624823514</v>
      </c>
      <c r="G359">
        <v>0.01028552263884475</v>
      </c>
      <c r="H359">
        <v>0.05</v>
      </c>
      <c r="I359">
        <v>0.08271613124104116</v>
      </c>
      <c r="J359" t="s">
        <v>345</v>
      </c>
      <c r="K359" t="s">
        <v>345</v>
      </c>
      <c r="L359">
        <v>7.48</v>
      </c>
      <c r="M359">
        <v>1.94</v>
      </c>
      <c r="N359">
        <v>0.2593582887700535</v>
      </c>
      <c r="O359">
        <v>10</v>
      </c>
      <c r="P359">
        <v>0.05034020601589084</v>
      </c>
      <c r="Q359">
        <v>0.50693390838047</v>
      </c>
      <c r="R359" t="s">
        <v>780</v>
      </c>
      <c r="S359" t="s">
        <v>789</v>
      </c>
      <c r="T359">
        <v>8384.002391</v>
      </c>
      <c r="U359" s="2">
        <v>44494</v>
      </c>
      <c r="V359" t="s">
        <v>795</v>
      </c>
    </row>
    <row r="360" spans="1:22">
      <c r="A360" s="1" t="s">
        <v>380</v>
      </c>
      <c r="B360">
        <f>HYPERLINK("https://www.suredividend.com/sure-analysis-PRU/","Prudential Financial Inc.")</f>
        <v>0</v>
      </c>
      <c r="C360">
        <v>108.83</v>
      </c>
      <c r="D360">
        <v>116</v>
      </c>
      <c r="E360">
        <v>0.9381896551724138</v>
      </c>
      <c r="F360">
        <v>0.04226775705228338</v>
      </c>
      <c r="G360">
        <v>0.01284239616047889</v>
      </c>
      <c r="H360">
        <v>0.03</v>
      </c>
      <c r="I360">
        <v>0.08066132651236591</v>
      </c>
      <c r="J360" t="s">
        <v>345</v>
      </c>
      <c r="K360" t="s">
        <v>777</v>
      </c>
      <c r="L360">
        <v>14.5</v>
      </c>
      <c r="M360">
        <v>4.6</v>
      </c>
      <c r="N360">
        <v>0.3172413793103448</v>
      </c>
      <c r="O360">
        <v>13</v>
      </c>
      <c r="P360">
        <v>0.04012620718096094</v>
      </c>
      <c r="Q360">
        <v>0.478479754046527</v>
      </c>
      <c r="R360" t="s">
        <v>780</v>
      </c>
      <c r="S360" t="s">
        <v>789</v>
      </c>
      <c r="T360">
        <v>40918.5</v>
      </c>
      <c r="U360" s="2">
        <v>44509</v>
      </c>
      <c r="V360" t="s">
        <v>800</v>
      </c>
    </row>
    <row r="361" spans="1:22">
      <c r="A361" s="1" t="s">
        <v>381</v>
      </c>
      <c r="B361">
        <f>HYPERLINK("https://www.suredividend.com/sure-analysis-PFG/","Principal Financial Group Inc")</f>
        <v>0</v>
      </c>
      <c r="C361">
        <v>72.95</v>
      </c>
      <c r="D361">
        <v>72</v>
      </c>
      <c r="E361">
        <v>1.013194444444445</v>
      </c>
      <c r="F361">
        <v>0.03509252912954078</v>
      </c>
      <c r="G361">
        <v>-0.002618197716587778</v>
      </c>
      <c r="H361">
        <v>0.05</v>
      </c>
      <c r="I361">
        <v>0.08002646094484267</v>
      </c>
      <c r="J361" t="s">
        <v>345</v>
      </c>
      <c r="K361" t="s">
        <v>345</v>
      </c>
      <c r="L361">
        <v>6.55</v>
      </c>
      <c r="M361">
        <v>2.56</v>
      </c>
      <c r="N361">
        <v>0.3908396946564885</v>
      </c>
      <c r="O361">
        <v>15</v>
      </c>
      <c r="P361">
        <v>0.06025622492066018</v>
      </c>
      <c r="Q361">
        <v>0.5327262098751421</v>
      </c>
      <c r="R361" t="s">
        <v>780</v>
      </c>
      <c r="S361" t="s">
        <v>789</v>
      </c>
      <c r="T361">
        <v>18973.669227</v>
      </c>
      <c r="U361" s="2">
        <v>44505</v>
      </c>
      <c r="V361" t="s">
        <v>798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46.81</v>
      </c>
      <c r="D362">
        <v>47</v>
      </c>
      <c r="E362">
        <v>0.9959574468085107</v>
      </c>
      <c r="F362">
        <v>0.03418073061311686</v>
      </c>
      <c r="G362">
        <v>0.0008104775391839514</v>
      </c>
      <c r="H362">
        <v>0.05</v>
      </c>
      <c r="I362">
        <v>0.07981613523239983</v>
      </c>
      <c r="J362" t="s">
        <v>345</v>
      </c>
      <c r="K362" t="s">
        <v>777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0.03427014340553301</v>
      </c>
      <c r="R362" t="s">
        <v>780</v>
      </c>
      <c r="S362" t="s">
        <v>784</v>
      </c>
      <c r="T362">
        <v>18428.525248</v>
      </c>
      <c r="U362" s="2">
        <v>44496</v>
      </c>
      <c r="V362" t="s">
        <v>803</v>
      </c>
    </row>
    <row r="363" spans="1:22">
      <c r="A363" s="1" t="s">
        <v>383</v>
      </c>
      <c r="B363">
        <f>HYPERLINK("https://www.suredividend.com/sure-analysis-PGR/","Progressive Corp.")</f>
        <v>0</v>
      </c>
      <c r="C363">
        <v>103.32</v>
      </c>
      <c r="D363">
        <v>96</v>
      </c>
      <c r="E363">
        <v>1.07625</v>
      </c>
      <c r="F363">
        <v>0.0183894696089818</v>
      </c>
      <c r="G363">
        <v>-0.01458908809266646</v>
      </c>
      <c r="H363">
        <v>0.08</v>
      </c>
      <c r="I363">
        <v>0.0782077345676484</v>
      </c>
      <c r="J363" t="s">
        <v>345</v>
      </c>
      <c r="K363" t="s">
        <v>523</v>
      </c>
      <c r="L363">
        <v>7.7</v>
      </c>
      <c r="M363">
        <v>1.9</v>
      </c>
      <c r="N363">
        <v>0.2467532467532467</v>
      </c>
      <c r="O363">
        <v>4</v>
      </c>
      <c r="P363">
        <v>0</v>
      </c>
      <c r="Q363">
        <v>0.09733734480127601</v>
      </c>
      <c r="R363" t="s">
        <v>780</v>
      </c>
      <c r="S363" t="s">
        <v>789</v>
      </c>
      <c r="T363">
        <v>59237.693449</v>
      </c>
      <c r="U363" s="2">
        <v>44494</v>
      </c>
      <c r="V363" t="s">
        <v>796</v>
      </c>
    </row>
    <row r="364" spans="1:22">
      <c r="A364" s="1" t="s">
        <v>384</v>
      </c>
      <c r="B364">
        <f>HYPERLINK("https://www.suredividend.com/sure-analysis-WRK/","WestRock Co")</f>
        <v>0</v>
      </c>
      <c r="C364">
        <v>43.76</v>
      </c>
      <c r="D364">
        <v>52</v>
      </c>
      <c r="E364">
        <v>0.8415384615384615</v>
      </c>
      <c r="F364">
        <v>0.02285191956124314</v>
      </c>
      <c r="G364">
        <v>0.03510690588518739</v>
      </c>
      <c r="H364">
        <v>0.02</v>
      </c>
      <c r="I364">
        <v>0.07815330391027131</v>
      </c>
      <c r="J364" t="s">
        <v>345</v>
      </c>
      <c r="K364" t="s">
        <v>523</v>
      </c>
      <c r="L364">
        <v>4.7</v>
      </c>
      <c r="M364">
        <v>1</v>
      </c>
      <c r="N364">
        <v>0.2127659574468085</v>
      </c>
      <c r="O364">
        <v>1</v>
      </c>
      <c r="P364">
        <v>0.08009875865888949</v>
      </c>
      <c r="Q364">
        <v>-0.01552945055096</v>
      </c>
      <c r="R364" t="s">
        <v>780</v>
      </c>
      <c r="S364" t="s">
        <v>788</v>
      </c>
      <c r="T364">
        <v>11395.066349</v>
      </c>
      <c r="U364" s="2">
        <v>44524</v>
      </c>
      <c r="V364" t="s">
        <v>803</v>
      </c>
    </row>
    <row r="365" spans="1:22">
      <c r="A365" s="1" t="s">
        <v>385</v>
      </c>
      <c r="B365">
        <f>HYPERLINK("https://www.suredividend.com/sure-analysis-HPE/","Hewlett Packard Enterprise Co")</f>
        <v>0</v>
      </c>
      <c r="C365">
        <v>15.92</v>
      </c>
      <c r="D365">
        <v>15.23</v>
      </c>
      <c r="E365">
        <v>1.045305318450427</v>
      </c>
      <c r="F365">
        <v>0.03015075376884422</v>
      </c>
      <c r="G365">
        <v>-0.008822652660270935</v>
      </c>
      <c r="H365">
        <v>0.06</v>
      </c>
      <c r="I365">
        <v>0.07784004839535674</v>
      </c>
      <c r="J365" t="s">
        <v>345</v>
      </c>
      <c r="K365" t="s">
        <v>345</v>
      </c>
      <c r="L365">
        <v>2.03</v>
      </c>
      <c r="M365">
        <v>0.48</v>
      </c>
      <c r="N365">
        <v>0.2364532019704434</v>
      </c>
      <c r="O365">
        <v>0</v>
      </c>
      <c r="P365">
        <v>0.04910201101938982</v>
      </c>
      <c r="Q365">
        <v>0.3833662497256961</v>
      </c>
      <c r="R365" t="s">
        <v>780</v>
      </c>
      <c r="S365" t="s">
        <v>787</v>
      </c>
      <c r="T365">
        <v>20384.612934</v>
      </c>
      <c r="U365" s="2">
        <v>44534</v>
      </c>
      <c r="V365" t="s">
        <v>796</v>
      </c>
    </row>
    <row r="366" spans="1:22">
      <c r="A366" s="1" t="s">
        <v>386</v>
      </c>
      <c r="B366">
        <f>HYPERLINK("https://www.suredividend.com/sure-analysis-PDCO/","Patterson Companies Inc.")</f>
        <v>0</v>
      </c>
      <c r="C366">
        <v>29.51</v>
      </c>
      <c r="D366">
        <v>31</v>
      </c>
      <c r="E366">
        <v>0.9519354838709678</v>
      </c>
      <c r="F366">
        <v>0.03524229074889867</v>
      </c>
      <c r="G366">
        <v>0.009900289897578407</v>
      </c>
      <c r="H366">
        <v>0.04</v>
      </c>
      <c r="I366">
        <v>0.07778092029390193</v>
      </c>
      <c r="J366" t="s">
        <v>345</v>
      </c>
      <c r="K366" t="s">
        <v>777</v>
      </c>
      <c r="L366">
        <v>2.05</v>
      </c>
      <c r="M366">
        <v>1.04</v>
      </c>
      <c r="N366">
        <v>0.5073170731707317</v>
      </c>
      <c r="O366">
        <v>0</v>
      </c>
      <c r="P366">
        <v>0</v>
      </c>
      <c r="Q366">
        <v>-0.059772534020531</v>
      </c>
      <c r="R366" t="s">
        <v>780</v>
      </c>
      <c r="S366" t="s">
        <v>785</v>
      </c>
      <c r="T366">
        <v>2813.73456</v>
      </c>
      <c r="U366" s="2">
        <v>44545</v>
      </c>
      <c r="V366" t="s">
        <v>801</v>
      </c>
    </row>
    <row r="367" spans="1:22">
      <c r="A367" s="1" t="s">
        <v>387</v>
      </c>
      <c r="B367">
        <f>HYPERLINK("https://www.suredividend.com/sure-analysis-ALE/","Allete, Inc.")</f>
        <v>0</v>
      </c>
      <c r="C367">
        <v>64.94</v>
      </c>
      <c r="D367">
        <v>63</v>
      </c>
      <c r="E367">
        <v>1.030793650793651</v>
      </c>
      <c r="F367">
        <v>0.03880505081613798</v>
      </c>
      <c r="G367">
        <v>-0.00604744818418812</v>
      </c>
      <c r="H367">
        <v>0.05</v>
      </c>
      <c r="I367">
        <v>0.07718745410842409</v>
      </c>
      <c r="J367" t="s">
        <v>345</v>
      </c>
      <c r="K367" t="s">
        <v>777</v>
      </c>
      <c r="L367">
        <v>3.15</v>
      </c>
      <c r="M367">
        <v>2.52</v>
      </c>
      <c r="N367">
        <v>0.8</v>
      </c>
      <c r="O367">
        <v>10</v>
      </c>
      <c r="P367">
        <v>0.02990332946790675</v>
      </c>
      <c r="Q367">
        <v>0.107371509260655</v>
      </c>
      <c r="R367" t="s">
        <v>780</v>
      </c>
      <c r="S367" t="s">
        <v>792</v>
      </c>
      <c r="T367">
        <v>3397.232753</v>
      </c>
      <c r="U367" s="2">
        <v>44513</v>
      </c>
      <c r="V367" t="s">
        <v>795</v>
      </c>
    </row>
    <row r="368" spans="1:22">
      <c r="A368" s="1" t="s">
        <v>388</v>
      </c>
      <c r="B368">
        <f>HYPERLINK("https://www.suredividend.com/sure-analysis-OKE/","Oneok Inc.")</f>
        <v>0</v>
      </c>
      <c r="C368">
        <v>59.41</v>
      </c>
      <c r="D368">
        <v>57</v>
      </c>
      <c r="E368">
        <v>1.042280701754386</v>
      </c>
      <c r="F368">
        <v>0.06295236492173036</v>
      </c>
      <c r="G368">
        <v>-0.008248055492635076</v>
      </c>
      <c r="H368">
        <v>0.03</v>
      </c>
      <c r="I368">
        <v>0.0766145301932466</v>
      </c>
      <c r="J368" t="s">
        <v>345</v>
      </c>
      <c r="K368" t="s">
        <v>776</v>
      </c>
      <c r="L368">
        <v>5.15</v>
      </c>
      <c r="M368">
        <v>3.74</v>
      </c>
      <c r="N368">
        <v>0.7262135922330097</v>
      </c>
      <c r="O368">
        <v>18</v>
      </c>
      <c r="P368">
        <v>0.02003644710053942</v>
      </c>
      <c r="Q368">
        <v>0.608369509172862</v>
      </c>
      <c r="R368" t="s">
        <v>780</v>
      </c>
      <c r="S368" t="s">
        <v>793</v>
      </c>
      <c r="T368">
        <v>25873.247508</v>
      </c>
      <c r="U368" s="2">
        <v>44506</v>
      </c>
      <c r="V368" t="s">
        <v>798</v>
      </c>
    </row>
    <row r="369" spans="1:22">
      <c r="A369" s="1" t="s">
        <v>389</v>
      </c>
      <c r="B369">
        <f>HYPERLINK("https://www.suredividend.com/sure-analysis-CPB/","Campbell Soup Co.")</f>
        <v>0</v>
      </c>
      <c r="C369">
        <v>42.18</v>
      </c>
      <c r="D369">
        <v>46</v>
      </c>
      <c r="E369">
        <v>0.9169565217391304</v>
      </c>
      <c r="F369">
        <v>0.03508771929824561</v>
      </c>
      <c r="G369">
        <v>0.01749023810408734</v>
      </c>
      <c r="H369">
        <v>0.025</v>
      </c>
      <c r="I369">
        <v>0.07220467265268593</v>
      </c>
      <c r="J369" t="s">
        <v>345</v>
      </c>
      <c r="K369" t="s">
        <v>777</v>
      </c>
      <c r="L369">
        <v>2.8</v>
      </c>
      <c r="M369">
        <v>1.48</v>
      </c>
      <c r="N369">
        <v>0.5285714285714286</v>
      </c>
      <c r="O369">
        <v>0</v>
      </c>
      <c r="P369">
        <v>0.01444167341264735</v>
      </c>
      <c r="Q369">
        <v>-0.107583414152757</v>
      </c>
      <c r="R369" t="s">
        <v>780</v>
      </c>
      <c r="S369" t="s">
        <v>791</v>
      </c>
      <c r="T369">
        <v>12660.921361</v>
      </c>
      <c r="U369" s="2">
        <v>44546</v>
      </c>
      <c r="V369" t="s">
        <v>795</v>
      </c>
    </row>
    <row r="370" spans="1:22">
      <c r="A370" s="1" t="s">
        <v>390</v>
      </c>
      <c r="B370">
        <f>HYPERLINK("https://www.suredividend.com/sure-analysis-NAVI/","Navient Corp")</f>
        <v>0</v>
      </c>
      <c r="C370">
        <v>21.55</v>
      </c>
      <c r="D370">
        <v>26</v>
      </c>
      <c r="E370">
        <v>0.8288461538461539</v>
      </c>
      <c r="F370">
        <v>0.02969837587006961</v>
      </c>
      <c r="G370">
        <v>0.03825782922942333</v>
      </c>
      <c r="H370">
        <v>0.01</v>
      </c>
      <c r="I370">
        <v>0.07212461859494512</v>
      </c>
      <c r="J370" t="s">
        <v>345</v>
      </c>
      <c r="K370" t="s">
        <v>345</v>
      </c>
      <c r="L370">
        <v>4.35</v>
      </c>
      <c r="M370">
        <v>0.64</v>
      </c>
      <c r="N370">
        <v>0.1471264367816092</v>
      </c>
      <c r="O370">
        <v>0</v>
      </c>
      <c r="P370">
        <v>0</v>
      </c>
      <c r="Q370">
        <v>1.29924101693116</v>
      </c>
      <c r="R370" t="s">
        <v>780</v>
      </c>
      <c r="S370" t="s">
        <v>789</v>
      </c>
      <c r="T370">
        <v>3490.993578</v>
      </c>
      <c r="U370" s="2">
        <v>44505</v>
      </c>
      <c r="V370" t="s">
        <v>798</v>
      </c>
    </row>
    <row r="371" spans="1:22">
      <c r="A371" s="1" t="s">
        <v>391</v>
      </c>
      <c r="B371">
        <f>HYPERLINK("https://www.suredividend.com/sure-analysis-LRCX/","Lam Research Corp.")</f>
        <v>0</v>
      </c>
      <c r="C371">
        <v>723.4</v>
      </c>
      <c r="D371">
        <v>615</v>
      </c>
      <c r="E371">
        <v>1.176260162601626</v>
      </c>
      <c r="F371">
        <v>0.007188277578103401</v>
      </c>
      <c r="G371">
        <v>-0.0319465829665615</v>
      </c>
      <c r="H371">
        <v>0.1</v>
      </c>
      <c r="I371">
        <v>0.07205421268804768</v>
      </c>
      <c r="J371" t="s">
        <v>345</v>
      </c>
      <c r="K371" t="s">
        <v>778</v>
      </c>
      <c r="L371">
        <v>34.16</v>
      </c>
      <c r="M371">
        <v>5.2</v>
      </c>
      <c r="N371">
        <v>0.1522248243559719</v>
      </c>
      <c r="O371">
        <v>7</v>
      </c>
      <c r="P371">
        <v>0.08997698704834534</v>
      </c>
      <c r="Q371">
        <v>0.467890525013718</v>
      </c>
      <c r="R371" t="s">
        <v>780</v>
      </c>
      <c r="S371" t="s">
        <v>787</v>
      </c>
      <c r="T371">
        <v>98378.86556799999</v>
      </c>
      <c r="U371" s="2">
        <v>44499</v>
      </c>
      <c r="V371" t="s">
        <v>799</v>
      </c>
    </row>
    <row r="372" spans="1:22">
      <c r="A372" s="1" t="s">
        <v>392</v>
      </c>
      <c r="B372">
        <f>HYPERLINK("https://www.suredividend.com/sure-analysis-KSS/","Kohl`s Corp.")</f>
        <v>0</v>
      </c>
      <c r="C372">
        <v>50.8</v>
      </c>
      <c r="D372">
        <v>80</v>
      </c>
      <c r="E372">
        <v>0.635</v>
      </c>
      <c r="F372">
        <v>0.01968503937007874</v>
      </c>
      <c r="G372">
        <v>0.09507850637475568</v>
      </c>
      <c r="H372">
        <v>-0.04</v>
      </c>
      <c r="I372">
        <v>0.07095325330223723</v>
      </c>
      <c r="J372" t="s">
        <v>345</v>
      </c>
      <c r="K372" t="s">
        <v>523</v>
      </c>
      <c r="L372">
        <v>7.3</v>
      </c>
      <c r="M372">
        <v>1</v>
      </c>
      <c r="N372">
        <v>0.136986301369863</v>
      </c>
      <c r="O372">
        <v>0</v>
      </c>
      <c r="P372">
        <v>0.08009875865888949</v>
      </c>
      <c r="Q372">
        <v>0.307426201665086</v>
      </c>
      <c r="R372" t="s">
        <v>780</v>
      </c>
      <c r="S372" t="s">
        <v>788</v>
      </c>
      <c r="T372">
        <v>6984.343182</v>
      </c>
      <c r="U372" s="2">
        <v>44535</v>
      </c>
      <c r="V372" t="s">
        <v>802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24.863</v>
      </c>
      <c r="D373">
        <v>26</v>
      </c>
      <c r="E373">
        <v>0.9562692307692308</v>
      </c>
      <c r="F373">
        <v>0.04142702006998351</v>
      </c>
      <c r="G373">
        <v>0.00898326619218337</v>
      </c>
      <c r="H373">
        <v>0.025</v>
      </c>
      <c r="I373">
        <v>0.0706609435215837</v>
      </c>
      <c r="J373" t="s">
        <v>345</v>
      </c>
      <c r="K373" t="s">
        <v>777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0.189818307632425</v>
      </c>
      <c r="R373" t="s">
        <v>780</v>
      </c>
      <c r="S373" t="s">
        <v>789</v>
      </c>
      <c r="T373">
        <v>27441.599612</v>
      </c>
      <c r="U373" s="2">
        <v>44507</v>
      </c>
      <c r="V373" t="s">
        <v>797</v>
      </c>
    </row>
    <row r="374" spans="1:22">
      <c r="A374" s="1" t="s">
        <v>394</v>
      </c>
      <c r="B374">
        <f>HYPERLINK("https://www.suredividend.com/sure-analysis-R/","Ryder System, Inc.")</f>
        <v>0</v>
      </c>
      <c r="C374">
        <v>80.31999999999999</v>
      </c>
      <c r="D374">
        <v>101</v>
      </c>
      <c r="E374">
        <v>0.7952475247524752</v>
      </c>
      <c r="F374">
        <v>0.02888446215139442</v>
      </c>
      <c r="G374">
        <v>0.04688634415418758</v>
      </c>
      <c r="H374">
        <v>0</v>
      </c>
      <c r="I374">
        <v>0.07057805165945497</v>
      </c>
      <c r="J374" t="s">
        <v>345</v>
      </c>
      <c r="K374" t="s">
        <v>345</v>
      </c>
      <c r="L374">
        <v>8.449999999999999</v>
      </c>
      <c r="M374">
        <v>2.32</v>
      </c>
      <c r="N374">
        <v>0.2745562130177515</v>
      </c>
      <c r="O374">
        <v>17</v>
      </c>
      <c r="P374">
        <v>0.01013720758985226</v>
      </c>
      <c r="Q374">
        <v>0.276920328861296</v>
      </c>
      <c r="R374" t="s">
        <v>780</v>
      </c>
      <c r="S374" t="s">
        <v>786</v>
      </c>
      <c r="T374">
        <v>4260.560419</v>
      </c>
      <c r="U374" s="2">
        <v>44497</v>
      </c>
      <c r="V374" t="s">
        <v>800</v>
      </c>
    </row>
    <row r="375" spans="1:22">
      <c r="A375" s="1" t="s">
        <v>395</v>
      </c>
      <c r="B375">
        <f>HYPERLINK("https://www.suredividend.com/sure-analysis-COLD/","Americold Realty Trust")</f>
        <v>0</v>
      </c>
      <c r="C375">
        <v>32.5</v>
      </c>
      <c r="D375">
        <v>30</v>
      </c>
      <c r="E375">
        <v>1.083333333333333</v>
      </c>
      <c r="F375">
        <v>0.02707692307692308</v>
      </c>
      <c r="G375">
        <v>-0.01588108586647574</v>
      </c>
      <c r="H375">
        <v>0.06</v>
      </c>
      <c r="I375">
        <v>0.06813541170906401</v>
      </c>
      <c r="J375" t="s">
        <v>345</v>
      </c>
      <c r="K375" t="s">
        <v>345</v>
      </c>
      <c r="L375">
        <v>1.18</v>
      </c>
      <c r="M375">
        <v>0.88</v>
      </c>
      <c r="N375">
        <v>0.7457627118644068</v>
      </c>
      <c r="O375">
        <v>3</v>
      </c>
      <c r="P375">
        <v>0.04563955259127317</v>
      </c>
      <c r="Q375">
        <v>-0.100134022592379</v>
      </c>
      <c r="R375" t="s">
        <v>782</v>
      </c>
      <c r="S375" t="s">
        <v>794</v>
      </c>
      <c r="T375">
        <v>8525.952101000001</v>
      </c>
      <c r="U375" s="2">
        <v>44513</v>
      </c>
      <c r="V375" t="s">
        <v>796</v>
      </c>
    </row>
    <row r="376" spans="1:22">
      <c r="A376" s="1" t="s">
        <v>396</v>
      </c>
      <c r="B376">
        <f>HYPERLINK("https://www.suredividend.com/sure-analysis-HUN/","Huntsman Corp")</f>
        <v>0</v>
      </c>
      <c r="C376">
        <v>33.58</v>
      </c>
      <c r="D376">
        <v>33</v>
      </c>
      <c r="E376">
        <v>1.017575757575758</v>
      </c>
      <c r="F376">
        <v>0.02233472304943419</v>
      </c>
      <c r="G376">
        <v>-0.003478553801045559</v>
      </c>
      <c r="H376">
        <v>0.05</v>
      </c>
      <c r="I376">
        <v>0.06767660743540049</v>
      </c>
      <c r="J376" t="s">
        <v>345</v>
      </c>
      <c r="K376" t="s">
        <v>523</v>
      </c>
      <c r="L376">
        <v>3.47</v>
      </c>
      <c r="M376">
        <v>0.75</v>
      </c>
      <c r="N376">
        <v>0.2161383285302594</v>
      </c>
      <c r="O376">
        <v>1</v>
      </c>
      <c r="P376">
        <v>0.05922384104881218</v>
      </c>
      <c r="Q376">
        <v>0.3192569739041</v>
      </c>
      <c r="R376" t="s">
        <v>780</v>
      </c>
      <c r="S376" t="s">
        <v>790</v>
      </c>
      <c r="T376">
        <v>7160.129961</v>
      </c>
      <c r="U376" s="2">
        <v>44503</v>
      </c>
      <c r="V376" t="s">
        <v>796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80.2</v>
      </c>
      <c r="D377">
        <v>65</v>
      </c>
      <c r="E377">
        <v>1.233846153846154</v>
      </c>
      <c r="F377">
        <v>0.02144638403990025</v>
      </c>
      <c r="G377">
        <v>-0.04115634730974227</v>
      </c>
      <c r="H377">
        <v>0.09</v>
      </c>
      <c r="I377">
        <v>0.06668361937090195</v>
      </c>
      <c r="J377" t="s">
        <v>345</v>
      </c>
      <c r="K377" t="s">
        <v>523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0.147754227561405</v>
      </c>
      <c r="R377" t="s">
        <v>780</v>
      </c>
      <c r="S377" t="s">
        <v>788</v>
      </c>
      <c r="T377">
        <v>23909.861592</v>
      </c>
      <c r="U377" s="2">
        <v>44520</v>
      </c>
      <c r="V377" t="s">
        <v>804</v>
      </c>
    </row>
    <row r="378" spans="1:22">
      <c r="A378" s="1" t="s">
        <v>398</v>
      </c>
      <c r="B378">
        <f>HYPERLINK("https://www.suredividend.com/sure-analysis-NLSN/","Nielsen Holdings plc")</f>
        <v>0</v>
      </c>
      <c r="C378">
        <v>21.21</v>
      </c>
      <c r="D378">
        <v>24</v>
      </c>
      <c r="E378">
        <v>0.88375</v>
      </c>
      <c r="F378">
        <v>0.01131541725601131</v>
      </c>
      <c r="G378">
        <v>0.02502419004343537</v>
      </c>
      <c r="H378">
        <v>0.03</v>
      </c>
      <c r="I378">
        <v>0.06600732134802012</v>
      </c>
      <c r="J378" t="s">
        <v>345</v>
      </c>
      <c r="K378" t="s">
        <v>778</v>
      </c>
      <c r="L378">
        <v>1.68</v>
      </c>
      <c r="M378">
        <v>0.24</v>
      </c>
      <c r="N378">
        <v>0.1428571428571428</v>
      </c>
      <c r="O378">
        <v>0</v>
      </c>
      <c r="P378">
        <v>0.04563955259127317</v>
      </c>
      <c r="Q378">
        <v>0.04581401013008</v>
      </c>
      <c r="R378" t="s">
        <v>780</v>
      </c>
      <c r="S378" t="s">
        <v>786</v>
      </c>
      <c r="T378">
        <v>7551.83338</v>
      </c>
      <c r="U378" s="2">
        <v>44504</v>
      </c>
      <c r="V378" t="s">
        <v>798</v>
      </c>
    </row>
    <row r="379" spans="1:22">
      <c r="A379" s="1" t="s">
        <v>399</v>
      </c>
      <c r="B379">
        <f>HYPERLINK("https://www.suredividend.com/sure-analysis-WFC/","Wells Fargo &amp; Co.")</f>
        <v>0</v>
      </c>
      <c r="C379">
        <v>48.77</v>
      </c>
      <c r="D379">
        <v>50</v>
      </c>
      <c r="E379">
        <v>0.9754</v>
      </c>
      <c r="F379">
        <v>0.01640352675825302</v>
      </c>
      <c r="G379">
        <v>0.004993955576525488</v>
      </c>
      <c r="H379">
        <v>0.04</v>
      </c>
      <c r="I379">
        <v>0.06569662017091038</v>
      </c>
      <c r="J379" t="s">
        <v>345</v>
      </c>
      <c r="K379" t="s">
        <v>523</v>
      </c>
      <c r="L379">
        <v>4.35</v>
      </c>
      <c r="M379">
        <v>0.8</v>
      </c>
      <c r="N379">
        <v>0.1839080459770115</v>
      </c>
      <c r="O379">
        <v>0</v>
      </c>
      <c r="P379">
        <v>0.1501306516611158</v>
      </c>
      <c r="Q379">
        <v>0.642730002581626</v>
      </c>
      <c r="R379" t="s">
        <v>780</v>
      </c>
      <c r="S379" t="s">
        <v>789</v>
      </c>
      <c r="T379">
        <v>198586.012409</v>
      </c>
      <c r="U379" s="2">
        <v>44485</v>
      </c>
      <c r="V379" t="s">
        <v>802</v>
      </c>
    </row>
    <row r="380" spans="1:22">
      <c r="A380" s="1" t="s">
        <v>400</v>
      </c>
      <c r="B380">
        <f>HYPERLINK("https://www.suredividend.com/sure-analysis-GE/","General Electric Co.")</f>
        <v>0</v>
      </c>
      <c r="C380">
        <v>94.62</v>
      </c>
      <c r="D380">
        <v>72</v>
      </c>
      <c r="E380">
        <v>1.314166666666667</v>
      </c>
      <c r="F380">
        <v>0.003381948848023673</v>
      </c>
      <c r="G380">
        <v>-0.05317457703254702</v>
      </c>
      <c r="H380">
        <v>0.12</v>
      </c>
      <c r="I380">
        <v>0.06310541798516356</v>
      </c>
      <c r="J380" t="s">
        <v>345</v>
      </c>
      <c r="K380" t="s">
        <v>778</v>
      </c>
      <c r="L380">
        <v>2</v>
      </c>
      <c r="M380">
        <v>0.32</v>
      </c>
      <c r="N380">
        <v>0.16</v>
      </c>
      <c r="O380">
        <v>0</v>
      </c>
      <c r="P380">
        <v>0</v>
      </c>
      <c r="Q380">
        <v>0.1067677671549</v>
      </c>
      <c r="R380" t="s">
        <v>780</v>
      </c>
      <c r="S380" t="s">
        <v>786</v>
      </c>
      <c r="T380">
        <v>103224.890032</v>
      </c>
      <c r="U380" s="2">
        <v>44500</v>
      </c>
      <c r="V380" t="s">
        <v>796</v>
      </c>
    </row>
    <row r="381" spans="1:22">
      <c r="A381" s="1" t="s">
        <v>401</v>
      </c>
      <c r="B381">
        <f>HYPERLINK("https://www.suredividend.com/sure-analysis-CFG/","Citizens Financial Group Inc")</f>
        <v>0</v>
      </c>
      <c r="C381">
        <v>47.2</v>
      </c>
      <c r="D381">
        <v>59</v>
      </c>
      <c r="E381">
        <v>0.8</v>
      </c>
      <c r="F381">
        <v>0.03305084745762712</v>
      </c>
      <c r="G381">
        <v>0.04563955259127317</v>
      </c>
      <c r="H381">
        <v>-0.02</v>
      </c>
      <c r="I381">
        <v>0.06212960104058496</v>
      </c>
      <c r="J381" t="s">
        <v>345</v>
      </c>
      <c r="K381" t="s">
        <v>345</v>
      </c>
      <c r="L381">
        <v>5.15</v>
      </c>
      <c r="M381">
        <v>1.56</v>
      </c>
      <c r="N381">
        <v>0.3029126213592233</v>
      </c>
      <c r="O381">
        <v>6</v>
      </c>
      <c r="P381">
        <v>0.09979014724923641</v>
      </c>
      <c r="Q381">
        <v>0.376824003921128</v>
      </c>
      <c r="R381" t="s">
        <v>780</v>
      </c>
      <c r="S381" t="s">
        <v>789</v>
      </c>
      <c r="T381">
        <v>19873.686229</v>
      </c>
      <c r="U381" s="2">
        <v>44492</v>
      </c>
      <c r="V381" t="s">
        <v>802</v>
      </c>
    </row>
    <row r="382" spans="1:22">
      <c r="A382" s="1" t="s">
        <v>402</v>
      </c>
      <c r="B382">
        <f>HYPERLINK("https://www.suredividend.com/sure-analysis-AEP/","American Electric Power Company Inc.")</f>
        <v>0</v>
      </c>
      <c r="C382">
        <v>87.08</v>
      </c>
      <c r="D382">
        <v>79.59999999999999</v>
      </c>
      <c r="E382">
        <v>1.093969849246231</v>
      </c>
      <c r="F382">
        <v>0.0358291226458429</v>
      </c>
      <c r="G382">
        <v>-0.01780226232439708</v>
      </c>
      <c r="H382">
        <v>0.049</v>
      </c>
      <c r="I382">
        <v>0.06193127407106158</v>
      </c>
      <c r="J382" t="s">
        <v>345</v>
      </c>
      <c r="K382" t="s">
        <v>777</v>
      </c>
      <c r="L382">
        <v>4.68</v>
      </c>
      <c r="M382">
        <v>3.12</v>
      </c>
      <c r="N382">
        <v>0.6666666666666667</v>
      </c>
      <c r="O382">
        <v>16</v>
      </c>
      <c r="P382">
        <v>0.01853111887485781</v>
      </c>
      <c r="Q382">
        <v>0.10078716715247</v>
      </c>
      <c r="R382" t="s">
        <v>780</v>
      </c>
      <c r="S382" t="s">
        <v>792</v>
      </c>
      <c r="T382">
        <v>43575.943094</v>
      </c>
      <c r="U382" s="2">
        <v>44503</v>
      </c>
      <c r="V382" t="s">
        <v>805</v>
      </c>
    </row>
    <row r="383" spans="1:22">
      <c r="A383" s="1" t="s">
        <v>403</v>
      </c>
      <c r="B383">
        <f>HYPERLINK("https://www.suredividend.com/sure-analysis-APLE/","Apple Hospitality REIT Inc")</f>
        <v>0</v>
      </c>
      <c r="C383">
        <v>16.33</v>
      </c>
      <c r="D383">
        <v>18.3</v>
      </c>
      <c r="E383">
        <v>0.8923497267759561</v>
      </c>
      <c r="F383">
        <v>0.002449479485609308</v>
      </c>
      <c r="G383">
        <v>0.02304086312249631</v>
      </c>
      <c r="H383">
        <v>0.018</v>
      </c>
      <c r="I383">
        <v>0.0610647559784343</v>
      </c>
      <c r="J383" t="s">
        <v>345</v>
      </c>
      <c r="K383" t="s">
        <v>778</v>
      </c>
      <c r="L383">
        <v>0.87</v>
      </c>
      <c r="M383">
        <v>0.04</v>
      </c>
      <c r="N383">
        <v>0.04597701149425287</v>
      </c>
      <c r="O383">
        <v>0</v>
      </c>
      <c r="P383">
        <v>0.888175022589804</v>
      </c>
      <c r="Q383">
        <v>0.232315399761291</v>
      </c>
      <c r="R383" t="s">
        <v>782</v>
      </c>
      <c r="S383" t="s">
        <v>794</v>
      </c>
      <c r="T383">
        <v>3701.621809</v>
      </c>
      <c r="U383" s="2">
        <v>44509</v>
      </c>
      <c r="V383" t="s">
        <v>805</v>
      </c>
    </row>
    <row r="384" spans="1:22">
      <c r="A384" s="1" t="s">
        <v>404</v>
      </c>
      <c r="B384">
        <f>HYPERLINK("https://www.suredividend.com/sure-analysis-PFE/","Pfizer Inc.")</f>
        <v>0</v>
      </c>
      <c r="C384">
        <v>59.2</v>
      </c>
      <c r="D384">
        <v>56</v>
      </c>
      <c r="E384">
        <v>1.057142857142857</v>
      </c>
      <c r="F384">
        <v>0.02702702702702703</v>
      </c>
      <c r="G384">
        <v>-0.01105243822972524</v>
      </c>
      <c r="H384">
        <v>0.05</v>
      </c>
      <c r="I384">
        <v>0.06098405546980046</v>
      </c>
      <c r="J384" t="s">
        <v>345</v>
      </c>
      <c r="K384" t="s">
        <v>523</v>
      </c>
      <c r="L384">
        <v>4.15</v>
      </c>
      <c r="M384">
        <v>1.6</v>
      </c>
      <c r="N384">
        <v>0.3855421686746988</v>
      </c>
      <c r="O384">
        <v>13</v>
      </c>
      <c r="P384">
        <v>0.004950737119488569</v>
      </c>
      <c r="Q384">
        <v>0.636898953343779</v>
      </c>
      <c r="R384" t="s">
        <v>780</v>
      </c>
      <c r="S384" t="s">
        <v>785</v>
      </c>
      <c r="T384">
        <v>329531.397969</v>
      </c>
      <c r="U384" s="2">
        <v>44504</v>
      </c>
      <c r="V384" t="s">
        <v>801</v>
      </c>
    </row>
    <row r="385" spans="1:22">
      <c r="A385" s="1" t="s">
        <v>405</v>
      </c>
      <c r="B385">
        <f>HYPERLINK("https://www.suredividend.com/sure-analysis-ESRT/","Empire State Realty Trust Inc")</f>
        <v>0</v>
      </c>
      <c r="C385">
        <v>8.94</v>
      </c>
      <c r="D385">
        <v>9.75</v>
      </c>
      <c r="E385">
        <v>0.9169230769230768</v>
      </c>
      <c r="F385">
        <v>0.0156599552572707</v>
      </c>
      <c r="G385">
        <v>0.01749766059747238</v>
      </c>
      <c r="H385">
        <v>0.02</v>
      </c>
      <c r="I385">
        <v>0.06097601831187527</v>
      </c>
      <c r="J385" t="s">
        <v>345</v>
      </c>
      <c r="K385" t="s">
        <v>523</v>
      </c>
      <c r="L385">
        <v>0.64</v>
      </c>
      <c r="M385">
        <v>0.14</v>
      </c>
      <c r="N385">
        <v>0.21875</v>
      </c>
      <c r="O385">
        <v>0</v>
      </c>
      <c r="P385">
        <v>0.2011244339814311</v>
      </c>
      <c r="Q385">
        <v>-0.038707204905467</v>
      </c>
      <c r="R385" t="s">
        <v>782</v>
      </c>
      <c r="S385" t="s">
        <v>794</v>
      </c>
      <c r="T385">
        <v>1556.872206</v>
      </c>
      <c r="U385" s="2">
        <v>44500</v>
      </c>
      <c r="V385" t="s">
        <v>796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158.16</v>
      </c>
      <c r="D386">
        <v>188</v>
      </c>
      <c r="E386">
        <v>0.8412765957446808</v>
      </c>
      <c r="F386">
        <v>0.02529084471421346</v>
      </c>
      <c r="G386">
        <v>0.03517133780924064</v>
      </c>
      <c r="H386">
        <v>0</v>
      </c>
      <c r="I386">
        <v>0.06068337833414295</v>
      </c>
      <c r="J386" t="s">
        <v>345</v>
      </c>
      <c r="K386" t="s">
        <v>345</v>
      </c>
      <c r="L386">
        <v>15</v>
      </c>
      <c r="M386">
        <v>4</v>
      </c>
      <c r="N386">
        <v>0.2666666666666667</v>
      </c>
      <c r="O386">
        <v>11</v>
      </c>
      <c r="P386">
        <v>0.06615002518126989</v>
      </c>
      <c r="Q386">
        <v>0.294644915270981</v>
      </c>
      <c r="R386" t="s">
        <v>780</v>
      </c>
      <c r="S386" t="s">
        <v>789</v>
      </c>
      <c r="T386">
        <v>464745.140753</v>
      </c>
      <c r="U386" s="2">
        <v>44485</v>
      </c>
      <c r="V386" t="s">
        <v>802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34.09</v>
      </c>
      <c r="D387">
        <v>35</v>
      </c>
      <c r="E387">
        <v>0.9740000000000001</v>
      </c>
      <c r="F387">
        <v>0.02258726899383983</v>
      </c>
      <c r="G387">
        <v>0.005282699577933148</v>
      </c>
      <c r="H387">
        <v>0.03</v>
      </c>
      <c r="I387">
        <v>0.06058143445976305</v>
      </c>
      <c r="J387" t="s">
        <v>345</v>
      </c>
      <c r="K387" t="s">
        <v>523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0.12821368948247</v>
      </c>
      <c r="R387" t="s">
        <v>780</v>
      </c>
      <c r="S387" t="s">
        <v>788</v>
      </c>
      <c r="T387">
        <v>61024.253019</v>
      </c>
      <c r="U387" s="2">
        <v>44518</v>
      </c>
      <c r="V387" t="s">
        <v>803</v>
      </c>
    </row>
    <row r="388" spans="1:22">
      <c r="A388" s="1" t="s">
        <v>408</v>
      </c>
      <c r="B388">
        <f>HYPERLINK("https://www.suredividend.com/sure-analysis-O/","Realty Income Corp.")</f>
        <v>0</v>
      </c>
      <c r="C388">
        <v>70.94</v>
      </c>
      <c r="D388">
        <v>64</v>
      </c>
      <c r="E388">
        <v>1.1084375</v>
      </c>
      <c r="F388">
        <v>0.04172540174795602</v>
      </c>
      <c r="G388">
        <v>-0.02037974096997364</v>
      </c>
      <c r="H388">
        <v>0.04</v>
      </c>
      <c r="I388">
        <v>0.05846785467339632</v>
      </c>
      <c r="J388" t="s">
        <v>345</v>
      </c>
      <c r="K388" t="s">
        <v>777</v>
      </c>
      <c r="L388">
        <v>3.58</v>
      </c>
      <c r="M388">
        <v>2.96</v>
      </c>
      <c r="N388">
        <v>0.8268156424581006</v>
      </c>
      <c r="O388">
        <v>26</v>
      </c>
      <c r="P388">
        <v>0.03408268602570064</v>
      </c>
      <c r="Q388">
        <v>0.182332313610144</v>
      </c>
      <c r="R388" t="s">
        <v>782</v>
      </c>
      <c r="S388" t="s">
        <v>794</v>
      </c>
      <c r="T388">
        <v>27979.61583</v>
      </c>
      <c r="U388" s="2">
        <v>44507</v>
      </c>
      <c r="V388" t="s">
        <v>798</v>
      </c>
    </row>
    <row r="389" spans="1:22">
      <c r="A389" s="1" t="s">
        <v>409</v>
      </c>
      <c r="B389">
        <f>HYPERLINK("https://www.suredividend.com/sure-analysis-BK/","Bank Of New York Mellon Corp")</f>
        <v>0</v>
      </c>
      <c r="C389">
        <v>58.52</v>
      </c>
      <c r="D389">
        <v>52</v>
      </c>
      <c r="E389">
        <v>1.125384615384615</v>
      </c>
      <c r="F389">
        <v>0.02323991797676008</v>
      </c>
      <c r="G389">
        <v>-0.02334808662645205</v>
      </c>
      <c r="H389">
        <v>0.06</v>
      </c>
      <c r="I389">
        <v>0.0583741224142964</v>
      </c>
      <c r="J389" t="s">
        <v>345</v>
      </c>
      <c r="K389" t="s">
        <v>523</v>
      </c>
      <c r="L389">
        <v>4.15</v>
      </c>
      <c r="M389">
        <v>1.36</v>
      </c>
      <c r="N389">
        <v>0.327710843373494</v>
      </c>
      <c r="O389">
        <v>11</v>
      </c>
      <c r="P389">
        <v>0.06000153927394081</v>
      </c>
      <c r="Q389">
        <v>0.4542151217351481</v>
      </c>
      <c r="R389" t="s">
        <v>780</v>
      </c>
      <c r="S389" t="s">
        <v>789</v>
      </c>
      <c r="T389">
        <v>47988.461971</v>
      </c>
      <c r="U389" s="2">
        <v>44491</v>
      </c>
      <c r="V389" t="s">
        <v>802</v>
      </c>
    </row>
    <row r="390" spans="1:22">
      <c r="A390" s="1" t="s">
        <v>410</v>
      </c>
      <c r="B390">
        <f>HYPERLINK("https://www.suredividend.com/sure-analysis-KEY/","Keycorp")</f>
        <v>0</v>
      </c>
      <c r="C390">
        <v>23.09</v>
      </c>
      <c r="D390">
        <v>26</v>
      </c>
      <c r="E390">
        <v>0.8880769230769231</v>
      </c>
      <c r="F390">
        <v>0.03378085751407536</v>
      </c>
      <c r="G390">
        <v>0.02402340513270484</v>
      </c>
      <c r="H390">
        <v>0</v>
      </c>
      <c r="I390">
        <v>0.05731315458113162</v>
      </c>
      <c r="J390" t="s">
        <v>345</v>
      </c>
      <c r="K390" t="s">
        <v>345</v>
      </c>
      <c r="L390">
        <v>2.4</v>
      </c>
      <c r="M390">
        <v>0.78</v>
      </c>
      <c r="N390">
        <v>0.325</v>
      </c>
      <c r="O390">
        <v>11</v>
      </c>
      <c r="P390">
        <v>0.0488372867840543</v>
      </c>
      <c r="Q390">
        <v>0.454103654442561</v>
      </c>
      <c r="R390" t="s">
        <v>780</v>
      </c>
      <c r="S390" t="s">
        <v>789</v>
      </c>
      <c r="T390">
        <v>21172.265401</v>
      </c>
      <c r="U390" s="2">
        <v>44490</v>
      </c>
      <c r="V390" t="s">
        <v>800</v>
      </c>
    </row>
    <row r="391" spans="1:22">
      <c r="A391" s="1" t="s">
        <v>411</v>
      </c>
      <c r="B391">
        <f>HYPERLINK("https://www.suredividend.com/sure-analysis-GIS/","General Mills, Inc.")</f>
        <v>0</v>
      </c>
      <c r="C391">
        <v>66.06</v>
      </c>
      <c r="D391">
        <v>65</v>
      </c>
      <c r="E391">
        <v>1.016307692307692</v>
      </c>
      <c r="F391">
        <v>0.03088101725703905</v>
      </c>
      <c r="G391">
        <v>-0.003230002295923962</v>
      </c>
      <c r="H391">
        <v>0.03</v>
      </c>
      <c r="I391">
        <v>0.05495738525988858</v>
      </c>
      <c r="J391" t="s">
        <v>345</v>
      </c>
      <c r="K391" t="s">
        <v>777</v>
      </c>
      <c r="L391">
        <v>3.8</v>
      </c>
      <c r="M391">
        <v>2.04</v>
      </c>
      <c r="N391">
        <v>0.5368421052631579</v>
      </c>
      <c r="O391">
        <v>1</v>
      </c>
      <c r="P391">
        <v>0.02428198329039355</v>
      </c>
      <c r="Q391">
        <v>0.144582701693892</v>
      </c>
      <c r="R391" t="s">
        <v>780</v>
      </c>
      <c r="S391" t="s">
        <v>791</v>
      </c>
      <c r="T391">
        <v>39805.610133</v>
      </c>
      <c r="U391" s="2">
        <v>44557</v>
      </c>
      <c r="V391" t="s">
        <v>803</v>
      </c>
    </row>
    <row r="392" spans="1:22">
      <c r="A392" s="1" t="s">
        <v>412</v>
      </c>
      <c r="B392">
        <f>HYPERLINK("https://www.suredividend.com/sure-analysis-ASML/","ASML Holding NV")</f>
        <v>0</v>
      </c>
      <c r="C392">
        <v>811.4299999999999</v>
      </c>
      <c r="D392">
        <v>583</v>
      </c>
      <c r="E392">
        <v>1.391818181818182</v>
      </c>
      <c r="F392">
        <v>0.005151399381339117</v>
      </c>
      <c r="G392">
        <v>-0.06398351209282072</v>
      </c>
      <c r="H392">
        <v>0.12</v>
      </c>
      <c r="I392">
        <v>0.05487176889088907</v>
      </c>
      <c r="J392" t="s">
        <v>345</v>
      </c>
      <c r="K392" t="s">
        <v>778</v>
      </c>
      <c r="L392">
        <v>15.75</v>
      </c>
      <c r="M392">
        <v>4.18</v>
      </c>
      <c r="N392">
        <v>0.2653968253968254</v>
      </c>
      <c r="O392">
        <v>6</v>
      </c>
      <c r="P392">
        <v>0.1500691206588143</v>
      </c>
      <c r="Q392">
        <v>0.668092805081395</v>
      </c>
      <c r="R392" t="s">
        <v>780</v>
      </c>
      <c r="S392" t="s">
        <v>787</v>
      </c>
      <c r="T392">
        <v>331246.147761</v>
      </c>
      <c r="U392" s="2">
        <v>44494</v>
      </c>
      <c r="V392" t="s">
        <v>802</v>
      </c>
    </row>
    <row r="393" spans="1:22">
      <c r="A393" s="1" t="s">
        <v>413</v>
      </c>
      <c r="B393">
        <f>HYPERLINK("https://www.suredividend.com/sure-analysis-GOLD/","Barrick Gold Corp.")</f>
        <v>0</v>
      </c>
      <c r="C393">
        <v>18.41</v>
      </c>
      <c r="D393">
        <v>22</v>
      </c>
      <c r="E393">
        <v>0.8368181818181818</v>
      </c>
      <c r="F393">
        <v>0.01955458989679522</v>
      </c>
      <c r="G393">
        <v>0.03627203521520705</v>
      </c>
      <c r="H393">
        <v>0</v>
      </c>
      <c r="I393">
        <v>0.05475828809134153</v>
      </c>
      <c r="J393" t="s">
        <v>345</v>
      </c>
      <c r="K393" t="s">
        <v>523</v>
      </c>
      <c r="L393">
        <v>1.2</v>
      </c>
      <c r="M393">
        <v>0.36</v>
      </c>
      <c r="N393">
        <v>0.3</v>
      </c>
      <c r="O393">
        <v>5</v>
      </c>
      <c r="P393">
        <v>0.04095039696925684</v>
      </c>
      <c r="Q393">
        <v>-0.172780606449371</v>
      </c>
      <c r="R393" t="s">
        <v>780</v>
      </c>
      <c r="S393" t="s">
        <v>790</v>
      </c>
      <c r="T393">
        <v>33025.74404</v>
      </c>
      <c r="U393" s="2">
        <v>44527</v>
      </c>
      <c r="V393" t="s">
        <v>802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298.43</v>
      </c>
      <c r="D394">
        <v>233</v>
      </c>
      <c r="E394">
        <v>1.280815450643777</v>
      </c>
      <c r="F394">
        <v>0.006835773883322722</v>
      </c>
      <c r="G394">
        <v>-0.04829426054348374</v>
      </c>
      <c r="H394">
        <v>0.1</v>
      </c>
      <c r="I394">
        <v>0.05463270266717646</v>
      </c>
      <c r="J394" t="s">
        <v>345</v>
      </c>
      <c r="K394" t="s">
        <v>778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0.3993908742161</v>
      </c>
      <c r="R394" t="s">
        <v>780</v>
      </c>
      <c r="S394" t="s">
        <v>789</v>
      </c>
      <c r="T394">
        <v>64427.398838</v>
      </c>
      <c r="U394" s="2">
        <v>44519</v>
      </c>
      <c r="V394" t="s">
        <v>802</v>
      </c>
    </row>
    <row r="395" spans="1:22">
      <c r="A395" s="1" t="s">
        <v>415</v>
      </c>
      <c r="B395">
        <f>HYPERLINK("https://www.suredividend.com/sure-analysis-PKX/","Posco")</f>
        <v>0</v>
      </c>
      <c r="C395">
        <v>60.43</v>
      </c>
      <c r="D395">
        <v>90</v>
      </c>
      <c r="E395">
        <v>0.6714444444444444</v>
      </c>
      <c r="F395">
        <v>0.0289591262617905</v>
      </c>
      <c r="G395">
        <v>0.08292401069226507</v>
      </c>
      <c r="H395">
        <v>-0.05</v>
      </c>
      <c r="I395">
        <v>0.05342089654091753</v>
      </c>
      <c r="J395" t="s">
        <v>345</v>
      </c>
      <c r="K395" t="s">
        <v>345</v>
      </c>
      <c r="L395">
        <v>9</v>
      </c>
      <c r="M395">
        <v>1.75</v>
      </c>
      <c r="N395">
        <v>0.1944444444444444</v>
      </c>
      <c r="O395">
        <v>0</v>
      </c>
      <c r="P395">
        <v>0</v>
      </c>
      <c r="Q395">
        <v>0.033555316863587</v>
      </c>
      <c r="R395" t="s">
        <v>780</v>
      </c>
      <c r="S395" t="s">
        <v>790</v>
      </c>
      <c r="T395">
        <v>20973.665028</v>
      </c>
      <c r="U395" s="2">
        <v>44509</v>
      </c>
      <c r="V395" t="s">
        <v>796</v>
      </c>
    </row>
    <row r="396" spans="1:22">
      <c r="A396" s="1" t="s">
        <v>416</v>
      </c>
      <c r="B396">
        <f>HYPERLINK("https://www.suredividend.com/sure-analysis-PNC/","PNC Financial Services Group")</f>
        <v>0</v>
      </c>
      <c r="C396">
        <v>201.07</v>
      </c>
      <c r="D396">
        <v>180</v>
      </c>
      <c r="E396">
        <v>1.117055555555555</v>
      </c>
      <c r="F396">
        <v>0.02486696175461282</v>
      </c>
      <c r="G396">
        <v>-0.02189597644413677</v>
      </c>
      <c r="H396">
        <v>0.05</v>
      </c>
      <c r="I396">
        <v>0.05177031764675011</v>
      </c>
      <c r="J396" t="s">
        <v>345</v>
      </c>
      <c r="K396" t="s">
        <v>523</v>
      </c>
      <c r="L396">
        <v>14.3</v>
      </c>
      <c r="M396">
        <v>5</v>
      </c>
      <c r="N396">
        <v>0.3496503496503496</v>
      </c>
      <c r="O396">
        <v>11</v>
      </c>
      <c r="P396">
        <v>0.05061112176150684</v>
      </c>
      <c r="Q396">
        <v>0.39059652396536</v>
      </c>
      <c r="R396" t="s">
        <v>780</v>
      </c>
      <c r="S396" t="s">
        <v>789</v>
      </c>
      <c r="T396">
        <v>83653.29493</v>
      </c>
      <c r="U396" s="2">
        <v>44490</v>
      </c>
      <c r="V396" t="s">
        <v>803</v>
      </c>
    </row>
    <row r="397" spans="1:22">
      <c r="A397" s="1" t="s">
        <v>417</v>
      </c>
      <c r="B397">
        <f>HYPERLINK("https://www.suredividend.com/sure-analysis-USB/","U.S. Bancorp.")</f>
        <v>0</v>
      </c>
      <c r="C397">
        <v>56.74</v>
      </c>
      <c r="D397">
        <v>62</v>
      </c>
      <c r="E397">
        <v>0.9151612903225806</v>
      </c>
      <c r="F397">
        <v>0.0324286217835742</v>
      </c>
      <c r="G397">
        <v>0.01788911835773987</v>
      </c>
      <c r="H397">
        <v>0</v>
      </c>
      <c r="I397">
        <v>0.0516531567811267</v>
      </c>
      <c r="J397" t="s">
        <v>345</v>
      </c>
      <c r="K397" t="s">
        <v>345</v>
      </c>
      <c r="L397">
        <v>5.15</v>
      </c>
      <c r="M397">
        <v>1.84</v>
      </c>
      <c r="N397">
        <v>0.3572815533980582</v>
      </c>
      <c r="O397">
        <v>10</v>
      </c>
      <c r="P397">
        <v>0.05979888147511248</v>
      </c>
      <c r="Q397">
        <v>0.250235904039787</v>
      </c>
      <c r="R397" t="s">
        <v>780</v>
      </c>
      <c r="S397" t="s">
        <v>789</v>
      </c>
      <c r="T397">
        <v>83496.337304</v>
      </c>
      <c r="U397" s="2">
        <v>44491</v>
      </c>
      <c r="V397" t="s">
        <v>802</v>
      </c>
    </row>
    <row r="398" spans="1:22">
      <c r="A398" s="1" t="s">
        <v>418</v>
      </c>
      <c r="B398">
        <f>HYPERLINK("https://www.suredividend.com/sure-analysis-BWA/","BorgWarner Inc")</f>
        <v>0</v>
      </c>
      <c r="C398">
        <v>44.34</v>
      </c>
      <c r="D398">
        <v>42</v>
      </c>
      <c r="E398">
        <v>1.055714285714286</v>
      </c>
      <c r="F398">
        <v>0.01533603969327921</v>
      </c>
      <c r="G398">
        <v>-0.01078493817387927</v>
      </c>
      <c r="H398">
        <v>0.05</v>
      </c>
      <c r="I398">
        <v>0.0515299885386975</v>
      </c>
      <c r="J398" t="s">
        <v>345</v>
      </c>
      <c r="K398" t="s">
        <v>523</v>
      </c>
      <c r="L398">
        <v>3.8</v>
      </c>
      <c r="M398">
        <v>0.68</v>
      </c>
      <c r="N398">
        <v>0.1789473684210527</v>
      </c>
      <c r="O398">
        <v>0</v>
      </c>
      <c r="P398">
        <v>0</v>
      </c>
      <c r="Q398">
        <v>0.136363636363636</v>
      </c>
      <c r="R398" t="s">
        <v>780</v>
      </c>
      <c r="S398" t="s">
        <v>786</v>
      </c>
      <c r="T398">
        <v>10458.823016</v>
      </c>
      <c r="U398" s="2">
        <v>44506</v>
      </c>
      <c r="V398" t="s">
        <v>797</v>
      </c>
    </row>
    <row r="399" spans="1:22">
      <c r="A399" s="1" t="s">
        <v>419</v>
      </c>
      <c r="B399">
        <f>HYPERLINK("https://www.suredividend.com/sure-analysis-SO/","Southern Company")</f>
        <v>0</v>
      </c>
      <c r="C399">
        <v>66.95999999999999</v>
      </c>
      <c r="D399">
        <v>56</v>
      </c>
      <c r="E399">
        <v>1.195714285714286</v>
      </c>
      <c r="F399">
        <v>0.03942652329749104</v>
      </c>
      <c r="G399">
        <v>-0.03511730738480945</v>
      </c>
      <c r="H399">
        <v>0.05</v>
      </c>
      <c r="I399">
        <v>0.05109651306852103</v>
      </c>
      <c r="J399" t="s">
        <v>345</v>
      </c>
      <c r="K399" t="s">
        <v>777</v>
      </c>
      <c r="L399">
        <v>3.38</v>
      </c>
      <c r="M399">
        <v>2.64</v>
      </c>
      <c r="N399">
        <v>0.7810650887573966</v>
      </c>
      <c r="O399">
        <v>20</v>
      </c>
      <c r="P399">
        <v>0.02996744995959233</v>
      </c>
      <c r="Q399">
        <v>0.159516258320844</v>
      </c>
      <c r="R399" t="s">
        <v>780</v>
      </c>
      <c r="S399" t="s">
        <v>792</v>
      </c>
      <c r="T399">
        <v>70519.353569</v>
      </c>
      <c r="U399" s="2">
        <v>44512</v>
      </c>
      <c r="V399" t="s">
        <v>803</v>
      </c>
    </row>
    <row r="400" spans="1:22">
      <c r="A400" s="1" t="s">
        <v>420</v>
      </c>
      <c r="B400">
        <f>HYPERLINK("https://www.suredividend.com/sure-analysis-HAL/","Halliburton Co.")</f>
        <v>0</v>
      </c>
      <c r="C400">
        <v>23.17</v>
      </c>
      <c r="D400">
        <v>14</v>
      </c>
      <c r="E400">
        <v>1.655</v>
      </c>
      <c r="F400">
        <v>0.007768666378938281</v>
      </c>
      <c r="G400">
        <v>-0.09585017957742414</v>
      </c>
      <c r="H400">
        <v>0.149</v>
      </c>
      <c r="I400">
        <v>0.05055185261602513</v>
      </c>
      <c r="J400" t="s">
        <v>345</v>
      </c>
      <c r="K400" t="s">
        <v>778</v>
      </c>
      <c r="L400">
        <v>1.1</v>
      </c>
      <c r="M400">
        <v>0.18</v>
      </c>
      <c r="N400">
        <v>0.1636363636363636</v>
      </c>
      <c r="O400">
        <v>0</v>
      </c>
      <c r="P400">
        <v>0.2011244339814313</v>
      </c>
      <c r="Q400">
        <v>0.189453616022794</v>
      </c>
      <c r="R400" t="s">
        <v>780</v>
      </c>
      <c r="S400" t="s">
        <v>793</v>
      </c>
      <c r="T400">
        <v>20223.240511</v>
      </c>
      <c r="U400" s="2">
        <v>44491</v>
      </c>
      <c r="V400" t="s">
        <v>803</v>
      </c>
    </row>
    <row r="401" spans="1:22">
      <c r="A401" s="1" t="s">
        <v>421</v>
      </c>
      <c r="B401">
        <f>HYPERLINK("https://www.suredividend.com/sure-analysis-MA/","Mastercard Incorporated")</f>
        <v>0</v>
      </c>
      <c r="C401">
        <v>360.31</v>
      </c>
      <c r="D401">
        <v>222</v>
      </c>
      <c r="E401">
        <v>1.623018018018018</v>
      </c>
      <c r="F401">
        <v>0.005439760206488856</v>
      </c>
      <c r="G401">
        <v>-0.09231463797822537</v>
      </c>
      <c r="H401">
        <v>0.15</v>
      </c>
      <c r="I401">
        <v>0.05038008146145811</v>
      </c>
      <c r="J401" t="s">
        <v>345</v>
      </c>
      <c r="K401" t="s">
        <v>778</v>
      </c>
      <c r="L401">
        <v>8.24</v>
      </c>
      <c r="M401">
        <v>1.96</v>
      </c>
      <c r="N401">
        <v>0.2378640776699029</v>
      </c>
      <c r="O401">
        <v>11</v>
      </c>
      <c r="P401">
        <v>0.1255102076739985</v>
      </c>
      <c r="Q401">
        <v>0.07714983369867601</v>
      </c>
      <c r="R401" t="s">
        <v>780</v>
      </c>
      <c r="S401" t="s">
        <v>789</v>
      </c>
      <c r="T401">
        <v>351460.607639</v>
      </c>
      <c r="U401" s="2">
        <v>44499</v>
      </c>
      <c r="V401" t="s">
        <v>797</v>
      </c>
    </row>
    <row r="402" spans="1:22">
      <c r="A402" s="1" t="s">
        <v>422</v>
      </c>
      <c r="B402">
        <f>HYPERLINK("https://www.suredividend.com/sure-analysis-CUBE/","CubeSmart")</f>
        <v>0</v>
      </c>
      <c r="C402">
        <v>56.3</v>
      </c>
      <c r="D402">
        <v>42</v>
      </c>
      <c r="E402">
        <v>1.34047619047619</v>
      </c>
      <c r="F402">
        <v>0.030550621669627</v>
      </c>
      <c r="G402">
        <v>-0.05692077243539528</v>
      </c>
      <c r="H402">
        <v>0.075</v>
      </c>
      <c r="I402">
        <v>0.04808479860661374</v>
      </c>
      <c r="J402" t="s">
        <v>345</v>
      </c>
      <c r="K402" t="s">
        <v>345</v>
      </c>
      <c r="L402">
        <v>2.1</v>
      </c>
      <c r="M402">
        <v>1.72</v>
      </c>
      <c r="N402">
        <v>0.819047619047619</v>
      </c>
      <c r="O402">
        <v>12</v>
      </c>
      <c r="P402">
        <v>0.08023542380212056</v>
      </c>
      <c r="Q402">
        <v>0.711598688387814</v>
      </c>
      <c r="R402" t="s">
        <v>782</v>
      </c>
      <c r="S402" t="s">
        <v>794</v>
      </c>
      <c r="T402">
        <v>12209.638343</v>
      </c>
      <c r="U402" s="2">
        <v>44507</v>
      </c>
      <c r="V402" t="s">
        <v>796</v>
      </c>
    </row>
    <row r="403" spans="1:22">
      <c r="A403" s="1" t="s">
        <v>423</v>
      </c>
      <c r="B403">
        <f>HYPERLINK("https://www.suredividend.com/sure-analysis-KLAC/","KLA Corp.")</f>
        <v>0</v>
      </c>
      <c r="C403">
        <v>440.17</v>
      </c>
      <c r="D403">
        <v>357</v>
      </c>
      <c r="E403">
        <v>1.23296918767507</v>
      </c>
      <c r="F403">
        <v>0.009541767953290774</v>
      </c>
      <c r="G403">
        <v>-0.04101998797098083</v>
      </c>
      <c r="H403">
        <v>0.08</v>
      </c>
      <c r="I403">
        <v>0.04660022578315304</v>
      </c>
      <c r="J403" t="s">
        <v>345</v>
      </c>
      <c r="K403" t="s">
        <v>523</v>
      </c>
      <c r="L403">
        <v>21</v>
      </c>
      <c r="M403">
        <v>4.2</v>
      </c>
      <c r="N403">
        <v>0.2</v>
      </c>
      <c r="O403">
        <v>12</v>
      </c>
      <c r="P403">
        <v>0.09986525071768737</v>
      </c>
      <c r="Q403">
        <v>0.6428621629430641</v>
      </c>
      <c r="R403" t="s">
        <v>780</v>
      </c>
      <c r="S403" t="s">
        <v>787</v>
      </c>
      <c r="T403">
        <v>63796.542145</v>
      </c>
      <c r="U403" s="2">
        <v>44508</v>
      </c>
      <c r="V403" t="s">
        <v>798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73.20999999999999</v>
      </c>
      <c r="D404">
        <v>74</v>
      </c>
      <c r="E404">
        <v>0.9893243243243243</v>
      </c>
      <c r="F404">
        <v>0.02513317852752357</v>
      </c>
      <c r="G404">
        <v>0.002148919534228355</v>
      </c>
      <c r="H404">
        <v>0.02</v>
      </c>
      <c r="I404">
        <v>0.04625894478175718</v>
      </c>
      <c r="J404" t="s">
        <v>345</v>
      </c>
      <c r="K404" t="s">
        <v>523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0.8585671880262221</v>
      </c>
      <c r="R404" t="s">
        <v>780</v>
      </c>
      <c r="S404" t="s">
        <v>793</v>
      </c>
      <c r="T404">
        <v>93895.827462</v>
      </c>
      <c r="U404" s="2">
        <v>44504</v>
      </c>
      <c r="V404" t="s">
        <v>803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183.13</v>
      </c>
      <c r="D405">
        <v>161</v>
      </c>
      <c r="E405">
        <v>1.137453416149068</v>
      </c>
      <c r="F405">
        <v>0.02293452738491782</v>
      </c>
      <c r="G405">
        <v>-0.0254294666449344</v>
      </c>
      <c r="H405">
        <v>0.045</v>
      </c>
      <c r="I405">
        <v>0.04271590517620494</v>
      </c>
      <c r="J405" t="s">
        <v>345</v>
      </c>
      <c r="K405" t="s">
        <v>345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0.4057020222966981</v>
      </c>
      <c r="R405" t="s">
        <v>782</v>
      </c>
      <c r="S405" t="s">
        <v>794</v>
      </c>
      <c r="T405">
        <v>4977.014987</v>
      </c>
      <c r="U405" s="2">
        <v>44513</v>
      </c>
      <c r="V405" t="s">
        <v>796</v>
      </c>
    </row>
    <row r="406" spans="1:22">
      <c r="A406" s="1" t="s">
        <v>426</v>
      </c>
      <c r="B406">
        <f>HYPERLINK("https://www.suredividend.com/sure-analysis-BUD/","Anheuser-Busch In Bev SA/NV")</f>
        <v>0</v>
      </c>
      <c r="C406">
        <v>60.69</v>
      </c>
      <c r="D406">
        <v>62</v>
      </c>
      <c r="E406">
        <v>0.9788709677419355</v>
      </c>
      <c r="F406">
        <v>0.009391992090954029</v>
      </c>
      <c r="G406">
        <v>0.004280223139812467</v>
      </c>
      <c r="H406">
        <v>0.03</v>
      </c>
      <c r="I406">
        <v>0.04248484131092356</v>
      </c>
      <c r="J406" t="s">
        <v>345</v>
      </c>
      <c r="K406" t="s">
        <v>778</v>
      </c>
      <c r="L406">
        <v>3.08</v>
      </c>
      <c r="M406">
        <v>0.57</v>
      </c>
      <c r="N406">
        <v>0.185064935064935</v>
      </c>
      <c r="O406">
        <v>0</v>
      </c>
      <c r="P406">
        <v>0</v>
      </c>
      <c r="Q406">
        <v>-0.131393058577011</v>
      </c>
      <c r="R406" t="s">
        <v>780</v>
      </c>
      <c r="S406" t="s">
        <v>791</v>
      </c>
      <c r="T406">
        <v>105564.810719</v>
      </c>
      <c r="U406" s="2">
        <v>44530</v>
      </c>
      <c r="V406" t="s">
        <v>801</v>
      </c>
    </row>
    <row r="407" spans="1:22">
      <c r="A407" s="1" t="s">
        <v>427</v>
      </c>
      <c r="B407">
        <f>HYPERLINK("https://www.suredividend.com/sure-analysis-HOG/","Harley-Davidson, Inc.")</f>
        <v>0</v>
      </c>
      <c r="C407">
        <v>36.4</v>
      </c>
      <c r="D407">
        <v>47</v>
      </c>
      <c r="E407">
        <v>0.774468085106383</v>
      </c>
      <c r="F407">
        <v>0.01648351648351648</v>
      </c>
      <c r="G407">
        <v>0.05244472292974534</v>
      </c>
      <c r="H407">
        <v>-0.036</v>
      </c>
      <c r="I407">
        <v>0.04101373387395668</v>
      </c>
      <c r="J407" t="s">
        <v>345</v>
      </c>
      <c r="K407" t="s">
        <v>523</v>
      </c>
      <c r="L407">
        <v>3.6</v>
      </c>
      <c r="M407">
        <v>0.6</v>
      </c>
      <c r="N407">
        <v>0.1666666666666667</v>
      </c>
      <c r="O407">
        <v>0</v>
      </c>
      <c r="P407">
        <v>0.2011244339814313</v>
      </c>
      <c r="Q407">
        <v>-0.008302456804785001</v>
      </c>
      <c r="R407" t="s">
        <v>780</v>
      </c>
      <c r="S407" t="s">
        <v>788</v>
      </c>
      <c r="T407">
        <v>5575.378786</v>
      </c>
      <c r="U407" s="2">
        <v>44503</v>
      </c>
      <c r="V407" t="s">
        <v>805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123.95</v>
      </c>
      <c r="D408">
        <v>94</v>
      </c>
      <c r="E408">
        <v>1.318617021276596</v>
      </c>
      <c r="F408">
        <v>0.02839854780153287</v>
      </c>
      <c r="G408">
        <v>-0.05381455193045448</v>
      </c>
      <c r="H408">
        <v>0.065</v>
      </c>
      <c r="I408">
        <v>0.04038722501689707</v>
      </c>
      <c r="J408" t="s">
        <v>345</v>
      </c>
      <c r="K408" t="s">
        <v>345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0.6899353127437671</v>
      </c>
      <c r="R408" t="s">
        <v>780</v>
      </c>
      <c r="S408" t="s">
        <v>789</v>
      </c>
      <c r="T408">
        <v>1230.890327</v>
      </c>
      <c r="U408" s="2">
        <v>44513</v>
      </c>
      <c r="V408" t="s">
        <v>795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95.28</v>
      </c>
      <c r="D409">
        <v>77</v>
      </c>
      <c r="E409">
        <v>1.237402597402598</v>
      </c>
      <c r="F409">
        <v>0.03054156171284635</v>
      </c>
      <c r="G409">
        <v>-0.04170814839624792</v>
      </c>
      <c r="H409">
        <v>0.052</v>
      </c>
      <c r="I409">
        <v>0.03917036119932304</v>
      </c>
      <c r="J409" t="s">
        <v>345</v>
      </c>
      <c r="K409" t="s">
        <v>777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0.09027575394901</v>
      </c>
      <c r="R409" t="s">
        <v>780</v>
      </c>
      <c r="S409" t="s">
        <v>792</v>
      </c>
      <c r="T409">
        <v>29855.878359</v>
      </c>
      <c r="U409" s="2">
        <v>44502</v>
      </c>
      <c r="V409" t="s">
        <v>797</v>
      </c>
    </row>
    <row r="410" spans="1:22">
      <c r="A410" s="1" t="s">
        <v>430</v>
      </c>
      <c r="B410">
        <f>HYPERLINK("https://www.suredividend.com/sure-analysis-WY/","Weyerhaeuser Co.")</f>
        <v>0</v>
      </c>
      <c r="C410">
        <v>39.66</v>
      </c>
      <c r="D410">
        <v>55.8</v>
      </c>
      <c r="E410">
        <v>0.710752688172043</v>
      </c>
      <c r="F410">
        <v>0.01714573877962683</v>
      </c>
      <c r="G410">
        <v>0.07067163654447084</v>
      </c>
      <c r="H410">
        <v>-0.053</v>
      </c>
      <c r="I410">
        <v>0.03783606623886482</v>
      </c>
      <c r="J410" t="s">
        <v>345</v>
      </c>
      <c r="K410" t="s">
        <v>523</v>
      </c>
      <c r="L410">
        <v>3.28</v>
      </c>
      <c r="M410">
        <v>0.68</v>
      </c>
      <c r="N410">
        <v>0.2073170731707317</v>
      </c>
      <c r="O410">
        <v>0</v>
      </c>
      <c r="P410">
        <v>0.1486983549970351</v>
      </c>
      <c r="Q410">
        <v>0.179674429396607</v>
      </c>
      <c r="R410" t="s">
        <v>782</v>
      </c>
      <c r="S410" t="s">
        <v>794</v>
      </c>
      <c r="T410">
        <v>28943.0988</v>
      </c>
      <c r="U410" s="2">
        <v>44506</v>
      </c>
      <c r="V410" t="s">
        <v>805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44.64</v>
      </c>
      <c r="D411">
        <v>39</v>
      </c>
      <c r="E411">
        <v>1.144615384615385</v>
      </c>
      <c r="F411">
        <v>0.01881720430107527</v>
      </c>
      <c r="G411">
        <v>-0.02665212690547836</v>
      </c>
      <c r="H411">
        <v>0.04</v>
      </c>
      <c r="I411">
        <v>0.03525261337088326</v>
      </c>
      <c r="J411" t="s">
        <v>345</v>
      </c>
      <c r="K411" t="s">
        <v>523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0.511187619284142</v>
      </c>
      <c r="R411" t="s">
        <v>780</v>
      </c>
      <c r="S411" t="s">
        <v>789</v>
      </c>
      <c r="T411">
        <v>363537.012701</v>
      </c>
      <c r="U411" s="2">
        <v>44485</v>
      </c>
      <c r="V411" t="s">
        <v>802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81.98</v>
      </c>
      <c r="D412">
        <v>62</v>
      </c>
      <c r="E412">
        <v>1.322258064516129</v>
      </c>
      <c r="F412">
        <v>0.05147596974871919</v>
      </c>
      <c r="G412">
        <v>-0.0543362206051281</v>
      </c>
      <c r="H412">
        <v>0.035</v>
      </c>
      <c r="I412">
        <v>0.03209954892338573</v>
      </c>
      <c r="J412" t="s">
        <v>345</v>
      </c>
      <c r="K412" t="s">
        <v>776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0.2163667007765</v>
      </c>
      <c r="R412" t="s">
        <v>782</v>
      </c>
      <c r="S412" t="s">
        <v>794</v>
      </c>
      <c r="T412">
        <v>15057.412913</v>
      </c>
      <c r="U412" s="2">
        <v>44533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34.84</v>
      </c>
      <c r="D413">
        <v>26</v>
      </c>
      <c r="E413">
        <v>1.34</v>
      </c>
      <c r="F413">
        <v>0.01377726750861079</v>
      </c>
      <c r="G413">
        <v>-0.05685375429745554</v>
      </c>
      <c r="H413">
        <v>0.075</v>
      </c>
      <c r="I413">
        <v>0.02939723069263267</v>
      </c>
      <c r="J413" t="s">
        <v>345</v>
      </c>
      <c r="K413" t="s">
        <v>778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0.018681295722016</v>
      </c>
      <c r="R413" t="s">
        <v>780</v>
      </c>
      <c r="S413" t="s">
        <v>786</v>
      </c>
      <c r="T413">
        <v>8072.430365</v>
      </c>
      <c r="U413" s="2">
        <v>44493</v>
      </c>
      <c r="V413" t="s">
        <v>795</v>
      </c>
    </row>
    <row r="414" spans="1:22">
      <c r="A414" s="1" t="s">
        <v>434</v>
      </c>
      <c r="B414">
        <f>HYPERLINK("https://www.suredividend.com/sure-analysis-DUK/","Duke Energy Corp.")</f>
        <v>0</v>
      </c>
      <c r="C414">
        <v>103.29</v>
      </c>
      <c r="D414">
        <v>78.3</v>
      </c>
      <c r="E414">
        <v>1.319157088122606</v>
      </c>
      <c r="F414">
        <v>0.03814502856036402</v>
      </c>
      <c r="G414">
        <v>-0.05389203884969518</v>
      </c>
      <c r="H414">
        <v>0.043</v>
      </c>
      <c r="I414">
        <v>0.02697975747453873</v>
      </c>
      <c r="J414" t="s">
        <v>345</v>
      </c>
      <c r="K414" t="s">
        <v>777</v>
      </c>
      <c r="L414">
        <v>5.22</v>
      </c>
      <c r="M414">
        <v>3.94</v>
      </c>
      <c r="N414">
        <v>0.7547892720306514</v>
      </c>
      <c r="O414">
        <v>10</v>
      </c>
      <c r="P414">
        <v>0.02693571566003095</v>
      </c>
      <c r="Q414">
        <v>0.193842614975611</v>
      </c>
      <c r="R414" t="s">
        <v>780</v>
      </c>
      <c r="S414" t="s">
        <v>792</v>
      </c>
      <c r="T414">
        <v>79218.69246599999</v>
      </c>
      <c r="U414" s="2">
        <v>44509</v>
      </c>
      <c r="V414" t="s">
        <v>805</v>
      </c>
    </row>
    <row r="415" spans="1:22">
      <c r="A415" s="1" t="s">
        <v>435</v>
      </c>
      <c r="B415">
        <f>HYPERLINK("https://www.suredividend.com/sure-analysis-PACW/","Pacwest Bancorp")</f>
        <v>0</v>
      </c>
      <c r="C415">
        <v>44.83</v>
      </c>
      <c r="D415">
        <v>50</v>
      </c>
      <c r="E415">
        <v>0.8966</v>
      </c>
      <c r="F415">
        <v>0.02230649118893598</v>
      </c>
      <c r="G415">
        <v>0.02206908715444023</v>
      </c>
      <c r="H415">
        <v>-0.02</v>
      </c>
      <c r="I415">
        <v>0.02615892707377965</v>
      </c>
      <c r="J415" t="s">
        <v>345</v>
      </c>
      <c r="K415" t="s">
        <v>523</v>
      </c>
      <c r="L415">
        <v>5</v>
      </c>
      <c r="M415">
        <v>1</v>
      </c>
      <c r="N415">
        <v>0.2</v>
      </c>
      <c r="O415">
        <v>0</v>
      </c>
      <c r="P415">
        <v>0.05061112176150684</v>
      </c>
      <c r="Q415">
        <v>0.80164386242437</v>
      </c>
      <c r="R415" t="s">
        <v>780</v>
      </c>
      <c r="S415" t="s">
        <v>789</v>
      </c>
      <c r="T415">
        <v>5181.622756</v>
      </c>
      <c r="U415" s="2">
        <v>44493</v>
      </c>
      <c r="V415" t="s">
        <v>802</v>
      </c>
    </row>
    <row r="416" spans="1:22">
      <c r="A416" s="1" t="s">
        <v>436</v>
      </c>
      <c r="B416">
        <f>HYPERLINK("https://www.suredividend.com/sure-analysis-GS/","Goldman Sachs Group, Inc.")</f>
        <v>0</v>
      </c>
      <c r="C416">
        <v>388.04</v>
      </c>
      <c r="D416">
        <v>671</v>
      </c>
      <c r="E416">
        <v>0.578301043219076</v>
      </c>
      <c r="F416">
        <v>0.02061643129574271</v>
      </c>
      <c r="G416">
        <v>0.1157559329589128</v>
      </c>
      <c r="H416">
        <v>-0.1</v>
      </c>
      <c r="I416">
        <v>0.02604462981891942</v>
      </c>
      <c r="J416" t="s">
        <v>345</v>
      </c>
      <c r="K416" t="s">
        <v>523</v>
      </c>
      <c r="L416">
        <v>61</v>
      </c>
      <c r="M416">
        <v>8</v>
      </c>
      <c r="N416">
        <v>0.1311475409836066</v>
      </c>
      <c r="O416">
        <v>10</v>
      </c>
      <c r="P416">
        <v>0.03993111034207586</v>
      </c>
      <c r="Q416">
        <v>0.52951032550557</v>
      </c>
      <c r="R416" t="s">
        <v>780</v>
      </c>
      <c r="S416" t="s">
        <v>789</v>
      </c>
      <c r="T416">
        <v>128908.689019</v>
      </c>
      <c r="U416" s="2">
        <v>44485</v>
      </c>
      <c r="V416" t="s">
        <v>802</v>
      </c>
    </row>
    <row r="417" spans="1:22">
      <c r="A417" s="1" t="s">
        <v>437</v>
      </c>
      <c r="B417">
        <f>HYPERLINK("https://www.suredividend.com/sure-analysis-NNN/","National Retail Properties Inc")</f>
        <v>0</v>
      </c>
      <c r="C417">
        <v>47.3</v>
      </c>
      <c r="D417">
        <v>39.1</v>
      </c>
      <c r="E417">
        <v>1.209718670076726</v>
      </c>
      <c r="F417">
        <v>0.04482029598308668</v>
      </c>
      <c r="G417">
        <v>-0.03736172971724772</v>
      </c>
      <c r="H417">
        <v>0.015</v>
      </c>
      <c r="I417">
        <v>0.02400335389865704</v>
      </c>
      <c r="J417" t="s">
        <v>345</v>
      </c>
      <c r="K417" t="s">
        <v>777</v>
      </c>
      <c r="L417">
        <v>2.79</v>
      </c>
      <c r="M417">
        <v>2.12</v>
      </c>
      <c r="N417">
        <v>0.7598566308243728</v>
      </c>
      <c r="O417">
        <v>21</v>
      </c>
      <c r="P417">
        <v>0.01643215369887963</v>
      </c>
      <c r="Q417">
        <v>0.153730336687181</v>
      </c>
      <c r="R417" t="s">
        <v>782</v>
      </c>
      <c r="S417" t="s">
        <v>794</v>
      </c>
      <c r="T417">
        <v>8141.599113</v>
      </c>
      <c r="U417" s="2">
        <v>44506</v>
      </c>
      <c r="V417" t="s">
        <v>805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173.89</v>
      </c>
      <c r="D418">
        <v>135</v>
      </c>
      <c r="E418">
        <v>1.288074074074074</v>
      </c>
      <c r="F418">
        <v>0.01230663062855829</v>
      </c>
      <c r="G418">
        <v>-0.04936930709149623</v>
      </c>
      <c r="H418">
        <v>0.062</v>
      </c>
      <c r="I418">
        <v>0.02333499772545378</v>
      </c>
      <c r="J418" t="s">
        <v>345</v>
      </c>
      <c r="K418" t="s">
        <v>778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0.504110135040995</v>
      </c>
      <c r="R418" t="s">
        <v>780</v>
      </c>
      <c r="S418" t="s">
        <v>789</v>
      </c>
      <c r="T418">
        <v>86120.00274900001</v>
      </c>
      <c r="U418" s="2">
        <v>44505</v>
      </c>
      <c r="V418" t="s">
        <v>795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43.7</v>
      </c>
      <c r="D419">
        <v>36</v>
      </c>
      <c r="E419">
        <v>1.213888888888889</v>
      </c>
      <c r="F419">
        <v>0.02745995423340961</v>
      </c>
      <c r="G419">
        <v>-0.03802405394424679</v>
      </c>
      <c r="H419">
        <v>0.03</v>
      </c>
      <c r="I419">
        <v>0.02018752919558864</v>
      </c>
      <c r="J419" t="s">
        <v>345</v>
      </c>
      <c r="K419" t="s">
        <v>345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0.6110510546455651</v>
      </c>
      <c r="R419" t="s">
        <v>780</v>
      </c>
      <c r="S419" t="s">
        <v>789</v>
      </c>
      <c r="T419">
        <v>29449.426308</v>
      </c>
      <c r="U419" s="2">
        <v>44488</v>
      </c>
      <c r="V419" t="s">
        <v>797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135.64</v>
      </c>
      <c r="D420">
        <v>91</v>
      </c>
      <c r="E420">
        <v>1.49054945054945</v>
      </c>
      <c r="F420">
        <v>0.01946328516661752</v>
      </c>
      <c r="G420">
        <v>-0.07672575227327261</v>
      </c>
      <c r="H420">
        <v>0.08</v>
      </c>
      <c r="I420">
        <v>0.01900381379498128</v>
      </c>
      <c r="J420" t="s">
        <v>345</v>
      </c>
      <c r="K420" t="s">
        <v>523</v>
      </c>
      <c r="L420">
        <v>3.62</v>
      </c>
      <c r="M420">
        <v>2.64</v>
      </c>
      <c r="N420">
        <v>0.7292817679558011</v>
      </c>
      <c r="O420">
        <v>10</v>
      </c>
      <c r="P420">
        <v>0.0500384320386924</v>
      </c>
      <c r="Q420">
        <v>0.452920777719572</v>
      </c>
      <c r="R420" t="s">
        <v>780</v>
      </c>
      <c r="S420" t="s">
        <v>786</v>
      </c>
      <c r="T420">
        <v>48405.700535</v>
      </c>
      <c r="U420" s="2">
        <v>44552</v>
      </c>
      <c r="V420" t="s">
        <v>797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11.85</v>
      </c>
      <c r="D421">
        <v>10</v>
      </c>
      <c r="E421">
        <v>1.185</v>
      </c>
      <c r="F421">
        <v>0.003375527426160338</v>
      </c>
      <c r="G421">
        <v>-0.03337876873253243</v>
      </c>
      <c r="H421">
        <v>0.05</v>
      </c>
      <c r="I421">
        <v>0.01857033368451377</v>
      </c>
      <c r="J421" t="s">
        <v>345</v>
      </c>
      <c r="K421" t="s">
        <v>778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0.284383440824651</v>
      </c>
      <c r="R421" t="s">
        <v>780</v>
      </c>
      <c r="S421" t="s">
        <v>786</v>
      </c>
      <c r="T421">
        <v>3066.538723</v>
      </c>
      <c r="U421" s="2">
        <v>44513</v>
      </c>
      <c r="V421" t="s">
        <v>795</v>
      </c>
    </row>
    <row r="422" spans="1:22">
      <c r="A422" s="1" t="s">
        <v>442</v>
      </c>
      <c r="B422">
        <f>HYPERLINK("https://www.suredividend.com/sure-analysis-AMT/","American Tower Corp.")</f>
        <v>0</v>
      </c>
      <c r="C422">
        <v>285.76</v>
      </c>
      <c r="D422">
        <v>209</v>
      </c>
      <c r="E422">
        <v>1.367272727272727</v>
      </c>
      <c r="F422">
        <v>0.01945688689809631</v>
      </c>
      <c r="G422">
        <v>-0.06064669054748628</v>
      </c>
      <c r="H422">
        <v>0.06</v>
      </c>
      <c r="I422">
        <v>0.01753282399920253</v>
      </c>
      <c r="J422" t="s">
        <v>345</v>
      </c>
      <c r="K422" t="s">
        <v>523</v>
      </c>
      <c r="L422">
        <v>9.5</v>
      </c>
      <c r="M422">
        <v>5.56</v>
      </c>
      <c r="N422">
        <v>0.5852631578947368</v>
      </c>
      <c r="O422">
        <v>9</v>
      </c>
      <c r="P422">
        <v>0.04743877095498816</v>
      </c>
      <c r="Q422">
        <v>0.299998087826591</v>
      </c>
      <c r="R422" t="s">
        <v>782</v>
      </c>
      <c r="S422" t="s">
        <v>794</v>
      </c>
      <c r="T422">
        <v>126942.013902</v>
      </c>
      <c r="U422" s="2">
        <v>44502</v>
      </c>
      <c r="V422" t="s">
        <v>800</v>
      </c>
    </row>
    <row r="423" spans="1:22">
      <c r="A423" s="1" t="s">
        <v>443</v>
      </c>
      <c r="B423">
        <f>HYPERLINK("https://www.suredividend.com/sure-analysis-OSK/","Oshkosh Corp")</f>
        <v>0</v>
      </c>
      <c r="C423">
        <v>112.12</v>
      </c>
      <c r="D423">
        <v>84</v>
      </c>
      <c r="E423">
        <v>1.334761904761905</v>
      </c>
      <c r="F423">
        <v>0.01320014270424545</v>
      </c>
      <c r="G423">
        <v>-0.05611466322102954</v>
      </c>
      <c r="H423">
        <v>0.06</v>
      </c>
      <c r="I423">
        <v>0.01720035680100684</v>
      </c>
      <c r="J423" t="s">
        <v>345</v>
      </c>
      <c r="K423" t="s">
        <v>523</v>
      </c>
      <c r="L423">
        <v>6</v>
      </c>
      <c r="M423">
        <v>1.48</v>
      </c>
      <c r="N423">
        <v>0.2466666666666667</v>
      </c>
      <c r="O423">
        <v>9</v>
      </c>
      <c r="P423">
        <v>0.09122612129561491</v>
      </c>
      <c r="Q423">
        <v>0.302867680086999</v>
      </c>
      <c r="R423" t="s">
        <v>780</v>
      </c>
      <c r="S423" t="s">
        <v>786</v>
      </c>
      <c r="T423">
        <v>7438.418022</v>
      </c>
      <c r="U423" s="2">
        <v>44502</v>
      </c>
      <c r="V423" t="s">
        <v>800</v>
      </c>
    </row>
    <row r="424" spans="1:22">
      <c r="A424" s="1" t="s">
        <v>444</v>
      </c>
      <c r="B424">
        <f>HYPERLINK("https://www.suredividend.com/sure-analysis-CMA/","Comerica, Inc.")</f>
        <v>0</v>
      </c>
      <c r="C424">
        <v>86.59999999999999</v>
      </c>
      <c r="D424">
        <v>83</v>
      </c>
      <c r="E424">
        <v>1.043373493975904</v>
      </c>
      <c r="F424">
        <v>0.03140877598152425</v>
      </c>
      <c r="G424">
        <v>-0.008455887711290466</v>
      </c>
      <c r="H424">
        <v>-0.01</v>
      </c>
      <c r="I424">
        <v>0.01609462674745954</v>
      </c>
      <c r="J424" t="s">
        <v>345</v>
      </c>
      <c r="K424" t="s">
        <v>345</v>
      </c>
      <c r="L424">
        <v>7.5</v>
      </c>
      <c r="M424">
        <v>2.72</v>
      </c>
      <c r="N424">
        <v>0.3626666666666667</v>
      </c>
      <c r="O424">
        <v>11</v>
      </c>
      <c r="P424">
        <v>0.02978919320783269</v>
      </c>
      <c r="Q424">
        <v>0.5826513213190361</v>
      </c>
      <c r="R424" t="s">
        <v>780</v>
      </c>
      <c r="S424" t="s">
        <v>789</v>
      </c>
      <c r="T424">
        <v>11186.981039</v>
      </c>
      <c r="U424" s="2">
        <v>44490</v>
      </c>
      <c r="V424" t="s">
        <v>800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246.8</v>
      </c>
      <c r="D425">
        <v>185</v>
      </c>
      <c r="E425">
        <v>1.334054054054054</v>
      </c>
      <c r="F425">
        <v>0.01231766612641815</v>
      </c>
      <c r="G425">
        <v>-0.05601451913126787</v>
      </c>
      <c r="H425">
        <v>0.05</v>
      </c>
      <c r="I425">
        <v>0.005569857260949496</v>
      </c>
      <c r="J425" t="s">
        <v>345</v>
      </c>
      <c r="K425" t="s">
        <v>778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0.146055912726179</v>
      </c>
      <c r="R425" t="s">
        <v>780</v>
      </c>
      <c r="S425" t="s">
        <v>791</v>
      </c>
      <c r="T425">
        <v>45636.97712</v>
      </c>
      <c r="U425" s="2">
        <v>44475</v>
      </c>
      <c r="V425" t="s">
        <v>800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84.90000000000001</v>
      </c>
      <c r="D426">
        <v>67</v>
      </c>
      <c r="E426">
        <v>1.267164179104478</v>
      </c>
      <c r="F426">
        <v>0.0110718492343934</v>
      </c>
      <c r="G426">
        <v>-0.04625247822249401</v>
      </c>
      <c r="H426">
        <v>0.03</v>
      </c>
      <c r="I426">
        <v>-0.002191651654850246</v>
      </c>
      <c r="J426" t="s">
        <v>345</v>
      </c>
      <c r="K426" t="s">
        <v>778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-0.078113729000634</v>
      </c>
      <c r="R426" t="s">
        <v>780</v>
      </c>
      <c r="S426" t="s">
        <v>787</v>
      </c>
      <c r="T426">
        <v>14689.827773</v>
      </c>
      <c r="U426" s="2">
        <v>44495</v>
      </c>
      <c r="V426" t="s">
        <v>797</v>
      </c>
    </row>
    <row r="427" spans="1:22">
      <c r="A427" s="1" t="s">
        <v>447</v>
      </c>
      <c r="B427">
        <f>HYPERLINK("https://www.suredividend.com/sure-analysis-KLIC/","Kulicke &amp; Soffa Industries, Inc.")</f>
        <v>0</v>
      </c>
      <c r="C427">
        <v>58.67</v>
      </c>
      <c r="D427">
        <v>46</v>
      </c>
      <c r="E427">
        <v>1.275434782608696</v>
      </c>
      <c r="F427">
        <v>0.0115902505539458</v>
      </c>
      <c r="G427">
        <v>-0.04749262124772169</v>
      </c>
      <c r="H427">
        <v>0.03</v>
      </c>
      <c r="I427">
        <v>-0.00598963061706459</v>
      </c>
      <c r="J427" t="s">
        <v>345</v>
      </c>
      <c r="K427" t="s">
        <v>523</v>
      </c>
      <c r="L427">
        <v>5.79</v>
      </c>
      <c r="M427">
        <v>0.68</v>
      </c>
      <c r="N427">
        <v>0.1174438687392055</v>
      </c>
      <c r="O427">
        <v>2</v>
      </c>
      <c r="P427">
        <v>0.01978934521903875</v>
      </c>
      <c r="Q427">
        <v>0.720291324790264</v>
      </c>
      <c r="R427" t="s">
        <v>780</v>
      </c>
      <c r="S427" t="s">
        <v>787</v>
      </c>
      <c r="T427">
        <v>3494.335585</v>
      </c>
      <c r="U427" s="2">
        <v>44522</v>
      </c>
      <c r="V427" t="s">
        <v>797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57.91</v>
      </c>
      <c r="D428">
        <v>45</v>
      </c>
      <c r="E428">
        <v>1.286888888888889</v>
      </c>
      <c r="F428">
        <v>0.01381453980314281</v>
      </c>
      <c r="G428">
        <v>-0.04919427122008802</v>
      </c>
      <c r="H428">
        <v>0.03</v>
      </c>
      <c r="I428">
        <v>-0.00609231623390516</v>
      </c>
      <c r="J428" t="s">
        <v>345</v>
      </c>
      <c r="K428" t="s">
        <v>523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1.224402881086491</v>
      </c>
      <c r="R428" t="s">
        <v>780</v>
      </c>
      <c r="S428" t="s">
        <v>790</v>
      </c>
      <c r="T428">
        <v>9093.38409</v>
      </c>
      <c r="U428" s="2">
        <v>44515</v>
      </c>
      <c r="V428" t="s">
        <v>795</v>
      </c>
    </row>
    <row r="429" spans="1:22">
      <c r="A429" s="1" t="s">
        <v>449</v>
      </c>
      <c r="B429">
        <f>HYPERLINK("https://www.suredividend.com/sure-analysis-OXY/","Occidental Petroleum Corp.")</f>
        <v>0</v>
      </c>
      <c r="C429">
        <v>29.64</v>
      </c>
      <c r="D429">
        <v>28</v>
      </c>
      <c r="E429">
        <v>1.058571428571428</v>
      </c>
      <c r="F429">
        <v>0.001349527665317139</v>
      </c>
      <c r="G429">
        <v>-0.01131950485301259</v>
      </c>
      <c r="H429">
        <v>0</v>
      </c>
      <c r="I429">
        <v>-0.006117286956272117</v>
      </c>
      <c r="J429" t="s">
        <v>345</v>
      </c>
      <c r="K429" t="s">
        <v>778</v>
      </c>
      <c r="L429">
        <v>1.95</v>
      </c>
      <c r="M429">
        <v>0.04</v>
      </c>
      <c r="N429">
        <v>0.02051282051282051</v>
      </c>
      <c r="O429">
        <v>0</v>
      </c>
      <c r="P429">
        <v>0.4757731615945522</v>
      </c>
      <c r="Q429">
        <v>0.635005553918346</v>
      </c>
      <c r="R429" t="s">
        <v>780</v>
      </c>
      <c r="S429" t="s">
        <v>793</v>
      </c>
      <c r="T429">
        <v>26945.351302</v>
      </c>
      <c r="U429" s="2">
        <v>44515</v>
      </c>
      <c r="V429" t="s">
        <v>803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173.5</v>
      </c>
      <c r="D430">
        <v>104</v>
      </c>
      <c r="E430">
        <v>1.668269230769231</v>
      </c>
      <c r="F430">
        <v>0.02674351585014409</v>
      </c>
      <c r="G430">
        <v>-0.09729307930754516</v>
      </c>
      <c r="H430">
        <v>0.06</v>
      </c>
      <c r="I430">
        <v>-0.00772333816773807</v>
      </c>
      <c r="J430" t="s">
        <v>345</v>
      </c>
      <c r="K430" t="s">
        <v>345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0.273410093392905</v>
      </c>
      <c r="R430" t="s">
        <v>782</v>
      </c>
      <c r="S430" t="s">
        <v>794</v>
      </c>
      <c r="T430">
        <v>48189.947903</v>
      </c>
      <c r="U430" s="2">
        <v>44497</v>
      </c>
      <c r="V430" t="s">
        <v>800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139.26</v>
      </c>
      <c r="D431">
        <v>90</v>
      </c>
      <c r="E431">
        <v>1.547333333333333</v>
      </c>
      <c r="F431">
        <v>0.02154243860404998</v>
      </c>
      <c r="G431">
        <v>-0.08360391799936995</v>
      </c>
      <c r="H431">
        <v>0.05</v>
      </c>
      <c r="I431">
        <v>-0.01139111105125645</v>
      </c>
      <c r="J431" t="s">
        <v>345</v>
      </c>
      <c r="K431" t="s">
        <v>523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0.220070825772124</v>
      </c>
      <c r="R431" t="s">
        <v>780</v>
      </c>
      <c r="S431" t="s">
        <v>791</v>
      </c>
      <c r="T431">
        <v>389877.5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38.27</v>
      </c>
      <c r="D432">
        <v>21</v>
      </c>
      <c r="E432">
        <v>1.822380952380952</v>
      </c>
      <c r="F432">
        <v>0.02221060883198327</v>
      </c>
      <c r="G432">
        <v>-0.1131050816946034</v>
      </c>
      <c r="H432">
        <v>0.08</v>
      </c>
      <c r="I432">
        <v>-0.01465843278745671</v>
      </c>
      <c r="J432" t="s">
        <v>345</v>
      </c>
      <c r="K432" t="s">
        <v>523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0.404888282182803</v>
      </c>
      <c r="R432" t="s">
        <v>780</v>
      </c>
      <c r="S432" t="s">
        <v>786</v>
      </c>
      <c r="T432">
        <v>77547.409931</v>
      </c>
      <c r="U432" s="2">
        <v>44494</v>
      </c>
      <c r="V432" t="s">
        <v>803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220</v>
      </c>
      <c r="D433">
        <v>123</v>
      </c>
      <c r="E433">
        <v>1.788617886178862</v>
      </c>
      <c r="F433">
        <v>0.01827272727272727</v>
      </c>
      <c r="G433">
        <v>-0.1097817647744818</v>
      </c>
      <c r="H433">
        <v>0.08</v>
      </c>
      <c r="I433">
        <v>-0.01494053991888178</v>
      </c>
      <c r="J433" t="s">
        <v>345</v>
      </c>
      <c r="K433" t="s">
        <v>523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0.392631314220018</v>
      </c>
      <c r="R433" t="s">
        <v>780</v>
      </c>
      <c r="S433" t="s">
        <v>791</v>
      </c>
      <c r="T433">
        <v>126328.157352</v>
      </c>
      <c r="U433" s="2">
        <v>44422</v>
      </c>
      <c r="V433" t="s">
        <v>797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368.8</v>
      </c>
      <c r="D434">
        <v>242</v>
      </c>
      <c r="E434">
        <v>1.52396694214876</v>
      </c>
      <c r="F434">
        <v>0.02169197396963124</v>
      </c>
      <c r="G434">
        <v>-0.08081084710042696</v>
      </c>
      <c r="H434">
        <v>0.04</v>
      </c>
      <c r="I434">
        <v>-0.01642872282876773</v>
      </c>
      <c r="J434" t="s">
        <v>345</v>
      </c>
      <c r="K434" t="s">
        <v>523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0.627034859710047</v>
      </c>
      <c r="R434" t="s">
        <v>782</v>
      </c>
      <c r="S434" t="s">
        <v>794</v>
      </c>
      <c r="T434">
        <v>63557.260272</v>
      </c>
      <c r="U434" s="2">
        <v>44502</v>
      </c>
      <c r="V434" t="s">
        <v>797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249.7</v>
      </c>
      <c r="D435">
        <v>147</v>
      </c>
      <c r="E435">
        <v>1.698639455782313</v>
      </c>
      <c r="F435">
        <v>0.02547056467761314</v>
      </c>
      <c r="G435">
        <v>-0.100544341117669</v>
      </c>
      <c r="H435">
        <v>0.054</v>
      </c>
      <c r="I435">
        <v>-0.02069503837795594</v>
      </c>
      <c r="J435" t="s">
        <v>345</v>
      </c>
      <c r="K435" t="s">
        <v>345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0.6109927955316691</v>
      </c>
      <c r="R435" t="s">
        <v>782</v>
      </c>
      <c r="S435" t="s">
        <v>794</v>
      </c>
      <c r="T435">
        <v>34344.1264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41.91</v>
      </c>
      <c r="D436">
        <v>23</v>
      </c>
      <c r="E436">
        <v>1.822173913043478</v>
      </c>
      <c r="F436">
        <v>0.0295872106895729</v>
      </c>
      <c r="G436">
        <v>-0.1130849284271098</v>
      </c>
      <c r="H436">
        <v>0.055</v>
      </c>
      <c r="I436">
        <v>-0.02420615894762301</v>
      </c>
      <c r="J436" t="s">
        <v>345</v>
      </c>
      <c r="K436" t="s">
        <v>345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0.184276811030988</v>
      </c>
      <c r="R436" t="s">
        <v>780</v>
      </c>
      <c r="S436" t="s">
        <v>786</v>
      </c>
      <c r="T436">
        <v>1792.032029</v>
      </c>
      <c r="U436" s="2">
        <v>44494</v>
      </c>
      <c r="V436" t="s">
        <v>797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63.58</v>
      </c>
      <c r="D437">
        <v>37</v>
      </c>
      <c r="E437">
        <v>1.718378378378378</v>
      </c>
      <c r="F437">
        <v>0.0176156023906889</v>
      </c>
      <c r="G437">
        <v>-0.1026203017649122</v>
      </c>
      <c r="H437">
        <v>0.06</v>
      </c>
      <c r="I437">
        <v>-0.02433972310574084</v>
      </c>
      <c r="J437" t="s">
        <v>345</v>
      </c>
      <c r="K437" t="s">
        <v>523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0.291559363444268</v>
      </c>
      <c r="R437" t="s">
        <v>780</v>
      </c>
      <c r="S437" t="s">
        <v>786</v>
      </c>
      <c r="T437">
        <v>35999.474327</v>
      </c>
      <c r="U437" s="2">
        <v>44482</v>
      </c>
      <c r="V437" t="s">
        <v>800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62.74</v>
      </c>
      <c r="D438">
        <v>49</v>
      </c>
      <c r="E438">
        <v>1.280408163265306</v>
      </c>
      <c r="F438">
        <v>0.01657634682817979</v>
      </c>
      <c r="G438">
        <v>-0.04823372228123046</v>
      </c>
      <c r="H438">
        <v>0</v>
      </c>
      <c r="I438">
        <v>-0.02594232021597631</v>
      </c>
      <c r="J438" t="s">
        <v>345</v>
      </c>
      <c r="K438" t="s">
        <v>523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0.7302251958957311</v>
      </c>
      <c r="R438" t="s">
        <v>780</v>
      </c>
      <c r="S438" t="s">
        <v>790</v>
      </c>
      <c r="T438">
        <v>12234.518083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293.59</v>
      </c>
      <c r="D439">
        <v>164</v>
      </c>
      <c r="E439">
        <v>1.790182926829268</v>
      </c>
      <c r="F439">
        <v>0.007357198814673525</v>
      </c>
      <c r="G439">
        <v>-0.1099374712292903</v>
      </c>
      <c r="H439">
        <v>0.08</v>
      </c>
      <c r="I439">
        <v>-0.02775179509746895</v>
      </c>
      <c r="J439" t="s">
        <v>345</v>
      </c>
      <c r="K439" t="s">
        <v>778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0.5065121925938241</v>
      </c>
      <c r="R439" t="s">
        <v>780</v>
      </c>
      <c r="S439" t="s">
        <v>786</v>
      </c>
      <c r="T439">
        <v>26710.94738</v>
      </c>
      <c r="U439" s="2">
        <v>44498</v>
      </c>
      <c r="V439" t="s">
        <v>798</v>
      </c>
    </row>
    <row r="440" spans="1:22">
      <c r="A440" s="1" t="s">
        <v>460</v>
      </c>
      <c r="B440">
        <f>HYPERLINK("https://www.suredividend.com/sure-analysis-RACE/","Ferrari N.V.")</f>
        <v>0</v>
      </c>
      <c r="C440">
        <v>258.14</v>
      </c>
      <c r="D440">
        <v>146</v>
      </c>
      <c r="E440">
        <v>1.768082191780822</v>
      </c>
      <c r="F440">
        <v>0.004028821569690866</v>
      </c>
      <c r="G440">
        <v>-0.1077233871118157</v>
      </c>
      <c r="H440">
        <v>0.075</v>
      </c>
      <c r="I440">
        <v>-0.0349389451553147</v>
      </c>
      <c r="J440" t="s">
        <v>345</v>
      </c>
      <c r="K440" t="s">
        <v>778</v>
      </c>
      <c r="L440">
        <v>5.02</v>
      </c>
      <c r="M440">
        <v>1.04</v>
      </c>
      <c r="N440">
        <v>0.2071713147410359</v>
      </c>
      <c r="O440">
        <v>0</v>
      </c>
      <c r="P440">
        <v>0.07455979142129743</v>
      </c>
      <c r="Q440">
        <v>0.129369534113902</v>
      </c>
      <c r="R440" t="s">
        <v>780</v>
      </c>
      <c r="S440" t="s">
        <v>788</v>
      </c>
      <c r="T440">
        <v>46826.200199</v>
      </c>
      <c r="U440" s="2">
        <v>44502</v>
      </c>
      <c r="V440" t="s">
        <v>797</v>
      </c>
    </row>
    <row r="441" spans="1:22">
      <c r="A441" s="1" t="s">
        <v>461</v>
      </c>
      <c r="B441">
        <f>HYPERLINK("https://www.suredividend.com/sure-analysis-MT/","ArcelorMittal")</f>
        <v>0</v>
      </c>
      <c r="C441">
        <v>32.66</v>
      </c>
      <c r="D441">
        <v>25</v>
      </c>
      <c r="E441">
        <v>1.3064</v>
      </c>
      <c r="F441">
        <v>0.009185548071034905</v>
      </c>
      <c r="G441">
        <v>-0.05205145206939366</v>
      </c>
      <c r="H441">
        <v>0</v>
      </c>
      <c r="I441">
        <v>-0.03509406626840583</v>
      </c>
      <c r="J441" t="s">
        <v>345</v>
      </c>
      <c r="K441" t="s">
        <v>523</v>
      </c>
      <c r="L441">
        <v>12.8</v>
      </c>
      <c r="M441">
        <v>0.3</v>
      </c>
      <c r="N441">
        <v>0.0234375</v>
      </c>
      <c r="O441">
        <v>0</v>
      </c>
      <c r="P441">
        <v>0.1486983549970351</v>
      </c>
      <c r="Q441">
        <v>0.3986989657998911</v>
      </c>
      <c r="R441" t="s">
        <v>780</v>
      </c>
      <c r="S441" t="s">
        <v>790</v>
      </c>
      <c r="T441">
        <v>31528.537486</v>
      </c>
      <c r="U441" s="2">
        <v>44516</v>
      </c>
      <c r="V441" t="s">
        <v>803</v>
      </c>
    </row>
    <row r="442" spans="1:22">
      <c r="A442" s="1" t="s">
        <v>462</v>
      </c>
      <c r="B442">
        <f>HYPERLINK("https://www.suredividend.com/sure-analysis-FCX/","Freeport-McMoRan Inc")</f>
        <v>0</v>
      </c>
      <c r="C442">
        <v>41.99</v>
      </c>
      <c r="D442">
        <v>40</v>
      </c>
      <c r="E442">
        <v>1.04975</v>
      </c>
      <c r="F442">
        <v>0.007144558228149559</v>
      </c>
      <c r="G442">
        <v>-0.009663414336141929</v>
      </c>
      <c r="H442">
        <v>-0.04</v>
      </c>
      <c r="I442">
        <v>-0.03907135179381283</v>
      </c>
      <c r="J442" t="s">
        <v>345</v>
      </c>
      <c r="K442" t="s">
        <v>778</v>
      </c>
      <c r="L442">
        <v>3.05</v>
      </c>
      <c r="M442">
        <v>0.3</v>
      </c>
      <c r="N442">
        <v>0.09836065573770492</v>
      </c>
      <c r="O442">
        <v>1</v>
      </c>
      <c r="P442">
        <v>0.05922384104881218</v>
      </c>
      <c r="Q442">
        <v>0.6698266027371681</v>
      </c>
      <c r="R442" t="s">
        <v>780</v>
      </c>
      <c r="S442" t="s">
        <v>790</v>
      </c>
      <c r="T442">
        <v>60398.315713</v>
      </c>
      <c r="U442" s="2">
        <v>44498</v>
      </c>
      <c r="V442" t="s">
        <v>802</v>
      </c>
    </row>
    <row r="443" spans="1:22">
      <c r="A443" s="1" t="s">
        <v>463</v>
      </c>
      <c r="B443">
        <f>HYPERLINK("https://www.suredividend.com/sure-analysis-MRVL/","Marvell Technology Inc")</f>
        <v>0</v>
      </c>
      <c r="C443">
        <v>90.81</v>
      </c>
      <c r="D443">
        <v>29</v>
      </c>
      <c r="E443">
        <v>3.131379310344828</v>
      </c>
      <c r="F443">
        <v>0.002642880740006607</v>
      </c>
      <c r="G443">
        <v>-0.2041103364236466</v>
      </c>
      <c r="H443">
        <v>0.2</v>
      </c>
      <c r="I443">
        <v>-0.04177688085399145</v>
      </c>
      <c r="J443" t="s">
        <v>345</v>
      </c>
      <c r="K443" t="s">
        <v>778</v>
      </c>
      <c r="L443">
        <v>1.4</v>
      </c>
      <c r="M443">
        <v>0.24</v>
      </c>
      <c r="N443">
        <v>0.1714285714285714</v>
      </c>
      <c r="O443">
        <v>0</v>
      </c>
      <c r="P443">
        <v>0</v>
      </c>
      <c r="Q443">
        <v>0.8484124691948821</v>
      </c>
      <c r="R443" t="s">
        <v>780</v>
      </c>
      <c r="S443" t="s">
        <v>787</v>
      </c>
      <c r="T443">
        <v>73984.38400000001</v>
      </c>
      <c r="U443" s="2">
        <v>44461</v>
      </c>
      <c r="V443" t="s">
        <v>799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27.97</v>
      </c>
      <c r="D444">
        <v>16</v>
      </c>
      <c r="E444">
        <v>1.748125</v>
      </c>
      <c r="F444">
        <v>0.01787629603146228</v>
      </c>
      <c r="G444">
        <v>-0.1056953204421116</v>
      </c>
      <c r="H444">
        <v>0.04</v>
      </c>
      <c r="I444">
        <v>-0.04367625016818932</v>
      </c>
      <c r="J444" t="s">
        <v>345</v>
      </c>
      <c r="K444" t="s">
        <v>523</v>
      </c>
      <c r="L444">
        <v>3.5</v>
      </c>
      <c r="M444">
        <v>0.5</v>
      </c>
      <c r="N444">
        <v>0.1428571428571428</v>
      </c>
      <c r="O444">
        <v>1</v>
      </c>
      <c r="P444">
        <v>0.05061112176150684</v>
      </c>
      <c r="Q444">
        <v>0.34386292288897</v>
      </c>
      <c r="R444" t="s">
        <v>780</v>
      </c>
      <c r="S444" t="s">
        <v>793</v>
      </c>
      <c r="T444">
        <v>9470.559932</v>
      </c>
      <c r="U444" s="2">
        <v>44508</v>
      </c>
      <c r="V444" t="s">
        <v>803</v>
      </c>
    </row>
    <row r="445" spans="1:22">
      <c r="A445" s="1" t="s">
        <v>465</v>
      </c>
      <c r="B445">
        <f>HYPERLINK("https://www.suredividend.com/sure-analysis-DHC/","Diversified Healthcare Trust")</f>
        <v>0</v>
      </c>
      <c r="C445">
        <v>2.63</v>
      </c>
      <c r="D445">
        <v>1.98</v>
      </c>
      <c r="E445">
        <v>1.328282828282828</v>
      </c>
      <c r="F445">
        <v>0.01520912547528517</v>
      </c>
      <c r="G445">
        <v>-0.05519564086949436</v>
      </c>
      <c r="H445">
        <v>-0.01</v>
      </c>
      <c r="I445">
        <v>-0.0455678748754752</v>
      </c>
      <c r="J445" t="s">
        <v>345</v>
      </c>
      <c r="K445" t="s">
        <v>523</v>
      </c>
      <c r="L445">
        <v>0.33</v>
      </c>
      <c r="M445">
        <v>0.04</v>
      </c>
      <c r="N445">
        <v>0.1212121212121212</v>
      </c>
      <c r="O445">
        <v>0</v>
      </c>
      <c r="P445">
        <v>0</v>
      </c>
      <c r="Q445">
        <v>-0.3519102869071311</v>
      </c>
      <c r="R445" t="s">
        <v>782</v>
      </c>
      <c r="S445" t="s">
        <v>794</v>
      </c>
      <c r="T445">
        <v>638.116367</v>
      </c>
      <c r="U445" s="2">
        <v>44551</v>
      </c>
      <c r="V445" t="s">
        <v>801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77.25</v>
      </c>
      <c r="D446">
        <v>36</v>
      </c>
      <c r="E446">
        <v>2.145833333333333</v>
      </c>
      <c r="F446">
        <v>0.007508090614886731</v>
      </c>
      <c r="G446">
        <v>-0.1416176037138973</v>
      </c>
      <c r="H446">
        <v>0.1</v>
      </c>
      <c r="I446">
        <v>-0.04605290747552337</v>
      </c>
      <c r="J446" t="s">
        <v>345</v>
      </c>
      <c r="K446" t="s">
        <v>778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0.9193634221129721</v>
      </c>
      <c r="R446" t="s">
        <v>780</v>
      </c>
      <c r="S446" t="s">
        <v>789</v>
      </c>
      <c r="T446">
        <v>44308.598929</v>
      </c>
      <c r="U446" s="2">
        <v>44507</v>
      </c>
      <c r="V446" t="s">
        <v>806</v>
      </c>
    </row>
    <row r="447" spans="1:22">
      <c r="A447" s="1" t="s">
        <v>467</v>
      </c>
      <c r="B447">
        <f>HYPERLINK("https://www.suredividend.com/sure-analysis-INFY/","Infosys Ltd")</f>
        <v>0</v>
      </c>
      <c r="C447">
        <v>25.33</v>
      </c>
      <c r="D447">
        <v>13</v>
      </c>
      <c r="E447">
        <v>1.948461538461538</v>
      </c>
      <c r="F447">
        <v>0.01579155151993683</v>
      </c>
      <c r="G447">
        <v>-0.1248920434409165</v>
      </c>
      <c r="H447">
        <v>0.06</v>
      </c>
      <c r="I447">
        <v>-0.04674963939554699</v>
      </c>
      <c r="J447" t="s">
        <v>345</v>
      </c>
      <c r="K447" t="s">
        <v>523</v>
      </c>
      <c r="L447">
        <v>0.7</v>
      </c>
      <c r="M447">
        <v>0.4</v>
      </c>
      <c r="N447">
        <v>0.5714285714285715</v>
      </c>
      <c r="O447">
        <v>6</v>
      </c>
      <c r="P447">
        <v>0.08083252207959757</v>
      </c>
      <c r="Q447">
        <v>0.5185194282065141</v>
      </c>
      <c r="R447" t="s">
        <v>780</v>
      </c>
      <c r="S447" t="s">
        <v>787</v>
      </c>
      <c r="T447">
        <v>104002.979693</v>
      </c>
      <c r="U447" s="2">
        <v>44498</v>
      </c>
      <c r="V447" t="s">
        <v>798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118.48</v>
      </c>
      <c r="D448">
        <v>66</v>
      </c>
      <c r="E448">
        <v>1.795151515151515</v>
      </c>
      <c r="F448">
        <v>0.01367319378798109</v>
      </c>
      <c r="G448">
        <v>-0.1104307174473343</v>
      </c>
      <c r="H448">
        <v>0.05</v>
      </c>
      <c r="I448">
        <v>-0.04815135343053112</v>
      </c>
      <c r="J448" t="s">
        <v>345</v>
      </c>
      <c r="K448" t="s">
        <v>523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0.472968271814703</v>
      </c>
      <c r="R448" t="s">
        <v>780</v>
      </c>
      <c r="S448" t="s">
        <v>786</v>
      </c>
      <c r="T448">
        <v>56927.094508</v>
      </c>
      <c r="U448" s="2">
        <v>44502</v>
      </c>
      <c r="V448" t="s">
        <v>795</v>
      </c>
    </row>
    <row r="449" spans="1:22">
      <c r="A449" s="1" t="s">
        <v>469</v>
      </c>
      <c r="B449">
        <f>HYPERLINK("https://www.suredividend.com/sure-analysis-TER/","Teradyne, Inc.")</f>
        <v>0</v>
      </c>
      <c r="C449">
        <v>168.56</v>
      </c>
      <c r="D449">
        <v>87</v>
      </c>
      <c r="E449">
        <v>1.937471264367816</v>
      </c>
      <c r="F449">
        <v>0.002373042240151875</v>
      </c>
      <c r="G449">
        <v>-0.1239014813598366</v>
      </c>
      <c r="H449">
        <v>0.08</v>
      </c>
      <c r="I449">
        <v>-0.04988628614690183</v>
      </c>
      <c r="J449" t="s">
        <v>345</v>
      </c>
      <c r="K449" t="s">
        <v>778</v>
      </c>
      <c r="L449">
        <v>4.82</v>
      </c>
      <c r="M449">
        <v>0.4</v>
      </c>
      <c r="N449">
        <v>0.08298755186721991</v>
      </c>
      <c r="O449">
        <v>0</v>
      </c>
      <c r="P449">
        <v>0.09856054330611763</v>
      </c>
      <c r="Q449">
        <v>0.3730332357737841</v>
      </c>
      <c r="R449" t="s">
        <v>780</v>
      </c>
      <c r="S449" t="s">
        <v>787</v>
      </c>
      <c r="T449">
        <v>26527.326292</v>
      </c>
      <c r="U449" s="2">
        <v>44502</v>
      </c>
      <c r="V449" t="s">
        <v>806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127.21</v>
      </c>
      <c r="D450">
        <v>86</v>
      </c>
      <c r="E450">
        <v>1.479186046511628</v>
      </c>
      <c r="F450">
        <v>0.004323559468595237</v>
      </c>
      <c r="G450">
        <v>-0.07531153573103921</v>
      </c>
      <c r="H450">
        <v>0.017</v>
      </c>
      <c r="I450">
        <v>-0.05383657352542059</v>
      </c>
      <c r="J450" t="s">
        <v>345</v>
      </c>
      <c r="K450" t="s">
        <v>778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0.280799129313041</v>
      </c>
      <c r="R450" t="s">
        <v>780</v>
      </c>
      <c r="S450" t="s">
        <v>787</v>
      </c>
      <c r="T450">
        <v>156194.740615</v>
      </c>
      <c r="U450" s="2">
        <v>44501</v>
      </c>
      <c r="V450" t="s">
        <v>797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309.45</v>
      </c>
      <c r="D451">
        <v>109</v>
      </c>
      <c r="E451">
        <v>2.838990825688073</v>
      </c>
      <c r="F451">
        <v>0.0005170463725965423</v>
      </c>
      <c r="G451">
        <v>-0.1883529730408782</v>
      </c>
      <c r="H451">
        <v>0.15</v>
      </c>
      <c r="I451">
        <v>-0.06592571942879411</v>
      </c>
      <c r="J451" t="s">
        <v>345</v>
      </c>
      <c r="K451" t="s">
        <v>778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1.283089195303491</v>
      </c>
      <c r="R451" t="s">
        <v>780</v>
      </c>
      <c r="S451" t="s">
        <v>787</v>
      </c>
      <c r="T451">
        <v>741000</v>
      </c>
      <c r="U451" s="2">
        <v>44533</v>
      </c>
      <c r="V451" t="s">
        <v>798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207.49</v>
      </c>
      <c r="D452">
        <v>97</v>
      </c>
      <c r="E452">
        <v>2.139072164948454</v>
      </c>
      <c r="F452">
        <v>0.007132873873439683</v>
      </c>
      <c r="G452">
        <v>-0.141075654338057</v>
      </c>
      <c r="H452">
        <v>0.05</v>
      </c>
      <c r="I452">
        <v>-0.08594756523789426</v>
      </c>
      <c r="J452" t="s">
        <v>345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0.452458995624182</v>
      </c>
      <c r="R452" t="s">
        <v>780</v>
      </c>
      <c r="S452" t="s">
        <v>790</v>
      </c>
      <c r="T452">
        <v>27385.009578</v>
      </c>
      <c r="U452" s="2">
        <v>44506</v>
      </c>
      <c r="V452" t="s">
        <v>797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10.87</v>
      </c>
      <c r="D453">
        <v>2.45</v>
      </c>
      <c r="E453">
        <v>4.43673469387755</v>
      </c>
      <c r="F453">
        <v>0.01103955841766329</v>
      </c>
      <c r="G453">
        <v>-0.2576865868567949</v>
      </c>
      <c r="H453">
        <v>0.1</v>
      </c>
      <c r="I453">
        <v>-0.1568051600266746</v>
      </c>
      <c r="J453" t="s">
        <v>345</v>
      </c>
      <c r="K453" t="s">
        <v>523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2.295665483440257</v>
      </c>
      <c r="R453" t="s">
        <v>780</v>
      </c>
      <c r="S453" t="s">
        <v>793</v>
      </c>
      <c r="T453">
        <v>2496.737726</v>
      </c>
      <c r="U453" s="2">
        <v>44528</v>
      </c>
      <c r="V453" t="s">
        <v>799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11.33</v>
      </c>
      <c r="D454">
        <v>19</v>
      </c>
      <c r="E454">
        <v>0.5963157894736842</v>
      </c>
      <c r="F454">
        <v>0.1059135039717564</v>
      </c>
      <c r="G454">
        <v>0.1089315462676583</v>
      </c>
      <c r="H454">
        <v>0.04</v>
      </c>
      <c r="I454">
        <v>0.2077625772686225</v>
      </c>
      <c r="J454" t="s">
        <v>523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0.211404604676066</v>
      </c>
      <c r="R454" t="s">
        <v>781</v>
      </c>
      <c r="S454" t="s">
        <v>793</v>
      </c>
      <c r="T454">
        <v>4271.124372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14.5</v>
      </c>
      <c r="D455">
        <v>23</v>
      </c>
      <c r="E455">
        <v>0.6304347826086957</v>
      </c>
      <c r="F455">
        <v>0.09103448275862069</v>
      </c>
      <c r="G455">
        <v>0.09665990814067671</v>
      </c>
      <c r="H455">
        <v>0.01</v>
      </c>
      <c r="I455">
        <v>0.1762339336311074</v>
      </c>
      <c r="J455" t="s">
        <v>523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0.05480053260732101</v>
      </c>
      <c r="R455" t="s">
        <v>781</v>
      </c>
      <c r="S455" t="s">
        <v>792</v>
      </c>
      <c r="T455">
        <v>892.825436</v>
      </c>
      <c r="U455" s="2">
        <v>44526</v>
      </c>
      <c r="V455" t="s">
        <v>802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16.22</v>
      </c>
      <c r="D456">
        <v>25</v>
      </c>
      <c r="E456">
        <v>0.6487999999999999</v>
      </c>
      <c r="F456">
        <v>0.08631319358816276</v>
      </c>
      <c r="G456">
        <v>0.09037988648828454</v>
      </c>
      <c r="H456">
        <v>0.02</v>
      </c>
      <c r="I456">
        <v>0.1694548495682704</v>
      </c>
      <c r="J456" t="s">
        <v>523</v>
      </c>
      <c r="K456" t="s">
        <v>777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0.253217565023627</v>
      </c>
      <c r="R456" t="s">
        <v>781</v>
      </c>
      <c r="S456" t="s">
        <v>793</v>
      </c>
      <c r="T456">
        <v>1719.729678</v>
      </c>
      <c r="U456" s="2">
        <v>44504</v>
      </c>
      <c r="V456" t="s">
        <v>803</v>
      </c>
    </row>
    <row r="457" spans="1:22">
      <c r="A457" s="1" t="s">
        <v>477</v>
      </c>
      <c r="B457">
        <f>HYPERLINK("https://www.suredividend.com/sure-analysis-GORO/","Gold Resource Corporation")</f>
        <v>0</v>
      </c>
      <c r="C457">
        <v>1.61</v>
      </c>
      <c r="D457">
        <v>1.35</v>
      </c>
      <c r="E457">
        <v>1.192592592592592</v>
      </c>
      <c r="F457">
        <v>0.02484472049689441</v>
      </c>
      <c r="G457">
        <v>-0.03461270608009626</v>
      </c>
      <c r="H457">
        <v>0.19</v>
      </c>
      <c r="I457">
        <v>0.1665659717985246</v>
      </c>
      <c r="J457" t="s">
        <v>523</v>
      </c>
      <c r="K457" t="s">
        <v>523</v>
      </c>
      <c r="L457">
        <v>0.09</v>
      </c>
      <c r="M457">
        <v>0.04</v>
      </c>
      <c r="N457">
        <v>0.4444444444444445</v>
      </c>
      <c r="O457">
        <v>0</v>
      </c>
      <c r="P457">
        <v>0.08447177119769855</v>
      </c>
      <c r="Q457">
        <v>-0.514270198515657</v>
      </c>
      <c r="R457" t="s">
        <v>780</v>
      </c>
      <c r="S457" t="s">
        <v>790</v>
      </c>
      <c r="T457">
        <v>120.076503</v>
      </c>
      <c r="U457" s="2">
        <v>44512</v>
      </c>
      <c r="V457" t="s">
        <v>803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9.289999999999999</v>
      </c>
      <c r="D458">
        <v>12.1</v>
      </c>
      <c r="E458">
        <v>0.7677685950413222</v>
      </c>
      <c r="F458">
        <v>0.077502691065662</v>
      </c>
      <c r="G458">
        <v>0.05427505593096393</v>
      </c>
      <c r="H458">
        <v>0.05</v>
      </c>
      <c r="I458">
        <v>0.1642684927770013</v>
      </c>
      <c r="J458" t="s">
        <v>523</v>
      </c>
      <c r="K458" t="s">
        <v>777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0.108931160965623</v>
      </c>
      <c r="R458" t="s">
        <v>781</v>
      </c>
      <c r="S458" t="s">
        <v>793</v>
      </c>
      <c r="T458">
        <v>6471.209126</v>
      </c>
      <c r="U458" s="2">
        <v>44511</v>
      </c>
      <c r="V458" t="s">
        <v>796</v>
      </c>
    </row>
    <row r="459" spans="1:22">
      <c r="A459" s="1" t="s">
        <v>479</v>
      </c>
      <c r="B459">
        <f>HYPERLINK("https://www.suredividend.com/sure-analysis-PBR/","Petroleo Brasileiro S.A. Petrobras")</f>
        <v>0</v>
      </c>
      <c r="C459">
        <v>11.08</v>
      </c>
      <c r="D459">
        <v>18</v>
      </c>
      <c r="E459">
        <v>0.6155555555555555</v>
      </c>
      <c r="F459">
        <v>0.08212996389891697</v>
      </c>
      <c r="G459">
        <v>0.1019110772401981</v>
      </c>
      <c r="H459">
        <v>0.01</v>
      </c>
      <c r="I459">
        <v>0.1619513192648636</v>
      </c>
      <c r="J459" t="s">
        <v>523</v>
      </c>
      <c r="K459" t="s">
        <v>777</v>
      </c>
      <c r="L459">
        <v>2.21</v>
      </c>
      <c r="M459">
        <v>0.91</v>
      </c>
      <c r="N459">
        <v>0.411764705882353</v>
      </c>
      <c r="O459">
        <v>0</v>
      </c>
      <c r="P459">
        <v>0</v>
      </c>
      <c r="Q459">
        <v>0.164685944971557</v>
      </c>
      <c r="R459" t="s">
        <v>780</v>
      </c>
      <c r="S459" t="s">
        <v>793</v>
      </c>
      <c r="T459">
        <v>68049.01139</v>
      </c>
      <c r="U459" s="2">
        <v>44552</v>
      </c>
      <c r="V459" t="s">
        <v>801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47.34</v>
      </c>
      <c r="D460">
        <v>97</v>
      </c>
      <c r="E460">
        <v>0.4880412371134021</v>
      </c>
      <c r="F460">
        <v>0.09484579636670891</v>
      </c>
      <c r="G460">
        <v>0.1542734228310165</v>
      </c>
      <c r="H460">
        <v>-0.05</v>
      </c>
      <c r="I460">
        <v>0.1576532590600379</v>
      </c>
      <c r="J460" t="s">
        <v>523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0.159467965493369</v>
      </c>
      <c r="R460" t="s">
        <v>780</v>
      </c>
      <c r="S460" t="s">
        <v>793</v>
      </c>
      <c r="T460">
        <v>12049.997051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5.25</v>
      </c>
      <c r="D461">
        <v>7.7</v>
      </c>
      <c r="E461">
        <v>0.6818181818181818</v>
      </c>
      <c r="F461">
        <v>0.04761904761904762</v>
      </c>
      <c r="G461">
        <v>0.0796084730466029</v>
      </c>
      <c r="H461">
        <v>0.03</v>
      </c>
      <c r="I461">
        <v>0.1441561005830099</v>
      </c>
      <c r="J461" t="s">
        <v>523</v>
      </c>
      <c r="K461" t="s">
        <v>777</v>
      </c>
      <c r="L461">
        <v>0.77</v>
      </c>
      <c r="M461">
        <v>0.25</v>
      </c>
      <c r="N461">
        <v>0.3246753246753247</v>
      </c>
      <c r="O461">
        <v>0</v>
      </c>
      <c r="P461">
        <v>0.03012896281839894</v>
      </c>
      <c r="Q461">
        <v>-0.197180940707829</v>
      </c>
      <c r="R461" t="s">
        <v>780</v>
      </c>
      <c r="S461" t="s">
        <v>789</v>
      </c>
      <c r="T461">
        <v>1873.252683</v>
      </c>
      <c r="U461" s="2">
        <v>44528</v>
      </c>
      <c r="V461" t="s">
        <v>799</v>
      </c>
    </row>
    <row r="462" spans="1:22">
      <c r="A462" s="1" t="s">
        <v>482</v>
      </c>
      <c r="B462">
        <f>HYPERLINK("https://www.suredividend.com/sure-analysis-EOG/","EOG Resources, Inc.")</f>
        <v>0</v>
      </c>
      <c r="C462">
        <v>90.78</v>
      </c>
      <c r="D462">
        <v>135</v>
      </c>
      <c r="E462">
        <v>0.6724444444444444</v>
      </c>
      <c r="F462">
        <v>0.03304692663582287</v>
      </c>
      <c r="G462">
        <v>0.08260173313711472</v>
      </c>
      <c r="H462">
        <v>0.03</v>
      </c>
      <c r="I462">
        <v>0.1409456191946694</v>
      </c>
      <c r="J462" t="s">
        <v>523</v>
      </c>
      <c r="K462" t="s">
        <v>345</v>
      </c>
      <c r="L462">
        <v>7.5</v>
      </c>
      <c r="M462">
        <v>3</v>
      </c>
      <c r="N462">
        <v>0.4</v>
      </c>
      <c r="O462">
        <v>4</v>
      </c>
      <c r="P462">
        <v>0.08009875865888949</v>
      </c>
      <c r="Q462">
        <v>0.8377323251593101</v>
      </c>
      <c r="R462" t="s">
        <v>780</v>
      </c>
      <c r="S462" t="s">
        <v>793</v>
      </c>
      <c r="T462">
        <v>51008.144544</v>
      </c>
      <c r="U462" s="2">
        <v>44513</v>
      </c>
      <c r="V462" t="s">
        <v>806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41.12</v>
      </c>
      <c r="D463">
        <v>53</v>
      </c>
      <c r="E463">
        <v>0.7758490566037736</v>
      </c>
      <c r="F463">
        <v>0.02431906614785992</v>
      </c>
      <c r="G463">
        <v>0.05206979637739728</v>
      </c>
      <c r="H463">
        <v>0.07000000000000001</v>
      </c>
      <c r="I463">
        <v>0.1404666990812433</v>
      </c>
      <c r="J463" t="s">
        <v>523</v>
      </c>
      <c r="K463" t="s">
        <v>523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0.354429964218888</v>
      </c>
      <c r="R463" t="s">
        <v>780</v>
      </c>
      <c r="S463" t="s">
        <v>788</v>
      </c>
      <c r="T463">
        <v>11352.386028</v>
      </c>
      <c r="U463" s="2">
        <v>44513</v>
      </c>
      <c r="V463" t="s">
        <v>799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36.53</v>
      </c>
      <c r="D464">
        <v>40</v>
      </c>
      <c r="E464">
        <v>0.91325</v>
      </c>
      <c r="F464">
        <v>0.02819600328497126</v>
      </c>
      <c r="G464">
        <v>0.01831481888381714</v>
      </c>
      <c r="H464">
        <v>0.1</v>
      </c>
      <c r="I464">
        <v>0.1400644550819408</v>
      </c>
      <c r="J464" t="s">
        <v>523</v>
      </c>
      <c r="K464" t="s">
        <v>523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-0.313016538701014</v>
      </c>
      <c r="R464" t="s">
        <v>780</v>
      </c>
      <c r="S464" t="s">
        <v>785</v>
      </c>
      <c r="T464">
        <v>33301.582575</v>
      </c>
      <c r="U464" s="2">
        <v>44491</v>
      </c>
      <c r="V464" t="s">
        <v>803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8.300000000000001</v>
      </c>
      <c r="D465">
        <v>11.1</v>
      </c>
      <c r="E465">
        <v>0.7477477477477479</v>
      </c>
      <c r="F465">
        <v>0.07349397590361445</v>
      </c>
      <c r="G465">
        <v>0.05986116030738575</v>
      </c>
      <c r="H465">
        <v>0.02</v>
      </c>
      <c r="I465">
        <v>0.1373865523453222</v>
      </c>
      <c r="J465" t="s">
        <v>523</v>
      </c>
      <c r="K465" t="s">
        <v>777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0.370228371395232</v>
      </c>
      <c r="R465" t="s">
        <v>781</v>
      </c>
      <c r="S465" t="s">
        <v>793</v>
      </c>
      <c r="T465">
        <v>26150.671518</v>
      </c>
      <c r="U465" s="2">
        <v>44509</v>
      </c>
      <c r="V465" t="s">
        <v>803</v>
      </c>
    </row>
    <row r="466" spans="1:22">
      <c r="A466" s="1" t="s">
        <v>486</v>
      </c>
      <c r="B466">
        <f>HYPERLINK("https://www.suredividend.com/sure-analysis-ERIC/","Telefonaktiebolaget L M Ericsson")</f>
        <v>0</v>
      </c>
      <c r="C466">
        <v>10.85</v>
      </c>
      <c r="D466">
        <v>12</v>
      </c>
      <c r="E466">
        <v>0.9041666666666667</v>
      </c>
      <c r="F466">
        <v>0.02119815668202765</v>
      </c>
      <c r="G466">
        <v>0.02035266134905989</v>
      </c>
      <c r="H466">
        <v>0.09</v>
      </c>
      <c r="I466">
        <v>0.1310791174315209</v>
      </c>
      <c r="J466" t="s">
        <v>523</v>
      </c>
      <c r="K466" t="s">
        <v>523</v>
      </c>
      <c r="L466">
        <v>0.75</v>
      </c>
      <c r="M466">
        <v>0.23</v>
      </c>
      <c r="N466">
        <v>0.3066666666666667</v>
      </c>
      <c r="O466">
        <v>2</v>
      </c>
      <c r="P466">
        <v>0.1170340997937203</v>
      </c>
      <c r="Q466">
        <v>-0.066012210351047</v>
      </c>
      <c r="R466" t="s">
        <v>780</v>
      </c>
      <c r="S466" t="s">
        <v>787</v>
      </c>
      <c r="T466">
        <v>33089.702249</v>
      </c>
      <c r="U466" s="2">
        <v>44494</v>
      </c>
      <c r="V466" t="s">
        <v>803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67.09999999999999</v>
      </c>
      <c r="D467">
        <v>75</v>
      </c>
      <c r="E467">
        <v>0.8946666666666666</v>
      </c>
      <c r="F467">
        <v>0.03099850968703428</v>
      </c>
      <c r="G467">
        <v>0.02251043464213831</v>
      </c>
      <c r="H467">
        <v>0.07000000000000001</v>
      </c>
      <c r="I467">
        <v>0.1307542841765139</v>
      </c>
      <c r="J467" t="s">
        <v>523</v>
      </c>
      <c r="K467" t="s">
        <v>523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0.207033804597512</v>
      </c>
      <c r="R467" t="s">
        <v>782</v>
      </c>
      <c r="S467" t="s">
        <v>794</v>
      </c>
      <c r="T467">
        <v>7716.751116</v>
      </c>
      <c r="U467" s="2">
        <v>44498</v>
      </c>
      <c r="V467" t="s">
        <v>799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72.79000000000001</v>
      </c>
      <c r="D468">
        <v>84</v>
      </c>
      <c r="E468">
        <v>0.8665476190476191</v>
      </c>
      <c r="F468">
        <v>0.0505563951092183</v>
      </c>
      <c r="G468">
        <v>0.02906193355690445</v>
      </c>
      <c r="H468">
        <v>0.06</v>
      </c>
      <c r="I468">
        <v>0.1265103238894059</v>
      </c>
      <c r="J468" t="s">
        <v>523</v>
      </c>
      <c r="K468" t="s">
        <v>777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0.09566579602634401</v>
      </c>
      <c r="R468" t="s">
        <v>780</v>
      </c>
      <c r="S468" t="s">
        <v>793</v>
      </c>
      <c r="T468">
        <v>31499.409629</v>
      </c>
      <c r="U468" s="2">
        <v>44501</v>
      </c>
      <c r="V468" t="s">
        <v>803</v>
      </c>
    </row>
    <row r="469" spans="1:22">
      <c r="A469" s="1" t="s">
        <v>489</v>
      </c>
      <c r="B469">
        <f>HYPERLINK("https://www.suredividend.com/sure-analysis-LUMN/","Lumen Technologies Inc")</f>
        <v>0</v>
      </c>
      <c r="C469">
        <v>12.82</v>
      </c>
      <c r="D469">
        <v>17</v>
      </c>
      <c r="E469">
        <v>0.7541176470588236</v>
      </c>
      <c r="F469">
        <v>0.07800312012480499</v>
      </c>
      <c r="G469">
        <v>0.05806458766243461</v>
      </c>
      <c r="H469">
        <v>0.013</v>
      </c>
      <c r="I469">
        <v>0.1253119710537574</v>
      </c>
      <c r="J469" t="s">
        <v>523</v>
      </c>
      <c r="K469" t="s">
        <v>777</v>
      </c>
      <c r="L469">
        <v>1.92</v>
      </c>
      <c r="M469">
        <v>1</v>
      </c>
      <c r="N469">
        <v>0.5208333333333334</v>
      </c>
      <c r="O469">
        <v>0</v>
      </c>
      <c r="P469">
        <v>0</v>
      </c>
      <c r="Q469">
        <v>0.379073314286941</v>
      </c>
      <c r="R469" t="s">
        <v>780</v>
      </c>
      <c r="S469" t="s">
        <v>784</v>
      </c>
      <c r="T469">
        <v>13146.801091</v>
      </c>
      <c r="U469" s="2">
        <v>44508</v>
      </c>
      <c r="V469" t="s">
        <v>795</v>
      </c>
    </row>
    <row r="470" spans="1:22">
      <c r="A470" s="1" t="s">
        <v>490</v>
      </c>
      <c r="B470">
        <f>HYPERLINK("https://www.suredividend.com/sure-analysis-SLG/","SL Green Realty Corp.")</f>
        <v>0</v>
      </c>
      <c r="C470">
        <v>72.42</v>
      </c>
      <c r="D470">
        <v>86</v>
      </c>
      <c r="E470">
        <v>0.8420930232558139</v>
      </c>
      <c r="F470">
        <v>0.05150510908588787</v>
      </c>
      <c r="G470">
        <v>0.03497053569357744</v>
      </c>
      <c r="H470">
        <v>0.05</v>
      </c>
      <c r="I470">
        <v>0.1247805597132261</v>
      </c>
      <c r="J470" t="s">
        <v>523</v>
      </c>
      <c r="K470" t="s">
        <v>777</v>
      </c>
      <c r="L470">
        <v>6.6</v>
      </c>
      <c r="M470">
        <v>3.73</v>
      </c>
      <c r="N470">
        <v>0.5651515151515152</v>
      </c>
      <c r="O470">
        <v>11</v>
      </c>
      <c r="P470">
        <v>0.03359111873454657</v>
      </c>
      <c r="Q470">
        <v>0.331285772045595</v>
      </c>
      <c r="R470" t="s">
        <v>782</v>
      </c>
      <c r="S470" t="s">
        <v>794</v>
      </c>
      <c r="T470">
        <v>4789.640803</v>
      </c>
      <c r="U470" s="2">
        <v>44494</v>
      </c>
      <c r="V470" t="s">
        <v>803</v>
      </c>
    </row>
    <row r="471" spans="1:22">
      <c r="A471" s="1" t="s">
        <v>491</v>
      </c>
      <c r="B471">
        <f>HYPERLINK("https://www.suredividend.com/sure-analysis-UNIT/","Uniti Group Inc")</f>
        <v>0</v>
      </c>
      <c r="C471">
        <v>13.41</v>
      </c>
      <c r="D471">
        <v>16.3</v>
      </c>
      <c r="E471">
        <v>0.8226993865030675</v>
      </c>
      <c r="F471">
        <v>0.04474272930648769</v>
      </c>
      <c r="G471">
        <v>0.03980467405327937</v>
      </c>
      <c r="H471">
        <v>0.042</v>
      </c>
      <c r="I471">
        <v>0.1222782402754079</v>
      </c>
      <c r="J471" t="s">
        <v>523</v>
      </c>
      <c r="K471" t="s">
        <v>345</v>
      </c>
      <c r="L471">
        <v>1.63</v>
      </c>
      <c r="M471">
        <v>0.6</v>
      </c>
      <c r="N471">
        <v>0.3680981595092024</v>
      </c>
      <c r="O471">
        <v>0</v>
      </c>
      <c r="P471">
        <v>0.08447177119769855</v>
      </c>
      <c r="Q471">
        <v>0.206635131331656</v>
      </c>
      <c r="R471" t="s">
        <v>782</v>
      </c>
      <c r="S471" t="s">
        <v>794</v>
      </c>
      <c r="T471">
        <v>3137.383178</v>
      </c>
      <c r="U471" s="2">
        <v>44509</v>
      </c>
      <c r="V471" t="s">
        <v>805</v>
      </c>
    </row>
    <row r="472" spans="1:22">
      <c r="A472" s="1" t="s">
        <v>492</v>
      </c>
      <c r="B472">
        <f>HYPERLINK("https://www.suredividend.com/sure-analysis-PTR/","PetroChina Co. Ltd.")</f>
        <v>0</v>
      </c>
      <c r="C472">
        <v>45.17</v>
      </c>
      <c r="D472">
        <v>90</v>
      </c>
      <c r="E472">
        <v>0.5018888888888889</v>
      </c>
      <c r="F472">
        <v>0.07482842594642461</v>
      </c>
      <c r="G472">
        <v>0.1478324113919549</v>
      </c>
      <c r="H472">
        <v>-0.06</v>
      </c>
      <c r="I472">
        <v>0.121501712901928</v>
      </c>
      <c r="J472" t="s">
        <v>523</v>
      </c>
      <c r="K472" t="s">
        <v>777</v>
      </c>
      <c r="L472">
        <v>7.5</v>
      </c>
      <c r="M472">
        <v>3.38</v>
      </c>
      <c r="N472">
        <v>0.4506666666666667</v>
      </c>
      <c r="O472">
        <v>0</v>
      </c>
      <c r="P472">
        <v>-0.06004514349274603</v>
      </c>
      <c r="Q472">
        <v>0.5672426588257641</v>
      </c>
      <c r="R472" t="s">
        <v>780</v>
      </c>
      <c r="S472" t="s">
        <v>793</v>
      </c>
      <c r="T472">
        <v>9401.66984</v>
      </c>
      <c r="U472" s="2">
        <v>44522</v>
      </c>
      <c r="V472" t="s">
        <v>803</v>
      </c>
    </row>
    <row r="473" spans="1:22">
      <c r="A473" s="1" t="s">
        <v>493</v>
      </c>
      <c r="B473">
        <f>HYPERLINK("https://www.suredividend.com/sure-analysis-BAYRY/","Bayer AG")</f>
        <v>0</v>
      </c>
      <c r="C473">
        <v>13.296</v>
      </c>
      <c r="D473">
        <v>17</v>
      </c>
      <c r="E473">
        <v>0.7821176470588235</v>
      </c>
      <c r="F473">
        <v>0.04512635379061372</v>
      </c>
      <c r="G473">
        <v>0.05037791786427226</v>
      </c>
      <c r="H473">
        <v>0.035</v>
      </c>
      <c r="I473">
        <v>0.1213197444708205</v>
      </c>
      <c r="J473" t="s">
        <v>523</v>
      </c>
      <c r="K473" t="s">
        <v>777</v>
      </c>
      <c r="L473">
        <v>1.86</v>
      </c>
      <c r="M473">
        <v>0.6</v>
      </c>
      <c r="N473">
        <v>0.3225806451612903</v>
      </c>
      <c r="O473">
        <v>0</v>
      </c>
      <c r="P473">
        <v>0.04000235313991807</v>
      </c>
      <c r="Q473">
        <v>-0.09801233721727201</v>
      </c>
      <c r="R473" t="s">
        <v>780</v>
      </c>
      <c r="S473" t="s">
        <v>785</v>
      </c>
      <c r="T473">
        <v>51714.803676</v>
      </c>
      <c r="U473" s="2">
        <v>44519</v>
      </c>
      <c r="V473" t="s">
        <v>798</v>
      </c>
    </row>
    <row r="474" spans="1:22">
      <c r="A474" s="1" t="s">
        <v>494</v>
      </c>
      <c r="B474">
        <f>HYPERLINK("https://www.suredividend.com/sure-analysis-SMFG/","Sumitomo Mitsui Financial Group Inc")</f>
        <v>0</v>
      </c>
      <c r="C474">
        <v>6.83</v>
      </c>
      <c r="D474">
        <v>9.35</v>
      </c>
      <c r="E474">
        <v>0.7304812834224599</v>
      </c>
      <c r="F474">
        <v>0.04978038067349927</v>
      </c>
      <c r="G474">
        <v>0.06482485894573387</v>
      </c>
      <c r="H474">
        <v>0.02</v>
      </c>
      <c r="I474">
        <v>0.1208529658605353</v>
      </c>
      <c r="J474" t="s">
        <v>523</v>
      </c>
      <c r="K474" t="s">
        <v>777</v>
      </c>
      <c r="L474">
        <v>0.85</v>
      </c>
      <c r="M474">
        <v>0.34</v>
      </c>
      <c r="N474">
        <v>0.4</v>
      </c>
      <c r="O474">
        <v>0</v>
      </c>
      <c r="P474">
        <v>0.01149727415513624</v>
      </c>
      <c r="Q474">
        <v>0.15690405001359</v>
      </c>
      <c r="R474" t="s">
        <v>780</v>
      </c>
      <c r="S474" t="s">
        <v>789</v>
      </c>
      <c r="T474">
        <v>46797.029573</v>
      </c>
      <c r="U474" s="2">
        <v>44528</v>
      </c>
      <c r="V474" t="s">
        <v>802</v>
      </c>
    </row>
    <row r="475" spans="1:22">
      <c r="A475" s="1" t="s">
        <v>495</v>
      </c>
      <c r="B475">
        <f>HYPERLINK("https://www.suredividend.com/sure-analysis-OPI/","Office Properties Income Trust")</f>
        <v>0</v>
      </c>
      <c r="C475">
        <v>24.66</v>
      </c>
      <c r="D475">
        <v>28</v>
      </c>
      <c r="E475">
        <v>0.8807142857142857</v>
      </c>
      <c r="F475">
        <v>0.08921330089213302</v>
      </c>
      <c r="G475">
        <v>0.0257298443619729</v>
      </c>
      <c r="H475">
        <v>0.03</v>
      </c>
      <c r="I475">
        <v>0.1200016914764486</v>
      </c>
      <c r="J475" t="s">
        <v>523</v>
      </c>
      <c r="K475" t="s">
        <v>777</v>
      </c>
      <c r="L475">
        <v>4.7</v>
      </c>
      <c r="M475">
        <v>2.2</v>
      </c>
      <c r="N475">
        <v>0.4680851063829787</v>
      </c>
      <c r="O475">
        <v>0</v>
      </c>
      <c r="P475">
        <v>0</v>
      </c>
      <c r="Q475">
        <v>0.171841709042356</v>
      </c>
      <c r="R475" t="s">
        <v>782</v>
      </c>
      <c r="S475" t="s">
        <v>794</v>
      </c>
      <c r="T475">
        <v>1198.535209</v>
      </c>
      <c r="U475" s="2">
        <v>44510</v>
      </c>
      <c r="V475" t="s">
        <v>803</v>
      </c>
    </row>
    <row r="476" spans="1:22">
      <c r="A476" s="1" t="s">
        <v>496</v>
      </c>
      <c r="B476">
        <f>HYPERLINK("https://www.suredividend.com/sure-analysis-ARLP/","Alliance Resource Partners, LP")</f>
        <v>0</v>
      </c>
      <c r="C476">
        <v>12.1</v>
      </c>
      <c r="D476">
        <v>11.02</v>
      </c>
      <c r="E476">
        <v>1.098003629764065</v>
      </c>
      <c r="F476">
        <v>0.06611570247933884</v>
      </c>
      <c r="G476">
        <v>-0.01852499309830991</v>
      </c>
      <c r="H476">
        <v>0.08</v>
      </c>
      <c r="I476">
        <v>0.1194610154072446</v>
      </c>
      <c r="J476" t="s">
        <v>523</v>
      </c>
      <c r="K476" t="s">
        <v>777</v>
      </c>
      <c r="L476">
        <v>1.5</v>
      </c>
      <c r="M476">
        <v>0.8</v>
      </c>
      <c r="N476">
        <v>0.5333333333333333</v>
      </c>
      <c r="O476">
        <v>1</v>
      </c>
      <c r="P476">
        <v>0.08083252207959757</v>
      </c>
      <c r="Q476">
        <v>1.756536897152818</v>
      </c>
      <c r="R476" t="s">
        <v>781</v>
      </c>
      <c r="S476" t="s">
        <v>793</v>
      </c>
      <c r="T476">
        <v>1508.535297</v>
      </c>
      <c r="U476" s="2">
        <v>44497</v>
      </c>
      <c r="V476" t="s">
        <v>796</v>
      </c>
    </row>
    <row r="477" spans="1:22">
      <c r="A477" s="1" t="s">
        <v>497</v>
      </c>
      <c r="B477">
        <f>HYPERLINK("https://www.suredividend.com/sure-analysis-AZN/","Astrazeneca plc")</f>
        <v>0</v>
      </c>
      <c r="C477">
        <v>58.06</v>
      </c>
      <c r="D477">
        <v>78</v>
      </c>
      <c r="E477">
        <v>0.7443589743589744</v>
      </c>
      <c r="F477">
        <v>0.02411298656562177</v>
      </c>
      <c r="G477">
        <v>0.06082443386723924</v>
      </c>
      <c r="H477">
        <v>0.04</v>
      </c>
      <c r="I477">
        <v>0.1190732519098312</v>
      </c>
      <c r="J477" t="s">
        <v>523</v>
      </c>
      <c r="K477" t="s">
        <v>523</v>
      </c>
      <c r="L477">
        <v>5.23</v>
      </c>
      <c r="M477">
        <v>1.4</v>
      </c>
      <c r="N477">
        <v>0.2676864244741873</v>
      </c>
      <c r="O477">
        <v>0</v>
      </c>
      <c r="P477">
        <v>0</v>
      </c>
      <c r="Q477">
        <v>0.220627848272824</v>
      </c>
      <c r="R477" t="s">
        <v>780</v>
      </c>
      <c r="S477" t="s">
        <v>785</v>
      </c>
      <c r="T477">
        <v>178582.107351</v>
      </c>
      <c r="U477" s="2">
        <v>44514</v>
      </c>
      <c r="V477" t="s">
        <v>797</v>
      </c>
    </row>
    <row r="478" spans="1:22">
      <c r="A478" s="1" t="s">
        <v>498</v>
      </c>
      <c r="B478">
        <f>HYPERLINK("https://www.suredividend.com/sure-analysis-MS/","Morgan Stanley")</f>
        <v>0</v>
      </c>
      <c r="C478">
        <v>100.4</v>
      </c>
      <c r="D478">
        <v>98</v>
      </c>
      <c r="E478">
        <v>1.024489795918367</v>
      </c>
      <c r="F478">
        <v>0.02788844621513944</v>
      </c>
      <c r="G478">
        <v>-0.004827256881065223</v>
      </c>
      <c r="H478">
        <v>0.1</v>
      </c>
      <c r="I478">
        <v>0.1182478309173789</v>
      </c>
      <c r="J478" t="s">
        <v>523</v>
      </c>
      <c r="K478" t="s">
        <v>523</v>
      </c>
      <c r="L478">
        <v>7.51</v>
      </c>
      <c r="M478">
        <v>2.8</v>
      </c>
      <c r="N478">
        <v>0.3728362183754993</v>
      </c>
      <c r="O478">
        <v>8</v>
      </c>
      <c r="P478">
        <v>0.07978367728709435</v>
      </c>
      <c r="Q478">
        <v>0.493755967731021</v>
      </c>
      <c r="R478" t="s">
        <v>780</v>
      </c>
      <c r="S478" t="s">
        <v>789</v>
      </c>
      <c r="T478">
        <v>178256.88351</v>
      </c>
      <c r="U478" s="2">
        <v>44483</v>
      </c>
      <c r="V478" t="s">
        <v>796</v>
      </c>
    </row>
    <row r="479" spans="1:22">
      <c r="A479" s="1" t="s">
        <v>499</v>
      </c>
      <c r="B479">
        <f>HYPERLINK("https://www.suredividend.com/sure-analysis-NYCB/","New York Community Bancorp Inc.")</f>
        <v>0</v>
      </c>
      <c r="C479">
        <v>12.22</v>
      </c>
      <c r="D479">
        <v>14</v>
      </c>
      <c r="E479">
        <v>0.8728571428571429</v>
      </c>
      <c r="F479">
        <v>0.05564648117839607</v>
      </c>
      <c r="G479">
        <v>0.02756988037640506</v>
      </c>
      <c r="H479">
        <v>0.05</v>
      </c>
      <c r="I479">
        <v>0.1171998063828579</v>
      </c>
      <c r="J479" t="s">
        <v>523</v>
      </c>
      <c r="K479" t="s">
        <v>345</v>
      </c>
      <c r="L479">
        <v>1.25</v>
      </c>
      <c r="M479">
        <v>0.68</v>
      </c>
      <c r="N479">
        <v>0.544</v>
      </c>
      <c r="O479">
        <v>0</v>
      </c>
      <c r="P479">
        <v>0</v>
      </c>
      <c r="Q479">
        <v>0.223387514340538</v>
      </c>
      <c r="R479" t="s">
        <v>780</v>
      </c>
      <c r="S479" t="s">
        <v>789</v>
      </c>
      <c r="T479">
        <v>5603.500628</v>
      </c>
      <c r="U479" s="2">
        <v>44512</v>
      </c>
      <c r="V479" t="s">
        <v>802</v>
      </c>
    </row>
    <row r="480" spans="1:22">
      <c r="A480" s="1" t="s">
        <v>500</v>
      </c>
      <c r="B480">
        <f>HYPERLINK("https://www.suredividend.com/sure-analysis-HAS/","Hasbro, Inc.")</f>
        <v>0</v>
      </c>
      <c r="C480">
        <v>99.33</v>
      </c>
      <c r="D480">
        <v>102</v>
      </c>
      <c r="E480">
        <v>0.9738235294117646</v>
      </c>
      <c r="F480">
        <v>0.02738346924393436</v>
      </c>
      <c r="G480">
        <v>0.005319131224164053</v>
      </c>
      <c r="H480">
        <v>0.09</v>
      </c>
      <c r="I480">
        <v>0.1169937932567227</v>
      </c>
      <c r="J480" t="s">
        <v>523</v>
      </c>
      <c r="K480" t="s">
        <v>523</v>
      </c>
      <c r="L480">
        <v>4.85</v>
      </c>
      <c r="M480">
        <v>2.72</v>
      </c>
      <c r="N480">
        <v>0.5608247422680414</v>
      </c>
      <c r="O480">
        <v>0</v>
      </c>
      <c r="P480">
        <v>0.04991010133745877</v>
      </c>
      <c r="Q480">
        <v>0.08107391975410801</v>
      </c>
      <c r="R480" t="s">
        <v>780</v>
      </c>
      <c r="S480" t="s">
        <v>788</v>
      </c>
      <c r="T480">
        <v>13507.761036</v>
      </c>
      <c r="U480" s="2">
        <v>44512</v>
      </c>
      <c r="V480" t="s">
        <v>802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18.91</v>
      </c>
      <c r="D481">
        <v>19.95</v>
      </c>
      <c r="E481">
        <v>0.9478696741854638</v>
      </c>
      <c r="F481">
        <v>0.04759386567953464</v>
      </c>
      <c r="G481">
        <v>0.01076518420130013</v>
      </c>
      <c r="H481">
        <v>0.065</v>
      </c>
      <c r="I481">
        <v>0.1168840338328252</v>
      </c>
      <c r="J481" t="s">
        <v>523</v>
      </c>
      <c r="K481" t="s">
        <v>777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0.11996553952186</v>
      </c>
      <c r="R481" t="s">
        <v>780</v>
      </c>
      <c r="S481" t="s">
        <v>789</v>
      </c>
      <c r="T481">
        <v>36366.173214</v>
      </c>
      <c r="U481" s="2">
        <v>44511</v>
      </c>
      <c r="V481" t="s">
        <v>796</v>
      </c>
    </row>
    <row r="482" spans="1:22">
      <c r="A482" s="1" t="s">
        <v>502</v>
      </c>
      <c r="B482">
        <f>HYPERLINK("https://www.suredividend.com/sure-analysis-TAP/","Molson Coors Beverage Company")</f>
        <v>0</v>
      </c>
      <c r="C482">
        <v>45.68</v>
      </c>
      <c r="D482">
        <v>58</v>
      </c>
      <c r="E482">
        <v>0.7875862068965517</v>
      </c>
      <c r="F482">
        <v>0.02977232924693521</v>
      </c>
      <c r="G482">
        <v>0.04891520187482801</v>
      </c>
      <c r="H482">
        <v>0.04</v>
      </c>
      <c r="I482">
        <v>0.1135534862818657</v>
      </c>
      <c r="J482" t="s">
        <v>523</v>
      </c>
      <c r="K482" t="s">
        <v>523</v>
      </c>
      <c r="L482">
        <v>4.15</v>
      </c>
      <c r="M482">
        <v>1.36</v>
      </c>
      <c r="N482">
        <v>0.327710843373494</v>
      </c>
      <c r="O482">
        <v>0</v>
      </c>
      <c r="P482">
        <v>0.03941506521508265</v>
      </c>
      <c r="Q482">
        <v>0.017786142123933</v>
      </c>
      <c r="R482" t="s">
        <v>780</v>
      </c>
      <c r="S482" t="s">
        <v>791</v>
      </c>
      <c r="T482">
        <v>9893.896575000001</v>
      </c>
      <c r="U482" s="2">
        <v>44500</v>
      </c>
      <c r="V482" t="s">
        <v>800</v>
      </c>
    </row>
    <row r="483" spans="1:22">
      <c r="A483" s="1" t="s">
        <v>503</v>
      </c>
      <c r="B483">
        <f>HYPERLINK("https://www.suredividend.com/sure-analysis-TGP/","Teekay LNG Partners LP")</f>
        <v>0</v>
      </c>
      <c r="C483">
        <v>16.94</v>
      </c>
      <c r="D483">
        <v>18.5</v>
      </c>
      <c r="E483">
        <v>0.9156756756756758</v>
      </c>
      <c r="F483">
        <v>0.06788665879574969</v>
      </c>
      <c r="G483">
        <v>0.01777473179965261</v>
      </c>
      <c r="H483">
        <v>0.04</v>
      </c>
      <c r="I483">
        <v>0.1134282352988931</v>
      </c>
      <c r="J483" t="s">
        <v>523</v>
      </c>
      <c r="K483" t="s">
        <v>777</v>
      </c>
      <c r="L483">
        <v>3.7</v>
      </c>
      <c r="M483">
        <v>1.15</v>
      </c>
      <c r="N483">
        <v>0.3108108108108107</v>
      </c>
      <c r="O483">
        <v>3</v>
      </c>
      <c r="P483">
        <v>0.04012620718096094</v>
      </c>
      <c r="Q483">
        <v>0.627837658529081</v>
      </c>
      <c r="R483" t="s">
        <v>781</v>
      </c>
      <c r="S483" t="s">
        <v>793</v>
      </c>
      <c r="T483">
        <v>1472.084392</v>
      </c>
      <c r="U483" s="2">
        <v>44515</v>
      </c>
      <c r="V483" t="s">
        <v>796</v>
      </c>
    </row>
    <row r="484" spans="1:22">
      <c r="A484" s="1" t="s">
        <v>504</v>
      </c>
      <c r="B484">
        <f>HYPERLINK("https://www.suredividend.com/sure-analysis-TS/","Tenaris S.A.")</f>
        <v>0</v>
      </c>
      <c r="C484">
        <v>21.07</v>
      </c>
      <c r="D484">
        <v>25</v>
      </c>
      <c r="E484">
        <v>0.8428</v>
      </c>
      <c r="F484">
        <v>0.0246796392975795</v>
      </c>
      <c r="G484">
        <v>0.03479684187871057</v>
      </c>
      <c r="H484">
        <v>0.06</v>
      </c>
      <c r="I484">
        <v>0.1134269610148013</v>
      </c>
      <c r="J484" t="s">
        <v>523</v>
      </c>
      <c r="K484" t="s">
        <v>523</v>
      </c>
      <c r="L484">
        <v>1.45</v>
      </c>
      <c r="M484">
        <v>0.52</v>
      </c>
      <c r="N484">
        <v>0.3586206896551725</v>
      </c>
      <c r="O484">
        <v>0</v>
      </c>
      <c r="P484">
        <v>0</v>
      </c>
      <c r="Q484">
        <v>0.312232699214437</v>
      </c>
      <c r="R484" t="s">
        <v>780</v>
      </c>
      <c r="S484" t="s">
        <v>793</v>
      </c>
      <c r="T484">
        <v>12206.750822</v>
      </c>
      <c r="U484" s="2">
        <v>44522</v>
      </c>
      <c r="V484" t="s">
        <v>802</v>
      </c>
    </row>
    <row r="485" spans="1:22">
      <c r="A485" s="1" t="s">
        <v>505</v>
      </c>
      <c r="B485">
        <f>HYPERLINK("https://www.suredividend.com/sure-analysis-DOW/","Dow Inc")</f>
        <v>0</v>
      </c>
      <c r="C485">
        <v>55.87</v>
      </c>
      <c r="D485">
        <v>117</v>
      </c>
      <c r="E485">
        <v>0.4775213675213675</v>
      </c>
      <c r="F485">
        <v>0.05011634150706998</v>
      </c>
      <c r="G485">
        <v>0.1593149545692543</v>
      </c>
      <c r="H485">
        <v>-0.07000000000000001</v>
      </c>
      <c r="I485">
        <v>0.112935201601249</v>
      </c>
      <c r="J485" t="s">
        <v>523</v>
      </c>
      <c r="K485" t="s">
        <v>777</v>
      </c>
      <c r="L485">
        <v>9</v>
      </c>
      <c r="M485">
        <v>2.8</v>
      </c>
      <c r="N485">
        <v>0.3111111111111111</v>
      </c>
      <c r="O485">
        <v>0</v>
      </c>
      <c r="P485">
        <v>0</v>
      </c>
      <c r="Q485">
        <v>0.05182237669128</v>
      </c>
      <c r="R485" t="s">
        <v>780</v>
      </c>
      <c r="S485" t="s">
        <v>790</v>
      </c>
      <c r="T485">
        <v>40782.338678</v>
      </c>
      <c r="U485" s="2">
        <v>44498</v>
      </c>
      <c r="V485" t="s">
        <v>802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30.07</v>
      </c>
      <c r="D486">
        <v>39</v>
      </c>
      <c r="E486">
        <v>0.7710256410256411</v>
      </c>
      <c r="F486">
        <v>0.03658131027602261</v>
      </c>
      <c r="G486">
        <v>0.05338283157251178</v>
      </c>
      <c r="H486">
        <v>0.03</v>
      </c>
      <c r="I486">
        <v>0.1101839112991123</v>
      </c>
      <c r="J486" t="s">
        <v>523</v>
      </c>
      <c r="K486" t="s">
        <v>345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0.189987689782519</v>
      </c>
      <c r="R486" t="s">
        <v>780</v>
      </c>
      <c r="S486" t="s">
        <v>789</v>
      </c>
      <c r="T486">
        <v>121445.327207</v>
      </c>
      <c r="U486" s="2">
        <v>44495</v>
      </c>
      <c r="V486" t="s">
        <v>799</v>
      </c>
    </row>
    <row r="487" spans="1:22">
      <c r="A487" s="1" t="s">
        <v>507</v>
      </c>
      <c r="B487">
        <f>HYPERLINK("https://www.suredividend.com/sure-analysis-PGRE/","Paramount Group Inc")</f>
        <v>0</v>
      </c>
      <c r="C487">
        <v>8.470000000000001</v>
      </c>
      <c r="D487">
        <v>11</v>
      </c>
      <c r="E487">
        <v>0.77</v>
      </c>
      <c r="F487">
        <v>0.03305785123966942</v>
      </c>
      <c r="G487">
        <v>0.05366330364357852</v>
      </c>
      <c r="H487">
        <v>0.03</v>
      </c>
      <c r="I487">
        <v>0.1085876732665274</v>
      </c>
      <c r="J487" t="s">
        <v>523</v>
      </c>
      <c r="K487" t="s">
        <v>345</v>
      </c>
      <c r="L487">
        <v>0.91</v>
      </c>
      <c r="M487">
        <v>0.28</v>
      </c>
      <c r="N487">
        <v>0.3076923076923077</v>
      </c>
      <c r="O487">
        <v>0</v>
      </c>
      <c r="P487">
        <v>0.007042949693310208</v>
      </c>
      <c r="Q487">
        <v>-0.019788948668806</v>
      </c>
      <c r="R487" t="s">
        <v>782</v>
      </c>
      <c r="S487" t="s">
        <v>794</v>
      </c>
      <c r="T487">
        <v>1858.939887</v>
      </c>
      <c r="U487" s="2">
        <v>44498</v>
      </c>
      <c r="V487" t="s">
        <v>795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27.14</v>
      </c>
      <c r="D488">
        <v>42</v>
      </c>
      <c r="E488">
        <v>0.6461904761904762</v>
      </c>
      <c r="F488">
        <v>0.04826823876197495</v>
      </c>
      <c r="G488">
        <v>0.09125912791191326</v>
      </c>
      <c r="H488">
        <v>-0.02</v>
      </c>
      <c r="I488">
        <v>0.1070705825435063</v>
      </c>
      <c r="J488" t="s">
        <v>523</v>
      </c>
      <c r="K488" t="s">
        <v>777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0.345761375600652</v>
      </c>
      <c r="R488" t="s">
        <v>780</v>
      </c>
      <c r="S488" t="s">
        <v>793</v>
      </c>
      <c r="T488">
        <v>88602.253432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HYPERLINK("https://www.suredividend.com/sure-analysis-MED/","Medifast Inc")</f>
        <v>0</v>
      </c>
      <c r="C489">
        <v>207.53</v>
      </c>
      <c r="D489">
        <v>208</v>
      </c>
      <c r="E489">
        <v>0.9977403846153846</v>
      </c>
      <c r="F489">
        <v>0.02736953693441912</v>
      </c>
      <c r="G489">
        <v>0.0004525367974452799</v>
      </c>
      <c r="H489">
        <v>0.08</v>
      </c>
      <c r="I489">
        <v>0.1062102500693312</v>
      </c>
      <c r="J489" t="s">
        <v>523</v>
      </c>
      <c r="K489" t="s">
        <v>523</v>
      </c>
      <c r="L489">
        <v>13.9</v>
      </c>
      <c r="M489">
        <v>5.68</v>
      </c>
      <c r="N489">
        <v>0.4086330935251798</v>
      </c>
      <c r="O489">
        <v>6</v>
      </c>
      <c r="P489">
        <v>0.1000553858515176</v>
      </c>
      <c r="Q489">
        <v>0.05750452753836</v>
      </c>
      <c r="R489" t="s">
        <v>780</v>
      </c>
      <c r="S489" t="s">
        <v>788</v>
      </c>
      <c r="T489">
        <v>2372.034779</v>
      </c>
      <c r="U489" s="2">
        <v>44518</v>
      </c>
      <c r="V489" t="s">
        <v>806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34.95</v>
      </c>
      <c r="D490">
        <v>41</v>
      </c>
      <c r="E490">
        <v>0.852439024390244</v>
      </c>
      <c r="F490">
        <v>0.03776824034334764</v>
      </c>
      <c r="G490">
        <v>0.0324459745622685</v>
      </c>
      <c r="H490">
        <v>0.04</v>
      </c>
      <c r="I490">
        <v>0.1048072990983249</v>
      </c>
      <c r="J490" t="s">
        <v>523</v>
      </c>
      <c r="K490" t="s">
        <v>345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0.207057613384694</v>
      </c>
      <c r="R490" t="s">
        <v>780</v>
      </c>
      <c r="S490" t="s">
        <v>789</v>
      </c>
      <c r="T490">
        <v>2181.451767</v>
      </c>
      <c r="U490" s="2">
        <v>44498</v>
      </c>
      <c r="V490" t="s">
        <v>795</v>
      </c>
    </row>
    <row r="491" spans="1:22">
      <c r="A491" s="1" t="s">
        <v>511</v>
      </c>
      <c r="B491">
        <f>HYPERLINK("https://www.suredividend.com/sure-analysis-TRST/","Trustco Bank Corp.")</f>
        <v>0</v>
      </c>
      <c r="C491">
        <v>33.11</v>
      </c>
      <c r="D491">
        <v>39</v>
      </c>
      <c r="E491">
        <v>0.8489743589743589</v>
      </c>
      <c r="F491">
        <v>0.04107520386590154</v>
      </c>
      <c r="G491">
        <v>0.03328728498686573</v>
      </c>
      <c r="H491">
        <v>0.04</v>
      </c>
      <c r="I491">
        <v>0.1046395635842463</v>
      </c>
      <c r="J491" t="s">
        <v>523</v>
      </c>
      <c r="K491" t="s">
        <v>345</v>
      </c>
      <c r="L491">
        <v>3.09</v>
      </c>
      <c r="M491">
        <v>1.36</v>
      </c>
      <c r="N491">
        <v>0.4401294498381877</v>
      </c>
      <c r="O491">
        <v>0</v>
      </c>
      <c r="P491">
        <v>0.0100884981090783</v>
      </c>
      <c r="Q491">
        <v>0.03903149899377301</v>
      </c>
      <c r="R491" t="s">
        <v>780</v>
      </c>
      <c r="S491" t="s">
        <v>789</v>
      </c>
      <c r="T491">
        <v>633.057423</v>
      </c>
      <c r="U491" s="2">
        <v>44493</v>
      </c>
      <c r="V491" t="s">
        <v>795</v>
      </c>
    </row>
    <row r="492" spans="1:22">
      <c r="A492" s="1" t="s">
        <v>512</v>
      </c>
      <c r="B492">
        <f>HYPERLINK("https://www.suredividend.com/sure-analysis-DRI/","Darden Restaurants, Inc.")</f>
        <v>0</v>
      </c>
      <c r="C492">
        <v>150.23</v>
      </c>
      <c r="D492">
        <v>148</v>
      </c>
      <c r="E492">
        <v>1.015067567567568</v>
      </c>
      <c r="F492">
        <v>0.02928842441589563</v>
      </c>
      <c r="G492">
        <v>-0.002986567170728427</v>
      </c>
      <c r="H492">
        <v>0.08</v>
      </c>
      <c r="I492">
        <v>0.1030790342001933</v>
      </c>
      <c r="J492" t="s">
        <v>523</v>
      </c>
      <c r="K492" t="s">
        <v>523</v>
      </c>
      <c r="L492">
        <v>7.42</v>
      </c>
      <c r="M492">
        <v>4.4</v>
      </c>
      <c r="N492">
        <v>0.5929919137466307</v>
      </c>
      <c r="O492">
        <v>1</v>
      </c>
      <c r="P492">
        <v>0.08016554685867416</v>
      </c>
      <c r="Q492">
        <v>0.283071371491574</v>
      </c>
      <c r="R492" t="s">
        <v>780</v>
      </c>
      <c r="S492" t="s">
        <v>788</v>
      </c>
      <c r="T492">
        <v>19317.199847</v>
      </c>
      <c r="U492" s="2">
        <v>44464</v>
      </c>
      <c r="V492" t="s">
        <v>799</v>
      </c>
    </row>
    <row r="493" spans="1:22">
      <c r="A493" s="1" t="s">
        <v>513</v>
      </c>
      <c r="B493">
        <f>HYPERLINK("https://www.suredividend.com/sure-analysis-ITUB/","Itau Unibanco Holding S.A.")</f>
        <v>0</v>
      </c>
      <c r="C493">
        <v>3.79</v>
      </c>
      <c r="D493">
        <v>4.9</v>
      </c>
      <c r="E493">
        <v>0.773469387755102</v>
      </c>
      <c r="F493">
        <v>0.04749340369393139</v>
      </c>
      <c r="G493">
        <v>0.05271636427427207</v>
      </c>
      <c r="H493">
        <v>0.015</v>
      </c>
      <c r="I493">
        <v>0.1026849877057876</v>
      </c>
      <c r="J493" t="s">
        <v>523</v>
      </c>
      <c r="K493" t="s">
        <v>777</v>
      </c>
      <c r="L493">
        <v>0.49</v>
      </c>
      <c r="M493">
        <v>0.18</v>
      </c>
      <c r="N493">
        <v>0.3673469387755102</v>
      </c>
      <c r="O493">
        <v>0</v>
      </c>
      <c r="P493">
        <v>0</v>
      </c>
      <c r="Q493">
        <v>-0.24827142627432</v>
      </c>
      <c r="R493" t="s">
        <v>780</v>
      </c>
      <c r="S493" t="s">
        <v>789</v>
      </c>
      <c r="T493">
        <v>18123.460259</v>
      </c>
      <c r="U493" s="2">
        <v>44529</v>
      </c>
      <c r="V493" t="s">
        <v>799</v>
      </c>
    </row>
    <row r="494" spans="1:22">
      <c r="A494" s="1" t="s">
        <v>514</v>
      </c>
      <c r="B494">
        <f>HYPERLINK("https://www.suredividend.com/sure-analysis-RF/","Regions Financial Corp.")</f>
        <v>0</v>
      </c>
      <c r="C494">
        <v>21.89</v>
      </c>
      <c r="D494">
        <v>26</v>
      </c>
      <c r="E494">
        <v>0.841923076923077</v>
      </c>
      <c r="F494">
        <v>0.03106441297396071</v>
      </c>
      <c r="G494">
        <v>0.03501231510357594</v>
      </c>
      <c r="H494">
        <v>0.04</v>
      </c>
      <c r="I494">
        <v>0.1020529380066331</v>
      </c>
      <c r="J494" t="s">
        <v>523</v>
      </c>
      <c r="K494" t="s">
        <v>345</v>
      </c>
      <c r="L494">
        <v>2.4</v>
      </c>
      <c r="M494">
        <v>0.68</v>
      </c>
      <c r="N494">
        <v>0.2833333333333334</v>
      </c>
      <c r="O494">
        <v>0</v>
      </c>
      <c r="P494">
        <v>0.0505145404837426</v>
      </c>
      <c r="Q494">
        <v>0.390701942588308</v>
      </c>
      <c r="R494" t="s">
        <v>780</v>
      </c>
      <c r="S494" t="s">
        <v>789</v>
      </c>
      <c r="T494">
        <v>20514.642047</v>
      </c>
      <c r="U494" s="2">
        <v>44491</v>
      </c>
      <c r="V494" t="s">
        <v>798</v>
      </c>
    </row>
    <row r="495" spans="1:22">
      <c r="A495" s="1" t="s">
        <v>515</v>
      </c>
      <c r="B495">
        <f>HYPERLINK("https://www.suredividend.com/sure-analysis-NTR/","Nutrien Ltd")</f>
        <v>0</v>
      </c>
      <c r="C495">
        <v>76.19</v>
      </c>
      <c r="D495">
        <v>102</v>
      </c>
      <c r="E495">
        <v>0.7469607843137255</v>
      </c>
      <c r="F495">
        <v>0.02415015093844337</v>
      </c>
      <c r="G495">
        <v>0.06008439042118296</v>
      </c>
      <c r="H495">
        <v>0.02</v>
      </c>
      <c r="I495">
        <v>0.09941491731568908</v>
      </c>
      <c r="J495" t="s">
        <v>523</v>
      </c>
      <c r="K495" t="s">
        <v>523</v>
      </c>
      <c r="L495">
        <v>5.98</v>
      </c>
      <c r="M495">
        <v>1.84</v>
      </c>
      <c r="N495">
        <v>0.3076923076923077</v>
      </c>
      <c r="O495">
        <v>3</v>
      </c>
      <c r="P495">
        <v>0.01984845658885503</v>
      </c>
      <c r="Q495">
        <v>0.6381875297643751</v>
      </c>
      <c r="R495" t="s">
        <v>780</v>
      </c>
      <c r="S495" t="s">
        <v>790</v>
      </c>
      <c r="T495">
        <v>42641.892456</v>
      </c>
      <c r="U495" s="2">
        <v>44522</v>
      </c>
      <c r="V495" t="s">
        <v>799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21.7901</v>
      </c>
      <c r="D496">
        <v>22</v>
      </c>
      <c r="E496">
        <v>0.9904590909090909</v>
      </c>
      <c r="F496">
        <v>0.08673663728023277</v>
      </c>
      <c r="G496">
        <v>0.001919182307706491</v>
      </c>
      <c r="H496">
        <v>0.03</v>
      </c>
      <c r="I496">
        <v>0.09912631397585292</v>
      </c>
      <c r="J496" t="s">
        <v>523</v>
      </c>
      <c r="K496" t="s">
        <v>777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0.130078471901242</v>
      </c>
      <c r="R496" t="s">
        <v>780</v>
      </c>
      <c r="S496" t="s">
        <v>791</v>
      </c>
      <c r="T496">
        <v>20593.840278</v>
      </c>
      <c r="U496" s="2">
        <v>44516</v>
      </c>
      <c r="V496" t="s">
        <v>797</v>
      </c>
    </row>
    <row r="497" spans="1:22">
      <c r="A497" s="1" t="s">
        <v>517</v>
      </c>
      <c r="B497">
        <f>HYPERLINK("https://www.suredividend.com/sure-analysis-RDS.B/","Royal Dutch Shell Plc")</f>
        <v>0</v>
      </c>
      <c r="C497">
        <v>44.28</v>
      </c>
      <c r="D497">
        <v>56</v>
      </c>
      <c r="E497">
        <v>0.7907142857142857</v>
      </c>
      <c r="F497">
        <v>0.04336043360433604</v>
      </c>
      <c r="G497">
        <v>0.04808398031739158</v>
      </c>
      <c r="H497">
        <v>0.01</v>
      </c>
      <c r="I497">
        <v>0.09900463415995109</v>
      </c>
      <c r="J497" t="s">
        <v>523</v>
      </c>
      <c r="K497" t="s">
        <v>345</v>
      </c>
      <c r="L497">
        <v>4.7</v>
      </c>
      <c r="M497">
        <v>1.92</v>
      </c>
      <c r="N497">
        <v>0.4085106382978723</v>
      </c>
      <c r="O497">
        <v>0</v>
      </c>
      <c r="P497">
        <v>0.07914802001878241</v>
      </c>
      <c r="Q497">
        <v>0.330022192335599</v>
      </c>
      <c r="R497" t="s">
        <v>780</v>
      </c>
      <c r="S497" t="s">
        <v>793</v>
      </c>
      <c r="T497">
        <v>171083.126724</v>
      </c>
      <c r="U497" s="2">
        <v>44502</v>
      </c>
      <c r="V497" t="s">
        <v>803</v>
      </c>
    </row>
    <row r="498" spans="1:22">
      <c r="A498" s="1" t="s">
        <v>518</v>
      </c>
      <c r="B498">
        <f>HYPERLINK("https://www.suredividend.com/sure-analysis-BDN/","Brandywine Realty Trust")</f>
        <v>0</v>
      </c>
      <c r="C498">
        <v>13.59</v>
      </c>
      <c r="D498">
        <v>15</v>
      </c>
      <c r="E498">
        <v>0.906</v>
      </c>
      <c r="F498">
        <v>0.05592347314201619</v>
      </c>
      <c r="G498">
        <v>0.01993938043889498</v>
      </c>
      <c r="H498">
        <v>0.03</v>
      </c>
      <c r="I498">
        <v>0.09651258987040334</v>
      </c>
      <c r="J498" t="s">
        <v>523</v>
      </c>
      <c r="K498" t="s">
        <v>345</v>
      </c>
      <c r="L498">
        <v>1.37</v>
      </c>
      <c r="M498">
        <v>0.76</v>
      </c>
      <c r="N498">
        <v>0.5547445255474452</v>
      </c>
      <c r="O498">
        <v>0</v>
      </c>
      <c r="P498">
        <v>0.02975477857041309</v>
      </c>
      <c r="Q498">
        <v>0.202643681228262</v>
      </c>
      <c r="R498" t="s">
        <v>782</v>
      </c>
      <c r="S498" t="s">
        <v>794</v>
      </c>
      <c r="T498">
        <v>2313.626995</v>
      </c>
      <c r="U498" s="2">
        <v>44537</v>
      </c>
      <c r="V498" t="s">
        <v>803</v>
      </c>
    </row>
    <row r="499" spans="1:22">
      <c r="A499" s="1" t="s">
        <v>519</v>
      </c>
      <c r="B499">
        <f>HYPERLINK("https://www.suredividend.com/sure-analysis-DD/","DuPont de Nemours Inc")</f>
        <v>0</v>
      </c>
      <c r="C499">
        <v>79.81</v>
      </c>
      <c r="D499">
        <v>77</v>
      </c>
      <c r="E499">
        <v>1.036493506493507</v>
      </c>
      <c r="F499">
        <v>0.01503570981080065</v>
      </c>
      <c r="G499">
        <v>-0.007143043927300696</v>
      </c>
      <c r="H499">
        <v>0.09</v>
      </c>
      <c r="I499">
        <v>0.09502775004490593</v>
      </c>
      <c r="J499" t="s">
        <v>523</v>
      </c>
      <c r="K499" t="s">
        <v>778</v>
      </c>
      <c r="L499">
        <v>4.25</v>
      </c>
      <c r="M499">
        <v>1.2</v>
      </c>
      <c r="N499">
        <v>0.2823529411764706</v>
      </c>
      <c r="O499">
        <v>0</v>
      </c>
      <c r="P499">
        <v>0.06054457313435013</v>
      </c>
      <c r="Q499">
        <v>0.147314678878979</v>
      </c>
      <c r="R499" t="s">
        <v>780</v>
      </c>
      <c r="S499" t="s">
        <v>790</v>
      </c>
      <c r="T499">
        <v>41080.87259</v>
      </c>
      <c r="U499" s="2">
        <v>44520</v>
      </c>
      <c r="V499" t="s">
        <v>802</v>
      </c>
    </row>
    <row r="500" spans="1:22">
      <c r="A500" s="1" t="s">
        <v>520</v>
      </c>
      <c r="B500">
        <f>HYPERLINK("https://www.suredividend.com/sure-analysis-HASI/","Hannon Armstrong Sustainable Infrastructure capital Inc")</f>
        <v>0</v>
      </c>
      <c r="C500">
        <v>52.93</v>
      </c>
      <c r="D500">
        <v>50</v>
      </c>
      <c r="E500">
        <v>1.0586</v>
      </c>
      <c r="F500">
        <v>0.02645002833931608</v>
      </c>
      <c r="G500">
        <v>-0.0113248417733065</v>
      </c>
      <c r="H500">
        <v>0.08500000000000001</v>
      </c>
      <c r="I500">
        <v>0.09430286692541268</v>
      </c>
      <c r="J500" t="s">
        <v>523</v>
      </c>
      <c r="K500" t="s">
        <v>523</v>
      </c>
      <c r="L500">
        <v>1.68</v>
      </c>
      <c r="M500">
        <v>1.4</v>
      </c>
      <c r="N500">
        <v>0.8333333333333333</v>
      </c>
      <c r="O500">
        <v>3</v>
      </c>
      <c r="P500">
        <v>0.03959498820755258</v>
      </c>
      <c r="Q500">
        <v>-0.171212135387916</v>
      </c>
      <c r="R500" t="s">
        <v>782</v>
      </c>
      <c r="S500" t="s">
        <v>794</v>
      </c>
      <c r="T500">
        <v>4178.503914</v>
      </c>
      <c r="U500" s="2">
        <v>44513</v>
      </c>
      <c r="V500" t="s">
        <v>796</v>
      </c>
    </row>
    <row r="501" spans="1:22">
      <c r="A501" s="1" t="s">
        <v>521</v>
      </c>
      <c r="B501">
        <f>HYPERLINK("https://www.suredividend.com/sure-analysis-WMB/","Williams Cos Inc")</f>
        <v>0</v>
      </c>
      <c r="C501">
        <v>26.26</v>
      </c>
      <c r="D501">
        <v>25</v>
      </c>
      <c r="E501">
        <v>1.0504</v>
      </c>
      <c r="F501">
        <v>0.06245239908606245</v>
      </c>
      <c r="G501">
        <v>-0.00978601109474786</v>
      </c>
      <c r="H501">
        <v>0.05</v>
      </c>
      <c r="I501">
        <v>0.0940393041069334</v>
      </c>
      <c r="J501" t="s">
        <v>523</v>
      </c>
      <c r="K501" t="s">
        <v>777</v>
      </c>
      <c r="L501">
        <v>3.35</v>
      </c>
      <c r="M501">
        <v>1.64</v>
      </c>
      <c r="N501">
        <v>0.4895522388059701</v>
      </c>
      <c r="O501">
        <v>4</v>
      </c>
      <c r="P501">
        <v>0.04048836820440749</v>
      </c>
      <c r="Q501">
        <v>0.327799551065064</v>
      </c>
      <c r="R501" t="s">
        <v>780</v>
      </c>
      <c r="S501" t="s">
        <v>793</v>
      </c>
      <c r="T501">
        <v>31408.520304</v>
      </c>
      <c r="U501" s="2">
        <v>44504</v>
      </c>
      <c r="V501" t="s">
        <v>803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15.82</v>
      </c>
      <c r="D502">
        <v>20.3</v>
      </c>
      <c r="E502">
        <v>0.7793103448275862</v>
      </c>
      <c r="F502">
        <v>0.06826801517067003</v>
      </c>
      <c r="G502">
        <v>0.0511335830705677</v>
      </c>
      <c r="H502">
        <v>-0.012</v>
      </c>
      <c r="I502">
        <v>0.09336539142411016</v>
      </c>
      <c r="J502" t="s">
        <v>523</v>
      </c>
      <c r="K502" t="s">
        <v>777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0.206240985970892</v>
      </c>
      <c r="R502" t="s">
        <v>780</v>
      </c>
      <c r="S502" t="s">
        <v>793</v>
      </c>
      <c r="T502">
        <v>35448.385265</v>
      </c>
      <c r="U502" s="2">
        <v>44491</v>
      </c>
      <c r="V502" t="s">
        <v>805</v>
      </c>
    </row>
    <row r="503" spans="1:22">
      <c r="A503" s="1" t="s">
        <v>523</v>
      </c>
      <c r="B503">
        <f>HYPERLINK("https://www.suredividend.com/sure-analysis-D/","Dominion Energy Inc")</f>
        <v>0</v>
      </c>
      <c r="C503">
        <v>77.43000000000001</v>
      </c>
      <c r="D503">
        <v>77</v>
      </c>
      <c r="E503">
        <v>1.005584415584416</v>
      </c>
      <c r="F503">
        <v>0.03254552499031383</v>
      </c>
      <c r="G503">
        <v>-0.001113156090587819</v>
      </c>
      <c r="H503">
        <v>0.065</v>
      </c>
      <c r="I503">
        <v>0.09257220170031277</v>
      </c>
      <c r="J503" t="s">
        <v>523</v>
      </c>
      <c r="K503" t="s">
        <v>523</v>
      </c>
      <c r="L503">
        <v>3.85</v>
      </c>
      <c r="M503">
        <v>2.52</v>
      </c>
      <c r="N503">
        <v>0.6545454545454545</v>
      </c>
      <c r="O503">
        <v>16</v>
      </c>
      <c r="P503">
        <v>0.05985358218414349</v>
      </c>
      <c r="Q503">
        <v>0.078273090017817</v>
      </c>
      <c r="R503" t="s">
        <v>780</v>
      </c>
      <c r="S503" t="s">
        <v>792</v>
      </c>
      <c r="T503">
        <v>62528.409638</v>
      </c>
      <c r="U503" s="2">
        <v>44517</v>
      </c>
      <c r="V503" t="s">
        <v>804</v>
      </c>
    </row>
    <row r="504" spans="1:22">
      <c r="A504" s="1" t="s">
        <v>524</v>
      </c>
      <c r="B504">
        <f>HYPERLINK("https://www.suredividend.com/sure-analysis-WEN/","Wendy`s Co")</f>
        <v>0</v>
      </c>
      <c r="C504">
        <v>23.6</v>
      </c>
      <c r="D504">
        <v>24</v>
      </c>
      <c r="E504">
        <v>0.9833333333333334</v>
      </c>
      <c r="F504">
        <v>0.02033898305084746</v>
      </c>
      <c r="G504">
        <v>0.003367079583337151</v>
      </c>
      <c r="H504">
        <v>0.07000000000000001</v>
      </c>
      <c r="I504">
        <v>0.09176187336243746</v>
      </c>
      <c r="J504" t="s">
        <v>523</v>
      </c>
      <c r="K504" t="s">
        <v>778</v>
      </c>
      <c r="L504">
        <v>0.8</v>
      </c>
      <c r="M504">
        <v>0.48</v>
      </c>
      <c r="N504">
        <v>0.6</v>
      </c>
      <c r="O504">
        <v>1</v>
      </c>
      <c r="P504">
        <v>0.06897294358221773</v>
      </c>
      <c r="Q504">
        <v>0.05995347653836301</v>
      </c>
      <c r="R504" t="s">
        <v>780</v>
      </c>
      <c r="S504" t="s">
        <v>788</v>
      </c>
      <c r="T504">
        <v>5147.401299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HYPERLINK("https://www.suredividend.com/sure-analysis-SAFE/","Safehold Inc")</f>
        <v>0</v>
      </c>
      <c r="C505">
        <v>77.37</v>
      </c>
      <c r="D505">
        <v>65</v>
      </c>
      <c r="E505">
        <v>1.190307692307692</v>
      </c>
      <c r="F505">
        <v>0.008788936280211969</v>
      </c>
      <c r="G505">
        <v>-0.03424236117450252</v>
      </c>
      <c r="H505">
        <v>0.12</v>
      </c>
      <c r="I505">
        <v>0.08916410296089361</v>
      </c>
      <c r="J505" t="s">
        <v>523</v>
      </c>
      <c r="K505" t="s">
        <v>778</v>
      </c>
      <c r="L505">
        <v>1.48</v>
      </c>
      <c r="M505">
        <v>0.68</v>
      </c>
      <c r="N505">
        <v>0.4594594594594595</v>
      </c>
      <c r="O505">
        <v>3</v>
      </c>
      <c r="P505">
        <v>0.0576615571948691</v>
      </c>
      <c r="Q505">
        <v>0.03749746012221401</v>
      </c>
      <c r="R505" t="s">
        <v>782</v>
      </c>
      <c r="S505" t="s">
        <v>794</v>
      </c>
      <c r="T505">
        <v>4303.074986</v>
      </c>
      <c r="U505" s="2">
        <v>44492</v>
      </c>
      <c r="V505" t="s">
        <v>805</v>
      </c>
    </row>
    <row r="506" spans="1:22">
      <c r="A506" s="1" t="s">
        <v>526</v>
      </c>
      <c r="B506">
        <f>HYPERLINK("https://www.suredividend.com/sure-analysis-SUUIF/","Superior Plus Corp.")</f>
        <v>0</v>
      </c>
      <c r="C506">
        <v>10.162</v>
      </c>
      <c r="D506">
        <v>12.6</v>
      </c>
      <c r="E506">
        <v>0.8065079365079366</v>
      </c>
      <c r="F506">
        <v>0.05707537886242865</v>
      </c>
      <c r="G506">
        <v>0.04394656808675679</v>
      </c>
      <c r="H506">
        <v>0</v>
      </c>
      <c r="I506">
        <v>0.0881042372610501</v>
      </c>
      <c r="J506" t="s">
        <v>523</v>
      </c>
      <c r="K506" t="s">
        <v>777</v>
      </c>
      <c r="L506">
        <v>1.75</v>
      </c>
      <c r="M506">
        <v>0.58</v>
      </c>
      <c r="N506">
        <v>0.3314285714285714</v>
      </c>
      <c r="O506">
        <v>0</v>
      </c>
      <c r="P506">
        <v>0</v>
      </c>
      <c r="Q506">
        <v>0.056340956340956</v>
      </c>
      <c r="R506" t="s">
        <v>780</v>
      </c>
      <c r="S506" t="s">
        <v>792</v>
      </c>
      <c r="T506">
        <v>1788.935623</v>
      </c>
      <c r="U506" s="2">
        <v>44516</v>
      </c>
      <c r="V506" t="s">
        <v>796</v>
      </c>
    </row>
    <row r="507" spans="1:22">
      <c r="A507" s="1" t="s">
        <v>527</v>
      </c>
      <c r="B507">
        <f>HYPERLINK("https://www.suredividend.com/sure-analysis-PETS/","Petmed Express, Inc.")</f>
        <v>0</v>
      </c>
      <c r="C507">
        <v>27.17</v>
      </c>
      <c r="D507">
        <v>23</v>
      </c>
      <c r="E507">
        <v>1.181304347826087</v>
      </c>
      <c r="F507">
        <v>0.04416635995583364</v>
      </c>
      <c r="G507">
        <v>-0.03277471882216187</v>
      </c>
      <c r="H507">
        <v>0.08</v>
      </c>
      <c r="I507">
        <v>0.08782491654865909</v>
      </c>
      <c r="J507" t="s">
        <v>523</v>
      </c>
      <c r="K507" t="s">
        <v>777</v>
      </c>
      <c r="L507">
        <v>1.25</v>
      </c>
      <c r="M507">
        <v>1.2</v>
      </c>
      <c r="N507">
        <v>0.96</v>
      </c>
      <c r="O507">
        <v>13</v>
      </c>
      <c r="P507">
        <v>0.0796084730466029</v>
      </c>
      <c r="Q507">
        <v>-0.188732047851893</v>
      </c>
      <c r="R507" t="s">
        <v>780</v>
      </c>
      <c r="S507" t="s">
        <v>785</v>
      </c>
      <c r="T507">
        <v>536.808704</v>
      </c>
      <c r="U507" s="2">
        <v>44499</v>
      </c>
      <c r="V507" t="s">
        <v>799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56.9</v>
      </c>
      <c r="D508">
        <v>58</v>
      </c>
      <c r="E508">
        <v>0.9810344827586207</v>
      </c>
      <c r="F508">
        <v>0.03796133567662566</v>
      </c>
      <c r="G508">
        <v>0.003836875916904514</v>
      </c>
      <c r="H508">
        <v>0.05</v>
      </c>
      <c r="I508">
        <v>0.08676009926307637</v>
      </c>
      <c r="J508" t="s">
        <v>523</v>
      </c>
      <c r="K508" t="s">
        <v>345</v>
      </c>
      <c r="L508">
        <v>4.14</v>
      </c>
      <c r="M508">
        <v>2.16</v>
      </c>
      <c r="N508">
        <v>0.5217391304347827</v>
      </c>
      <c r="O508">
        <v>11</v>
      </c>
      <c r="P508">
        <v>0.04173780361657564</v>
      </c>
      <c r="Q508">
        <v>0.327142198511493</v>
      </c>
      <c r="R508" t="s">
        <v>780</v>
      </c>
      <c r="S508" t="s">
        <v>789</v>
      </c>
      <c r="T508">
        <v>979.646244</v>
      </c>
      <c r="U508" s="2">
        <v>44495</v>
      </c>
      <c r="V508" t="s">
        <v>797</v>
      </c>
    </row>
    <row r="509" spans="1:22">
      <c r="A509" s="1" t="s">
        <v>529</v>
      </c>
      <c r="B509">
        <f>HYPERLINK("https://www.suredividend.com/sure-analysis-MKTX/","MarketAxess Holdings Inc.")</f>
        <v>0</v>
      </c>
      <c r="C509">
        <v>413.61</v>
      </c>
      <c r="D509">
        <v>300</v>
      </c>
      <c r="E509">
        <v>1.3787</v>
      </c>
      <c r="F509">
        <v>0.00638282439979691</v>
      </c>
      <c r="G509">
        <v>-0.062209033701774</v>
      </c>
      <c r="H509">
        <v>0.15</v>
      </c>
      <c r="I509">
        <v>0.0856794026446146</v>
      </c>
      <c r="J509" t="s">
        <v>523</v>
      </c>
      <c r="K509" t="s">
        <v>778</v>
      </c>
      <c r="L509">
        <v>7.15</v>
      </c>
      <c r="M509">
        <v>2.64</v>
      </c>
      <c r="N509">
        <v>0.3692307692307693</v>
      </c>
      <c r="O509">
        <v>11</v>
      </c>
      <c r="P509">
        <v>0.1500007374307972</v>
      </c>
      <c r="Q509">
        <v>-0.279335782284895</v>
      </c>
      <c r="R509" t="s">
        <v>780</v>
      </c>
      <c r="S509" t="s">
        <v>789</v>
      </c>
      <c r="T509">
        <v>15616.335774</v>
      </c>
      <c r="U509" s="2">
        <v>44494</v>
      </c>
      <c r="V509" t="s">
        <v>795</v>
      </c>
    </row>
    <row r="510" spans="1:22">
      <c r="A510" s="1" t="s">
        <v>530</v>
      </c>
      <c r="B510">
        <f>HYPERLINK("https://www.suredividend.com/sure-analysis-AMCR/","Amcor Plc")</f>
        <v>0</v>
      </c>
      <c r="C510">
        <v>11.81</v>
      </c>
      <c r="D510">
        <v>12</v>
      </c>
      <c r="E510">
        <v>0.9841666666666667</v>
      </c>
      <c r="F510">
        <v>0.03979678238780694</v>
      </c>
      <c r="G510">
        <v>0.003197103785068878</v>
      </c>
      <c r="H510">
        <v>0.05</v>
      </c>
      <c r="I510">
        <v>0.08567334597812404</v>
      </c>
      <c r="J510" t="s">
        <v>523</v>
      </c>
      <c r="K510" t="s">
        <v>345</v>
      </c>
      <c r="L510">
        <v>0.8</v>
      </c>
      <c r="M510">
        <v>0.47</v>
      </c>
      <c r="N510">
        <v>0.5874999999999999</v>
      </c>
      <c r="O510">
        <v>1</v>
      </c>
      <c r="P510">
        <v>0.0204250165236175</v>
      </c>
      <c r="Q510">
        <v>0.03255286741525201</v>
      </c>
      <c r="R510" t="s">
        <v>780</v>
      </c>
      <c r="S510" t="s">
        <v>790</v>
      </c>
      <c r="T510">
        <v>17876.749351</v>
      </c>
      <c r="U510" s="2">
        <v>44522</v>
      </c>
      <c r="V510" t="s">
        <v>799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158.43</v>
      </c>
      <c r="D511">
        <v>157</v>
      </c>
      <c r="E511">
        <v>1.009108280254777</v>
      </c>
      <c r="F511">
        <v>0.04165877674682825</v>
      </c>
      <c r="G511">
        <v>-0.001811766773236689</v>
      </c>
      <c r="H511">
        <v>0.05</v>
      </c>
      <c r="I511">
        <v>0.08539573735737527</v>
      </c>
      <c r="J511" t="s">
        <v>523</v>
      </c>
      <c r="K511" t="s">
        <v>345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0.9249104160114501</v>
      </c>
      <c r="R511" t="s">
        <v>782</v>
      </c>
      <c r="S511" t="s">
        <v>794</v>
      </c>
      <c r="T511">
        <v>51085.8914</v>
      </c>
      <c r="U511" s="2">
        <v>44502</v>
      </c>
      <c r="V511" t="s">
        <v>796</v>
      </c>
    </row>
    <row r="512" spans="1:22">
      <c r="A512" s="1" t="s">
        <v>532</v>
      </c>
      <c r="B512">
        <f>HYPERLINK("https://www.suredividend.com/sure-analysis-VALE/","Vale S.A.")</f>
        <v>0</v>
      </c>
      <c r="C512">
        <v>14.05</v>
      </c>
      <c r="D512">
        <v>21</v>
      </c>
      <c r="E512">
        <v>0.6690476190476191</v>
      </c>
      <c r="F512">
        <v>0.1615658362989324</v>
      </c>
      <c r="G512">
        <v>0.08369880407476993</v>
      </c>
      <c r="H512">
        <v>-0.07000000000000001</v>
      </c>
      <c r="I512">
        <v>0.08483511465772198</v>
      </c>
      <c r="J512" t="s">
        <v>523</v>
      </c>
      <c r="K512" t="s">
        <v>777</v>
      </c>
      <c r="L512">
        <v>4.2</v>
      </c>
      <c r="M512">
        <v>2.27</v>
      </c>
      <c r="N512">
        <v>0.5404761904761904</v>
      </c>
      <c r="O512">
        <v>1</v>
      </c>
      <c r="P512">
        <v>-0.1803080202371039</v>
      </c>
      <c r="Q512">
        <v>-0.039523835828315</v>
      </c>
      <c r="R512" t="s">
        <v>780</v>
      </c>
      <c r="S512" t="s">
        <v>790</v>
      </c>
      <c r="T512">
        <v>71392.496316</v>
      </c>
      <c r="U512" s="2">
        <v>44503</v>
      </c>
      <c r="V512" t="s">
        <v>798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44.1</v>
      </c>
      <c r="D513">
        <v>49</v>
      </c>
      <c r="E513">
        <v>0.9</v>
      </c>
      <c r="F513">
        <v>0.04535147392290249</v>
      </c>
      <c r="G513">
        <v>0.02129568760013512</v>
      </c>
      <c r="H513">
        <v>0.025</v>
      </c>
      <c r="I513">
        <v>0.08417854092546162</v>
      </c>
      <c r="J513" t="s">
        <v>523</v>
      </c>
      <c r="K513" t="s">
        <v>345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0.183756515254273</v>
      </c>
      <c r="R513" t="s">
        <v>782</v>
      </c>
      <c r="S513" t="s">
        <v>794</v>
      </c>
      <c r="T513">
        <v>4573.021946</v>
      </c>
      <c r="U513" s="2">
        <v>44496</v>
      </c>
      <c r="V513" t="s">
        <v>795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46.33</v>
      </c>
      <c r="D514">
        <v>46</v>
      </c>
      <c r="E514">
        <v>1.007173913043478</v>
      </c>
      <c r="F514">
        <v>0.03993093028275416</v>
      </c>
      <c r="G514">
        <v>-0.001428639110040986</v>
      </c>
      <c r="H514">
        <v>0.05</v>
      </c>
      <c r="I514">
        <v>0.08376798833217691</v>
      </c>
      <c r="J514" t="s">
        <v>523</v>
      </c>
      <c r="K514" t="s">
        <v>345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0.007045363175619001</v>
      </c>
      <c r="R514" t="s">
        <v>780</v>
      </c>
      <c r="S514" t="s">
        <v>788</v>
      </c>
      <c r="T514">
        <v>17752.143667</v>
      </c>
      <c r="U514" s="2">
        <v>44498</v>
      </c>
      <c r="V514" t="s">
        <v>803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33.42</v>
      </c>
      <c r="D515">
        <v>35</v>
      </c>
      <c r="E515">
        <v>0.954857142857143</v>
      </c>
      <c r="F515">
        <v>0.03740275284260922</v>
      </c>
      <c r="G515">
        <v>0.009281516254545208</v>
      </c>
      <c r="H515">
        <v>0.04</v>
      </c>
      <c r="I515">
        <v>0.08226376028262128</v>
      </c>
      <c r="J515" t="s">
        <v>523</v>
      </c>
      <c r="K515" t="s">
        <v>345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-0.052026212200505</v>
      </c>
      <c r="R515" t="s">
        <v>780</v>
      </c>
      <c r="S515" t="s">
        <v>791</v>
      </c>
      <c r="T515">
        <v>15988.060401</v>
      </c>
      <c r="U515" s="2">
        <v>44476</v>
      </c>
      <c r="V515" t="s">
        <v>800</v>
      </c>
    </row>
    <row r="516" spans="1:22">
      <c r="A516" s="1" t="s">
        <v>536</v>
      </c>
      <c r="B516">
        <f>HYPERLINK("https://www.suredividend.com/sure-analysis-ABEV/","Ambev S.A.")</f>
        <v>0</v>
      </c>
      <c r="C516">
        <v>2.74</v>
      </c>
      <c r="D516">
        <v>3.08</v>
      </c>
      <c r="E516">
        <v>0.8896103896103896</v>
      </c>
      <c r="F516">
        <v>0.0291970802919708</v>
      </c>
      <c r="G516">
        <v>0.02367012925217571</v>
      </c>
      <c r="H516">
        <v>0.03</v>
      </c>
      <c r="I516">
        <v>0.07860867269771643</v>
      </c>
      <c r="J516" t="s">
        <v>523</v>
      </c>
      <c r="K516" t="s">
        <v>523</v>
      </c>
      <c r="L516">
        <v>0.14</v>
      </c>
      <c r="M516">
        <v>0.08</v>
      </c>
      <c r="N516">
        <v>0.5714285714285714</v>
      </c>
      <c r="O516">
        <v>0</v>
      </c>
      <c r="P516">
        <v>0.02383625553960966</v>
      </c>
      <c r="Q516">
        <v>-0.06948312164640301</v>
      </c>
      <c r="R516" t="s">
        <v>780</v>
      </c>
      <c r="S516" t="s">
        <v>791</v>
      </c>
      <c r="T516">
        <v>43133.689792</v>
      </c>
      <c r="U516" s="2">
        <v>44530</v>
      </c>
      <c r="V516" t="s">
        <v>801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18.27</v>
      </c>
      <c r="D517">
        <v>20</v>
      </c>
      <c r="E517">
        <v>0.9135</v>
      </c>
      <c r="F517">
        <v>0.04597701149425287</v>
      </c>
      <c r="G517">
        <v>0.01825907579070418</v>
      </c>
      <c r="H517">
        <v>0.022</v>
      </c>
      <c r="I517">
        <v>0.07744759980168592</v>
      </c>
      <c r="J517" t="s">
        <v>523</v>
      </c>
      <c r="K517" t="s">
        <v>345</v>
      </c>
      <c r="L517">
        <v>1.97</v>
      </c>
      <c r="M517">
        <v>0.84</v>
      </c>
      <c r="N517">
        <v>0.4263959390862944</v>
      </c>
      <c r="O517">
        <v>0</v>
      </c>
      <c r="P517">
        <v>0.002369694828421753</v>
      </c>
      <c r="Q517">
        <v>0.171662125340599</v>
      </c>
      <c r="R517" t="s">
        <v>782</v>
      </c>
      <c r="S517" t="s">
        <v>794</v>
      </c>
      <c r="T517">
        <v>2241.911005</v>
      </c>
      <c r="U517" s="2">
        <v>44498</v>
      </c>
      <c r="V517" t="s">
        <v>795</v>
      </c>
    </row>
    <row r="518" spans="1:22">
      <c r="A518" s="1" t="s">
        <v>538</v>
      </c>
      <c r="B518">
        <f>HYPERLINK("https://www.suredividend.com/sure-analysis-RIO/","Rio Tinto plc")</f>
        <v>0</v>
      </c>
      <c r="C518">
        <v>66.41</v>
      </c>
      <c r="D518">
        <v>73</v>
      </c>
      <c r="E518">
        <v>0.9097260273972603</v>
      </c>
      <c r="F518">
        <v>0.08447522963409126</v>
      </c>
      <c r="G518">
        <v>0.01910252112061417</v>
      </c>
      <c r="H518">
        <v>0</v>
      </c>
      <c r="I518">
        <v>0.07737128060428899</v>
      </c>
      <c r="J518" t="s">
        <v>523</v>
      </c>
      <c r="K518" t="s">
        <v>777</v>
      </c>
      <c r="L518">
        <v>14</v>
      </c>
      <c r="M518">
        <v>5.61</v>
      </c>
      <c r="N518">
        <v>0.4007142857142857</v>
      </c>
      <c r="O518">
        <v>5</v>
      </c>
      <c r="P518">
        <v>-0.05987225238578009</v>
      </c>
      <c r="Q518">
        <v>-0.056217829657367</v>
      </c>
      <c r="R518" t="s">
        <v>780</v>
      </c>
      <c r="S518" t="s">
        <v>790</v>
      </c>
      <c r="T518">
        <v>107928.918881</v>
      </c>
      <c r="U518" s="2">
        <v>44524</v>
      </c>
      <c r="V518" t="s">
        <v>803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44.12</v>
      </c>
      <c r="D519">
        <v>48</v>
      </c>
      <c r="E519">
        <v>0.9191666666666666</v>
      </c>
      <c r="F519">
        <v>0.03445149592021759</v>
      </c>
      <c r="G519">
        <v>0.01700045382424387</v>
      </c>
      <c r="H519">
        <v>0.03</v>
      </c>
      <c r="I519">
        <v>0.07706641811697845</v>
      </c>
      <c r="J519" t="s">
        <v>523</v>
      </c>
      <c r="K519" t="s">
        <v>345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0.181856956974791</v>
      </c>
      <c r="R519" t="s">
        <v>780</v>
      </c>
      <c r="S519" t="s">
        <v>789</v>
      </c>
      <c r="T519">
        <v>11880.135678</v>
      </c>
      <c r="U519" s="2">
        <v>44509</v>
      </c>
      <c r="V519" t="s">
        <v>800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18.46</v>
      </c>
      <c r="D520">
        <v>18</v>
      </c>
      <c r="E520">
        <v>1.025555555555556</v>
      </c>
      <c r="F520">
        <v>0.0390032502708559</v>
      </c>
      <c r="G520">
        <v>-0.005034180063016036</v>
      </c>
      <c r="H520">
        <v>0.05</v>
      </c>
      <c r="I520">
        <v>0.07654092620683639</v>
      </c>
      <c r="J520" t="s">
        <v>523</v>
      </c>
      <c r="K520" t="s">
        <v>345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0.044258420661864</v>
      </c>
      <c r="R520" t="s">
        <v>780</v>
      </c>
      <c r="S520" t="s">
        <v>784</v>
      </c>
      <c r="T520">
        <v>91875.499631</v>
      </c>
      <c r="U520" s="2">
        <v>44517</v>
      </c>
      <c r="V520" t="s">
        <v>803</v>
      </c>
    </row>
    <row r="521" spans="1:22">
      <c r="A521" s="1" t="s">
        <v>541</v>
      </c>
      <c r="B521">
        <f>HYPERLINK("https://www.suredividend.com/sure-analysis-NWL/","Newell Brands Inc")</f>
        <v>0</v>
      </c>
      <c r="C521">
        <v>21.84</v>
      </c>
      <c r="D521">
        <v>23</v>
      </c>
      <c r="E521">
        <v>0.9495652173913044</v>
      </c>
      <c r="F521">
        <v>0.04212454212454213</v>
      </c>
      <c r="G521">
        <v>0.01040396174205771</v>
      </c>
      <c r="H521">
        <v>0.03</v>
      </c>
      <c r="I521">
        <v>0.07437636824389227</v>
      </c>
      <c r="J521" t="s">
        <v>523</v>
      </c>
      <c r="K521" t="s">
        <v>345</v>
      </c>
      <c r="L521">
        <v>1.75</v>
      </c>
      <c r="M521">
        <v>0.92</v>
      </c>
      <c r="N521">
        <v>0.5257142857142857</v>
      </c>
      <c r="O521">
        <v>0</v>
      </c>
      <c r="P521">
        <v>0</v>
      </c>
      <c r="Q521">
        <v>0.04697448335892401</v>
      </c>
      <c r="R521" t="s">
        <v>780</v>
      </c>
      <c r="S521" t="s">
        <v>791</v>
      </c>
      <c r="T521">
        <v>9107.814</v>
      </c>
      <c r="U521" s="2">
        <v>44519</v>
      </c>
      <c r="V521" t="s">
        <v>802</v>
      </c>
    </row>
    <row r="522" spans="1:22">
      <c r="A522" s="1" t="s">
        <v>542</v>
      </c>
      <c r="B522">
        <f>HYPERLINK("https://www.suredividend.com/sure-analysis-REG/","Regency Centers Corporation")</f>
        <v>0</v>
      </c>
      <c r="C522">
        <v>73.55</v>
      </c>
      <c r="D522">
        <v>75</v>
      </c>
      <c r="E522">
        <v>0.9806666666666666</v>
      </c>
      <c r="F522">
        <v>0.03399048266485384</v>
      </c>
      <c r="G522">
        <v>0.003912165918617205</v>
      </c>
      <c r="H522">
        <v>0.04</v>
      </c>
      <c r="I522">
        <v>0.07405367671629204</v>
      </c>
      <c r="J522" t="s">
        <v>523</v>
      </c>
      <c r="K522" t="s">
        <v>523</v>
      </c>
      <c r="L522">
        <v>3.95</v>
      </c>
      <c r="M522">
        <v>2.5</v>
      </c>
      <c r="N522">
        <v>0.6329113924050632</v>
      </c>
      <c r="O522">
        <v>9</v>
      </c>
      <c r="P522">
        <v>0.03505466752592223</v>
      </c>
      <c r="Q522">
        <v>0.6640021924816151</v>
      </c>
      <c r="R522" t="s">
        <v>782</v>
      </c>
      <c r="S522" t="s">
        <v>794</v>
      </c>
      <c r="T522">
        <v>12474.579399</v>
      </c>
      <c r="U522" s="2">
        <v>44513</v>
      </c>
      <c r="V522" t="s">
        <v>796</v>
      </c>
    </row>
    <row r="523" spans="1:22">
      <c r="A523" s="1" t="s">
        <v>543</v>
      </c>
      <c r="B523">
        <f>HYPERLINK("https://www.suredividend.com/sure-analysis-DEI/","Douglas Emmett Inc")</f>
        <v>0</v>
      </c>
      <c r="C523">
        <v>33.38</v>
      </c>
      <c r="D523">
        <v>29</v>
      </c>
      <c r="E523">
        <v>1.151034482758621</v>
      </c>
      <c r="F523">
        <v>0.0335530257639305</v>
      </c>
      <c r="G523">
        <v>-0.02774019160392494</v>
      </c>
      <c r="H523">
        <v>0.07000000000000001</v>
      </c>
      <c r="I523">
        <v>0.07251355290778294</v>
      </c>
      <c r="J523" t="s">
        <v>523</v>
      </c>
      <c r="K523" t="s">
        <v>523</v>
      </c>
      <c r="L523">
        <v>1.86</v>
      </c>
      <c r="M523">
        <v>1.12</v>
      </c>
      <c r="N523">
        <v>0.6021505376344086</v>
      </c>
      <c r="O523">
        <v>10</v>
      </c>
      <c r="P523">
        <v>0.06016789231717423</v>
      </c>
      <c r="Q523">
        <v>0.165366160153603</v>
      </c>
      <c r="R523" t="s">
        <v>782</v>
      </c>
      <c r="S523" t="s">
        <v>794</v>
      </c>
      <c r="T523">
        <v>5826.127896</v>
      </c>
      <c r="U523" s="2">
        <v>44524</v>
      </c>
      <c r="V523" t="s">
        <v>803</v>
      </c>
    </row>
    <row r="524" spans="1:22">
      <c r="A524" s="1" t="s">
        <v>544</v>
      </c>
      <c r="B524">
        <f>HYPERLINK("https://www.suredividend.com/sure-analysis-PCAR/","Paccar Inc.")</f>
        <v>0</v>
      </c>
      <c r="C524">
        <v>85.8</v>
      </c>
      <c r="D524">
        <v>83</v>
      </c>
      <c r="E524">
        <v>1.033734939759036</v>
      </c>
      <c r="F524">
        <v>0.0275058275058275</v>
      </c>
      <c r="G524">
        <v>-0.006613712233296876</v>
      </c>
      <c r="H524">
        <v>0.05</v>
      </c>
      <c r="I524">
        <v>0.07117170109273707</v>
      </c>
      <c r="J524" t="s">
        <v>523</v>
      </c>
      <c r="K524" t="s">
        <v>523</v>
      </c>
      <c r="L524">
        <v>5.5</v>
      </c>
      <c r="M524">
        <v>2.36</v>
      </c>
      <c r="N524">
        <v>0.4290909090909091</v>
      </c>
      <c r="O524">
        <v>11</v>
      </c>
      <c r="P524">
        <v>0.08262742077275398</v>
      </c>
      <c r="Q524">
        <v>0.018649866238501</v>
      </c>
      <c r="R524" t="s">
        <v>780</v>
      </c>
      <c r="S524" t="s">
        <v>786</v>
      </c>
      <c r="T524">
        <v>29492.713589</v>
      </c>
      <c r="U524" s="2">
        <v>44497</v>
      </c>
      <c r="V524" t="s">
        <v>800</v>
      </c>
    </row>
    <row r="525" spans="1:22">
      <c r="A525" s="1" t="s">
        <v>545</v>
      </c>
      <c r="B525">
        <f>HYPERLINK("https://www.suredividend.com/sure-analysis-GEL/","Genesis Energy L.P.")</f>
        <v>0</v>
      </c>
      <c r="C525">
        <v>10.79</v>
      </c>
      <c r="D525">
        <v>10</v>
      </c>
      <c r="E525">
        <v>1.079</v>
      </c>
      <c r="F525">
        <v>0.05560704355885079</v>
      </c>
      <c r="G525">
        <v>-0.01509189566650004</v>
      </c>
      <c r="H525">
        <v>0.04</v>
      </c>
      <c r="I525">
        <v>0.07046618074132716</v>
      </c>
      <c r="J525" t="s">
        <v>523</v>
      </c>
      <c r="K525" t="s">
        <v>777</v>
      </c>
      <c r="L525">
        <v>2</v>
      </c>
      <c r="M525">
        <v>0.6</v>
      </c>
      <c r="N525">
        <v>0.3</v>
      </c>
      <c r="O525">
        <v>0</v>
      </c>
      <c r="P525">
        <v>0</v>
      </c>
      <c r="Q525">
        <v>0.7211450281671691</v>
      </c>
      <c r="R525" t="s">
        <v>781</v>
      </c>
      <c r="S525" t="s">
        <v>793</v>
      </c>
      <c r="T525">
        <v>1287.887213</v>
      </c>
      <c r="U525" s="2">
        <v>44522</v>
      </c>
      <c r="V525" t="s">
        <v>803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13.91</v>
      </c>
      <c r="D526">
        <v>14.7</v>
      </c>
      <c r="E526">
        <v>0.9462585034013606</v>
      </c>
      <c r="F526">
        <v>0.05032350826743349</v>
      </c>
      <c r="G526">
        <v>0.01110915095610809</v>
      </c>
      <c r="H526">
        <v>0.01</v>
      </c>
      <c r="I526">
        <v>0.06991355735190963</v>
      </c>
      <c r="J526" t="s">
        <v>523</v>
      </c>
      <c r="K526" t="s">
        <v>345</v>
      </c>
      <c r="L526">
        <v>1.47</v>
      </c>
      <c r="M526">
        <v>0.7</v>
      </c>
      <c r="N526">
        <v>0.4761904761904762</v>
      </c>
      <c r="O526">
        <v>0</v>
      </c>
      <c r="P526">
        <v>0.04920026914708719</v>
      </c>
      <c r="Q526">
        <v>0.5246091807987621</v>
      </c>
      <c r="R526" t="s">
        <v>780</v>
      </c>
      <c r="S526" t="s">
        <v>789</v>
      </c>
      <c r="T526">
        <v>53875.593976</v>
      </c>
      <c r="U526" s="2">
        <v>44515</v>
      </c>
      <c r="V526" t="s">
        <v>796</v>
      </c>
    </row>
    <row r="527" spans="1:22">
      <c r="A527" s="1" t="s">
        <v>547</v>
      </c>
      <c r="B527">
        <f>HYPERLINK("https://www.suredividend.com/sure-analysis-BHP/","BHP Group Limited")</f>
        <v>0</v>
      </c>
      <c r="C527">
        <v>60.29</v>
      </c>
      <c r="D527">
        <v>87</v>
      </c>
      <c r="E527">
        <v>0.6929885057471264</v>
      </c>
      <c r="F527">
        <v>0.05971139492453143</v>
      </c>
      <c r="G527">
        <v>0.07610535792217332</v>
      </c>
      <c r="H527">
        <v>-0.05</v>
      </c>
      <c r="I527">
        <v>0.06883396574905443</v>
      </c>
      <c r="J527" t="s">
        <v>523</v>
      </c>
      <c r="K527" t="s">
        <v>345</v>
      </c>
      <c r="L527">
        <v>6.2</v>
      </c>
      <c r="M527">
        <v>3.6</v>
      </c>
      <c r="N527">
        <v>0.5806451612903226</v>
      </c>
      <c r="O527">
        <v>1</v>
      </c>
      <c r="P527">
        <v>-0.02328131613882611</v>
      </c>
      <c r="Q527">
        <v>0.031264951792838</v>
      </c>
      <c r="R527" t="s">
        <v>780</v>
      </c>
      <c r="S527" t="s">
        <v>790</v>
      </c>
      <c r="T527">
        <v>88389.531764</v>
      </c>
      <c r="U527" s="2">
        <v>44524</v>
      </c>
      <c r="V527" t="s">
        <v>803</v>
      </c>
    </row>
    <row r="528" spans="1:22">
      <c r="A528" s="1" t="s">
        <v>548</v>
      </c>
      <c r="B528">
        <f>HYPERLINK("https://www.suredividend.com/sure-analysis-OFC/","Corporate Office Properties Trust")</f>
        <v>0</v>
      </c>
      <c r="C528">
        <v>28.1</v>
      </c>
      <c r="D528">
        <v>29</v>
      </c>
      <c r="E528">
        <v>0.9689655172413794</v>
      </c>
      <c r="F528">
        <v>0.03914590747330961</v>
      </c>
      <c r="G528">
        <v>0.006325170667462077</v>
      </c>
      <c r="H528">
        <v>0.03</v>
      </c>
      <c r="I528">
        <v>0.06840563465732141</v>
      </c>
      <c r="J528" t="s">
        <v>523</v>
      </c>
      <c r="K528" t="s">
        <v>345</v>
      </c>
      <c r="L528">
        <v>2.28</v>
      </c>
      <c r="M528">
        <v>1.1</v>
      </c>
      <c r="N528">
        <v>0.4824561403508772</v>
      </c>
      <c r="O528">
        <v>0</v>
      </c>
      <c r="P528">
        <v>0</v>
      </c>
      <c r="Q528">
        <v>0.1121301076087</v>
      </c>
      <c r="R528" t="s">
        <v>782</v>
      </c>
      <c r="S528" t="s">
        <v>794</v>
      </c>
      <c r="T528">
        <v>3119.261112</v>
      </c>
      <c r="U528" s="2">
        <v>44535</v>
      </c>
      <c r="V528" t="s">
        <v>799</v>
      </c>
    </row>
    <row r="529" spans="1:22">
      <c r="A529" s="1" t="s">
        <v>549</v>
      </c>
      <c r="B529">
        <f>HYPERLINK("https://www.suredividend.com/sure-analysis-CUZ/","Cousins Properties Inc.")</f>
        <v>0</v>
      </c>
      <c r="C529">
        <v>39.85</v>
      </c>
      <c r="D529">
        <v>40</v>
      </c>
      <c r="E529">
        <v>0.9962500000000001</v>
      </c>
      <c r="F529">
        <v>0.03111668757841907</v>
      </c>
      <c r="G529">
        <v>0.0007516921545909216</v>
      </c>
      <c r="H529">
        <v>0.04</v>
      </c>
      <c r="I529">
        <v>0.06831950644320228</v>
      </c>
      <c r="J529" t="s">
        <v>523</v>
      </c>
      <c r="K529" t="s">
        <v>523</v>
      </c>
      <c r="L529">
        <v>2.75</v>
      </c>
      <c r="M529">
        <v>1.24</v>
      </c>
      <c r="N529">
        <v>0.4509090909090909</v>
      </c>
      <c r="O529">
        <v>3</v>
      </c>
      <c r="P529">
        <v>0.03035803310185115</v>
      </c>
      <c r="Q529">
        <v>0.211253850429804</v>
      </c>
      <c r="R529" t="s">
        <v>782</v>
      </c>
      <c r="S529" t="s">
        <v>794</v>
      </c>
      <c r="T529">
        <v>5864.25614</v>
      </c>
      <c r="U529" s="2">
        <v>44533</v>
      </c>
      <c r="V529" t="s">
        <v>803</v>
      </c>
    </row>
    <row r="530" spans="1:22">
      <c r="A530" s="1" t="s">
        <v>550</v>
      </c>
      <c r="B530">
        <f>HYPERLINK("https://www.suredividend.com/sure-analysis-AGNC/","AGNC Investment Corp")</f>
        <v>0</v>
      </c>
      <c r="C530">
        <v>15.47</v>
      </c>
      <c r="D530">
        <v>23.5</v>
      </c>
      <c r="E530">
        <v>0.6582978723404256</v>
      </c>
      <c r="F530">
        <v>0.09308338720103425</v>
      </c>
      <c r="G530">
        <v>0.08721518552663987</v>
      </c>
      <c r="H530">
        <v>-0.099</v>
      </c>
      <c r="I530">
        <v>0.06637880288470788</v>
      </c>
      <c r="J530" t="s">
        <v>523</v>
      </c>
      <c r="K530" t="s">
        <v>777</v>
      </c>
      <c r="L530">
        <v>2.94</v>
      </c>
      <c r="M530">
        <v>1.44</v>
      </c>
      <c r="N530">
        <v>0.4897959183673469</v>
      </c>
      <c r="O530">
        <v>0</v>
      </c>
      <c r="P530">
        <v>0.008197818497166498</v>
      </c>
      <c r="Q530">
        <v>0.07844099056802101</v>
      </c>
      <c r="R530" t="s">
        <v>782</v>
      </c>
      <c r="S530" t="s">
        <v>794</v>
      </c>
      <c r="T530">
        <v>8078.339999</v>
      </c>
      <c r="U530" s="2">
        <v>44503</v>
      </c>
      <c r="V530" t="s">
        <v>805</v>
      </c>
    </row>
    <row r="531" spans="1:22">
      <c r="A531" s="1" t="s">
        <v>551</v>
      </c>
      <c r="B531">
        <f>HYPERLINK("https://www.suredividend.com/sure-analysis-WSR/","Whitestone REIT")</f>
        <v>0</v>
      </c>
      <c r="C531">
        <v>9.949999999999999</v>
      </c>
      <c r="D531">
        <v>10</v>
      </c>
      <c r="E531">
        <v>0.9949999999999999</v>
      </c>
      <c r="F531">
        <v>0.04321608040201005</v>
      </c>
      <c r="G531">
        <v>0.001003011044185653</v>
      </c>
      <c r="H531">
        <v>0.02</v>
      </c>
      <c r="I531">
        <v>0.06571519745926313</v>
      </c>
      <c r="J531" t="s">
        <v>523</v>
      </c>
      <c r="K531" t="s">
        <v>345</v>
      </c>
      <c r="L531">
        <v>0.92</v>
      </c>
      <c r="M531">
        <v>0.43</v>
      </c>
      <c r="N531">
        <v>0.4673913043478261</v>
      </c>
      <c r="O531">
        <v>0</v>
      </c>
      <c r="P531">
        <v>0.06889872481155268</v>
      </c>
      <c r="Q531">
        <v>0.311980453084747</v>
      </c>
      <c r="R531" t="s">
        <v>782</v>
      </c>
      <c r="S531" t="s">
        <v>794</v>
      </c>
      <c r="T531">
        <v>485.236993</v>
      </c>
      <c r="U531" s="2">
        <v>44498</v>
      </c>
      <c r="V531" t="s">
        <v>804</v>
      </c>
    </row>
    <row r="532" spans="1:22">
      <c r="A532" s="1" t="s">
        <v>552</v>
      </c>
      <c r="B532">
        <f>HYPERLINK("https://www.suredividend.com/sure-analysis-AKR/","Acadia Realty Trust")</f>
        <v>0</v>
      </c>
      <c r="C532">
        <v>21.58</v>
      </c>
      <c r="D532">
        <v>20</v>
      </c>
      <c r="E532">
        <v>1.079</v>
      </c>
      <c r="F532">
        <v>0.02780352177942539</v>
      </c>
      <c r="G532">
        <v>-0.01509189566650004</v>
      </c>
      <c r="H532">
        <v>0.05</v>
      </c>
      <c r="I532">
        <v>0.06498811024812445</v>
      </c>
      <c r="J532" t="s">
        <v>523</v>
      </c>
      <c r="K532" t="s">
        <v>523</v>
      </c>
      <c r="L532">
        <v>1.1</v>
      </c>
      <c r="M532">
        <v>0.6</v>
      </c>
      <c r="N532">
        <v>0.5454545454545454</v>
      </c>
      <c r="O532">
        <v>1</v>
      </c>
      <c r="P532">
        <v>0.1008397341583922</v>
      </c>
      <c r="Q532">
        <v>0.5657153737431431</v>
      </c>
      <c r="R532" t="s">
        <v>782</v>
      </c>
      <c r="S532" t="s">
        <v>794</v>
      </c>
      <c r="T532">
        <v>1891.137305</v>
      </c>
      <c r="U532" s="2">
        <v>44531</v>
      </c>
      <c r="V532" t="s">
        <v>796</v>
      </c>
    </row>
    <row r="533" spans="1:22">
      <c r="A533" s="1" t="s">
        <v>553</v>
      </c>
      <c r="B533">
        <f>HYPERLINK("https://www.suredividend.com/sure-analysis-CNP/","Centerpoint Energy Inc.")</f>
        <v>0</v>
      </c>
      <c r="C533">
        <v>27.58</v>
      </c>
      <c r="D533">
        <v>21.9</v>
      </c>
      <c r="E533">
        <v>1.259360730593607</v>
      </c>
      <c r="F533">
        <v>0.0246555474981871</v>
      </c>
      <c r="G533">
        <v>-0.0450734448955038</v>
      </c>
      <c r="H533">
        <v>0.083</v>
      </c>
      <c r="I533">
        <v>0.06466807916080231</v>
      </c>
      <c r="J533" t="s">
        <v>523</v>
      </c>
      <c r="K533" t="s">
        <v>523</v>
      </c>
      <c r="L533">
        <v>1.37</v>
      </c>
      <c r="M533">
        <v>0.68</v>
      </c>
      <c r="N533">
        <v>0.4963503649635037</v>
      </c>
      <c r="O533">
        <v>1</v>
      </c>
      <c r="P533">
        <v>0.1383790323022041</v>
      </c>
      <c r="Q533">
        <v>0.309235533946403</v>
      </c>
      <c r="R533" t="s">
        <v>780</v>
      </c>
      <c r="S533" t="s">
        <v>792</v>
      </c>
      <c r="T533">
        <v>17306.385</v>
      </c>
      <c r="U533" s="2">
        <v>44509</v>
      </c>
      <c r="V533" t="s">
        <v>805</v>
      </c>
    </row>
    <row r="534" spans="1:22">
      <c r="A534" s="1" t="s">
        <v>554</v>
      </c>
      <c r="B534">
        <f>HYPERLINK("https://www.suredividend.com/sure-analysis-BBD/","Banco Bradesco S.A.")</f>
        <v>0</v>
      </c>
      <c r="C534">
        <v>3.44</v>
      </c>
      <c r="D534">
        <v>3.5</v>
      </c>
      <c r="E534">
        <v>0.9828571428571429</v>
      </c>
      <c r="F534">
        <v>0.06976744186046512</v>
      </c>
      <c r="G534">
        <v>0.00346428623887074</v>
      </c>
      <c r="H534">
        <v>0</v>
      </c>
      <c r="I534">
        <v>0.06440739477943258</v>
      </c>
      <c r="J534" t="s">
        <v>523</v>
      </c>
      <c r="K534" t="s">
        <v>777</v>
      </c>
      <c r="L534">
        <v>0.5</v>
      </c>
      <c r="M534">
        <v>0.24</v>
      </c>
      <c r="N534">
        <v>0.48</v>
      </c>
      <c r="O534">
        <v>0</v>
      </c>
      <c r="P534">
        <v>0</v>
      </c>
      <c r="Q534">
        <v>-0.261637940450444</v>
      </c>
      <c r="R534" t="s">
        <v>780</v>
      </c>
      <c r="S534" t="s">
        <v>789</v>
      </c>
      <c r="T534">
        <v>30366.493537</v>
      </c>
      <c r="U534" s="2">
        <v>44506</v>
      </c>
      <c r="V534" t="s">
        <v>796</v>
      </c>
    </row>
    <row r="535" spans="1:22">
      <c r="A535" s="1" t="s">
        <v>555</v>
      </c>
      <c r="B535">
        <f>HYPERLINK("https://www.suredividend.com/sure-analysis-EMRAF/","Emera, Inc.")</f>
        <v>0</v>
      </c>
      <c r="C535">
        <v>48.99</v>
      </c>
      <c r="D535">
        <v>42</v>
      </c>
      <c r="E535">
        <v>1.166428571428571</v>
      </c>
      <c r="F535">
        <v>0.04307001428863033</v>
      </c>
      <c r="G535">
        <v>-0.03032015190379522</v>
      </c>
      <c r="H535">
        <v>0.055</v>
      </c>
      <c r="I535">
        <v>0.06393641196055944</v>
      </c>
      <c r="J535" t="s">
        <v>523</v>
      </c>
      <c r="K535" t="s">
        <v>777</v>
      </c>
      <c r="L535">
        <v>2.26</v>
      </c>
      <c r="M535">
        <v>2.11</v>
      </c>
      <c r="N535">
        <v>0.9336283185840708</v>
      </c>
      <c r="O535">
        <v>14</v>
      </c>
      <c r="P535">
        <v>0.04023181804828235</v>
      </c>
      <c r="Q535">
        <v>0.159423740921538</v>
      </c>
      <c r="R535" t="s">
        <v>780</v>
      </c>
      <c r="S535" t="s">
        <v>792</v>
      </c>
      <c r="T535">
        <v>12597.409061</v>
      </c>
      <c r="U535" s="2">
        <v>44516</v>
      </c>
      <c r="V535" t="s">
        <v>795</v>
      </c>
    </row>
    <row r="536" spans="1:22">
      <c r="A536" s="1" t="s">
        <v>556</v>
      </c>
      <c r="B536">
        <f>HYPERLINK("https://www.suredividend.com/sure-analysis-NXRT/","NexPoint Residential Trust Inc")</f>
        <v>0</v>
      </c>
      <c r="C536">
        <v>80.95999999999999</v>
      </c>
      <c r="D536">
        <v>65.04000000000001</v>
      </c>
      <c r="E536">
        <v>1.244772447724477</v>
      </c>
      <c r="F536">
        <v>0.01877470355731226</v>
      </c>
      <c r="G536">
        <v>-0.04284558567168761</v>
      </c>
      <c r="H536">
        <v>0.09</v>
      </c>
      <c r="I536">
        <v>0.06377396987421435</v>
      </c>
      <c r="J536" t="s">
        <v>523</v>
      </c>
      <c r="K536" t="s">
        <v>778</v>
      </c>
      <c r="L536">
        <v>2.71</v>
      </c>
      <c r="M536">
        <v>1.52</v>
      </c>
      <c r="N536">
        <v>0.5608856088560886</v>
      </c>
      <c r="O536">
        <v>6</v>
      </c>
      <c r="P536">
        <v>0.1001819089885529</v>
      </c>
      <c r="Q536">
        <v>0.9843540827877261</v>
      </c>
      <c r="R536" t="s">
        <v>782</v>
      </c>
      <c r="S536" t="s">
        <v>794</v>
      </c>
      <c r="T536">
        <v>1987.556663</v>
      </c>
      <c r="U536" s="2">
        <v>44541</v>
      </c>
      <c r="V536" t="s">
        <v>796</v>
      </c>
    </row>
    <row r="537" spans="1:22">
      <c r="A537" s="1" t="s">
        <v>557</v>
      </c>
      <c r="B537">
        <f>HYPERLINK("https://www.suredividend.com/sure-analysis-ADC/","Agree Realty Corp.")</f>
        <v>0</v>
      </c>
      <c r="C537">
        <v>69.83</v>
      </c>
      <c r="D537">
        <v>63</v>
      </c>
      <c r="E537">
        <v>1.108412698412698</v>
      </c>
      <c r="F537">
        <v>0.03408277244737219</v>
      </c>
      <c r="G537">
        <v>-0.02037535705774374</v>
      </c>
      <c r="H537">
        <v>0.05</v>
      </c>
      <c r="I537">
        <v>0.06168415882118516</v>
      </c>
      <c r="J537" t="s">
        <v>523</v>
      </c>
      <c r="K537" t="s">
        <v>523</v>
      </c>
      <c r="L537">
        <v>3.5</v>
      </c>
      <c r="M537">
        <v>2.38</v>
      </c>
      <c r="N537">
        <v>0.6799999999999999</v>
      </c>
      <c r="O537">
        <v>11</v>
      </c>
      <c r="P537">
        <v>0.04947750535151019</v>
      </c>
      <c r="Q537">
        <v>0.098772722399056</v>
      </c>
      <c r="R537" t="s">
        <v>782</v>
      </c>
      <c r="S537" t="s">
        <v>794</v>
      </c>
      <c r="T537">
        <v>4791.077498</v>
      </c>
      <c r="U537" s="2">
        <v>44507</v>
      </c>
      <c r="V537" t="s">
        <v>799</v>
      </c>
    </row>
    <row r="538" spans="1:22">
      <c r="A538" s="1" t="s">
        <v>558</v>
      </c>
      <c r="B538">
        <f>HYPERLINK("https://www.suredividend.com/sure-analysis-LMRK/","Landmark Infrastructure Partners LP")</f>
        <v>0</v>
      </c>
      <c r="C538">
        <v>16.49</v>
      </c>
      <c r="D538">
        <v>16.4</v>
      </c>
      <c r="E538">
        <v>1.005487804878049</v>
      </c>
      <c r="F538">
        <v>0.04851425106124925</v>
      </c>
      <c r="G538">
        <v>-0.001093961535591714</v>
      </c>
      <c r="H538">
        <v>0.018</v>
      </c>
      <c r="I538">
        <v>0.06151405904167206</v>
      </c>
      <c r="J538" t="s">
        <v>523</v>
      </c>
      <c r="K538" t="s">
        <v>345</v>
      </c>
      <c r="L538">
        <v>1.49</v>
      </c>
      <c r="M538">
        <v>0.8</v>
      </c>
      <c r="N538">
        <v>0.5369127516778524</v>
      </c>
      <c r="O538">
        <v>0</v>
      </c>
      <c r="P538">
        <v>0.02383625553960966</v>
      </c>
      <c r="Q538">
        <v>0</v>
      </c>
      <c r="R538" t="s">
        <v>781</v>
      </c>
      <c r="S538" t="s">
        <v>794</v>
      </c>
      <c r="T538">
        <v>0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HYPERLINK("https://www.suredividend.com/sure-analysis-KHC/","Kraft Heinz Co")</f>
        <v>0</v>
      </c>
      <c r="C539">
        <v>35.43</v>
      </c>
      <c r="D539">
        <v>36</v>
      </c>
      <c r="E539">
        <v>0.9841666666666666</v>
      </c>
      <c r="F539">
        <v>0.04515946937623483</v>
      </c>
      <c r="G539">
        <v>0.003197103785068878</v>
      </c>
      <c r="H539">
        <v>0.02</v>
      </c>
      <c r="I539">
        <v>0.06148734707776127</v>
      </c>
      <c r="J539" t="s">
        <v>523</v>
      </c>
      <c r="K539" t="s">
        <v>345</v>
      </c>
      <c r="L539">
        <v>2.8</v>
      </c>
      <c r="M539">
        <v>1.6</v>
      </c>
      <c r="N539">
        <v>0.5714285714285715</v>
      </c>
      <c r="O539">
        <v>0</v>
      </c>
      <c r="P539">
        <v>0</v>
      </c>
      <c r="Q539">
        <v>0.050561044302382</v>
      </c>
      <c r="R539" t="s">
        <v>780</v>
      </c>
      <c r="S539" t="s">
        <v>791</v>
      </c>
      <c r="T539">
        <v>43147.49675</v>
      </c>
      <c r="U539" s="2">
        <v>44508</v>
      </c>
      <c r="V539" t="s">
        <v>798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135.94</v>
      </c>
      <c r="D540">
        <v>114</v>
      </c>
      <c r="E540">
        <v>1.192456140350877</v>
      </c>
      <c r="F540">
        <v>0.01971457996174783</v>
      </c>
      <c r="G540">
        <v>-0.03459061332098401</v>
      </c>
      <c r="H540">
        <v>0.08</v>
      </c>
      <c r="I540">
        <v>0.061316978388406</v>
      </c>
      <c r="J540" t="s">
        <v>523</v>
      </c>
      <c r="K540" t="s">
        <v>778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0.133739629376401</v>
      </c>
      <c r="R540" t="s">
        <v>780</v>
      </c>
      <c r="S540" t="s">
        <v>787</v>
      </c>
      <c r="T540">
        <v>25863.46915</v>
      </c>
      <c r="U540" s="2">
        <v>44514</v>
      </c>
      <c r="V540" t="s">
        <v>802</v>
      </c>
    </row>
    <row r="541" spans="1:22">
      <c r="A541" s="1" t="s">
        <v>561</v>
      </c>
      <c r="B541">
        <f>HYPERLINK("https://www.suredividend.com/sure-analysis-MCY/","Mercury General Corp.")</f>
        <v>0</v>
      </c>
      <c r="C541">
        <v>52.1</v>
      </c>
      <c r="D541">
        <v>53</v>
      </c>
      <c r="E541">
        <v>0.9830188679245283</v>
      </c>
      <c r="F541">
        <v>0.04875239923224568</v>
      </c>
      <c r="G541">
        <v>0.003431266321297421</v>
      </c>
      <c r="H541">
        <v>0.015</v>
      </c>
      <c r="I541">
        <v>0.06077102223752617</v>
      </c>
      <c r="J541" t="s">
        <v>523</v>
      </c>
      <c r="K541" t="s">
        <v>777</v>
      </c>
      <c r="L541">
        <v>3.5</v>
      </c>
      <c r="M541">
        <v>2.54</v>
      </c>
      <c r="N541">
        <v>0.7257142857142858</v>
      </c>
      <c r="O541">
        <v>33</v>
      </c>
      <c r="P541">
        <v>0.004680391776183512</v>
      </c>
      <c r="Q541">
        <v>0.032645642574291</v>
      </c>
      <c r="R541" t="s">
        <v>780</v>
      </c>
      <c r="S541" t="s">
        <v>789</v>
      </c>
      <c r="T541">
        <v>2834.430638</v>
      </c>
      <c r="U541" s="2">
        <v>44510</v>
      </c>
      <c r="V541" t="s">
        <v>798</v>
      </c>
    </row>
    <row r="542" spans="1:22">
      <c r="A542" s="1" t="s">
        <v>562</v>
      </c>
      <c r="B542">
        <f>HYPERLINK("https://www.suredividend.com/sure-analysis-FRFHF/","Fairfax Financial Holdings Ltd.")</f>
        <v>0</v>
      </c>
      <c r="C542">
        <v>482</v>
      </c>
      <c r="D542">
        <v>565</v>
      </c>
      <c r="E542">
        <v>0.8530973451327434</v>
      </c>
      <c r="F542">
        <v>0.02074688796680498</v>
      </c>
      <c r="G542">
        <v>0.03228658114700855</v>
      </c>
      <c r="H542">
        <v>0.01</v>
      </c>
      <c r="I542">
        <v>0.05960396955849379</v>
      </c>
      <c r="J542" t="s">
        <v>523</v>
      </c>
      <c r="K542" t="s">
        <v>523</v>
      </c>
      <c r="L542">
        <v>32</v>
      </c>
      <c r="M542">
        <v>10</v>
      </c>
      <c r="N542">
        <v>0.3125</v>
      </c>
      <c r="O542">
        <v>0</v>
      </c>
      <c r="P542">
        <v>0</v>
      </c>
      <c r="Q542">
        <v>0.384792885281126</v>
      </c>
      <c r="R542" t="s">
        <v>780</v>
      </c>
      <c r="S542" t="s">
        <v>789</v>
      </c>
      <c r="T542">
        <v>12225.814457</v>
      </c>
      <c r="U542" s="2">
        <v>44515</v>
      </c>
      <c r="V542" t="s">
        <v>803</v>
      </c>
    </row>
    <row r="543" spans="1:22">
      <c r="A543" s="1" t="s">
        <v>563</v>
      </c>
      <c r="B543">
        <f>HYPERLINK("https://www.suredividend.com/sure-analysis-KRG/","Kite Realty Group Trust")</f>
        <v>0</v>
      </c>
      <c r="C543">
        <v>21.56</v>
      </c>
      <c r="D543">
        <v>19</v>
      </c>
      <c r="E543">
        <v>1.134736842105263</v>
      </c>
      <c r="F543">
        <v>0.0352504638218924</v>
      </c>
      <c r="G543">
        <v>-0.02496328606459663</v>
      </c>
      <c r="H543">
        <v>0.055</v>
      </c>
      <c r="I543">
        <v>0.05925886386410939</v>
      </c>
      <c r="J543" t="s">
        <v>523</v>
      </c>
      <c r="K543" t="s">
        <v>523</v>
      </c>
      <c r="L543">
        <v>1.37</v>
      </c>
      <c r="M543">
        <v>0.76</v>
      </c>
      <c r="N543">
        <v>0.5547445255474452</v>
      </c>
      <c r="O543">
        <v>2</v>
      </c>
      <c r="P543">
        <v>0.01031145931793609</v>
      </c>
      <c r="Q543">
        <v>0.481763443836943</v>
      </c>
      <c r="R543" t="s">
        <v>782</v>
      </c>
      <c r="S543" t="s">
        <v>794</v>
      </c>
      <c r="T543">
        <v>4689.17401</v>
      </c>
      <c r="U543" s="2">
        <v>44512</v>
      </c>
      <c r="V543" t="s">
        <v>795</v>
      </c>
    </row>
    <row r="544" spans="1:22">
      <c r="A544" s="1" t="s">
        <v>564</v>
      </c>
      <c r="B544">
        <f>HYPERLINK("https://www.suredividend.com/sure-analysis-HBAN/","Huntington Bancshares, Inc.")</f>
        <v>0</v>
      </c>
      <c r="C544">
        <v>15.4</v>
      </c>
      <c r="D544">
        <v>14</v>
      </c>
      <c r="E544">
        <v>1.1</v>
      </c>
      <c r="F544">
        <v>0.04025974025974026</v>
      </c>
      <c r="G544">
        <v>-0.01888150427373569</v>
      </c>
      <c r="H544">
        <v>0.04</v>
      </c>
      <c r="I544">
        <v>0.05901654187868988</v>
      </c>
      <c r="J544" t="s">
        <v>523</v>
      </c>
      <c r="K544" t="s">
        <v>345</v>
      </c>
      <c r="L544">
        <v>1.25</v>
      </c>
      <c r="M544">
        <v>0.62</v>
      </c>
      <c r="N544">
        <v>0.496</v>
      </c>
      <c r="O544">
        <v>1</v>
      </c>
      <c r="P544">
        <v>0.03880472124431766</v>
      </c>
      <c r="Q544">
        <v>0.285864756688434</v>
      </c>
      <c r="R544" t="s">
        <v>780</v>
      </c>
      <c r="S544" t="s">
        <v>789</v>
      </c>
      <c r="T544">
        <v>22072.99866</v>
      </c>
      <c r="U544" s="2">
        <v>44499</v>
      </c>
      <c r="V544" t="s">
        <v>800</v>
      </c>
    </row>
    <row r="545" spans="1:22">
      <c r="A545" s="1" t="s">
        <v>565</v>
      </c>
      <c r="B545">
        <f>HYPERLINK("https://www.suredividend.com/sure-analysis-TJX/","TJX Companies, Inc.")</f>
        <v>0</v>
      </c>
      <c r="C545">
        <v>74.29000000000001</v>
      </c>
      <c r="D545">
        <v>55</v>
      </c>
      <c r="E545">
        <v>1.350727272727273</v>
      </c>
      <c r="F545">
        <v>0.01399919235428725</v>
      </c>
      <c r="G545">
        <v>-0.05835660117394192</v>
      </c>
      <c r="H545">
        <v>0.09</v>
      </c>
      <c r="I545">
        <v>0.05796072910886974</v>
      </c>
      <c r="J545" t="s">
        <v>523</v>
      </c>
      <c r="K545" t="s">
        <v>778</v>
      </c>
      <c r="L545">
        <v>2.88</v>
      </c>
      <c r="M545">
        <v>1.04</v>
      </c>
      <c r="N545">
        <v>0.3611111111111112</v>
      </c>
      <c r="O545">
        <v>0</v>
      </c>
      <c r="P545">
        <v>0.3463094632638744</v>
      </c>
      <c r="Q545">
        <v>0.117454718462018</v>
      </c>
      <c r="R545" t="s">
        <v>780</v>
      </c>
      <c r="S545" t="s">
        <v>788</v>
      </c>
      <c r="T545">
        <v>87974.781558</v>
      </c>
      <c r="U545" s="2">
        <v>44526</v>
      </c>
      <c r="V545" t="s">
        <v>804</v>
      </c>
    </row>
    <row r="546" spans="1:22">
      <c r="A546" s="1" t="s">
        <v>566</v>
      </c>
      <c r="B546">
        <f>HYPERLINK("https://www.suredividend.com/sure-analysis-NGG/","National Grid Plc")</f>
        <v>0</v>
      </c>
      <c r="C546">
        <v>72.62</v>
      </c>
      <c r="D546">
        <v>62</v>
      </c>
      <c r="E546">
        <v>1.171290322580645</v>
      </c>
      <c r="F546">
        <v>0.04943541724042963</v>
      </c>
      <c r="G546">
        <v>-0.03112647444036964</v>
      </c>
      <c r="H546">
        <v>0.04</v>
      </c>
      <c r="I546">
        <v>0.05666153025221821</v>
      </c>
      <c r="J546" t="s">
        <v>523</v>
      </c>
      <c r="K546" t="s">
        <v>777</v>
      </c>
      <c r="L546">
        <v>4.16</v>
      </c>
      <c r="M546">
        <v>3.59</v>
      </c>
      <c r="N546">
        <v>0.8629807692307692</v>
      </c>
      <c r="O546">
        <v>0</v>
      </c>
      <c r="P546">
        <v>0.0401055114467892</v>
      </c>
      <c r="Q546">
        <v>0.316502763255074</v>
      </c>
      <c r="R546" t="s">
        <v>780</v>
      </c>
      <c r="S546" t="s">
        <v>792</v>
      </c>
      <c r="T546">
        <v>52353.8373</v>
      </c>
      <c r="U546" s="2">
        <v>44528</v>
      </c>
      <c r="V546" t="s">
        <v>801</v>
      </c>
    </row>
    <row r="547" spans="1:22">
      <c r="A547" s="1" t="s">
        <v>567</v>
      </c>
      <c r="B547">
        <f>HYPERLINK("https://www.suredividend.com/sure-analysis-GLW/","Corning, Inc.")</f>
        <v>0</v>
      </c>
      <c r="C547">
        <v>37.37</v>
      </c>
      <c r="D547">
        <v>34</v>
      </c>
      <c r="E547">
        <v>1.099117647058824</v>
      </c>
      <c r="F547">
        <v>0.02568905539202569</v>
      </c>
      <c r="G547">
        <v>-0.01872402978661247</v>
      </c>
      <c r="H547">
        <v>0.05</v>
      </c>
      <c r="I547">
        <v>0.05570688695561743</v>
      </c>
      <c r="J547" t="s">
        <v>523</v>
      </c>
      <c r="K547" t="s">
        <v>523</v>
      </c>
      <c r="L547">
        <v>2.15</v>
      </c>
      <c r="M547">
        <v>0.96</v>
      </c>
      <c r="N547">
        <v>0.4465116279069767</v>
      </c>
      <c r="O547">
        <v>11</v>
      </c>
      <c r="P547">
        <v>0.05251935381426631</v>
      </c>
      <c r="Q547">
        <v>0.037777940935609</v>
      </c>
      <c r="R547" t="s">
        <v>780</v>
      </c>
      <c r="S547" t="s">
        <v>787</v>
      </c>
      <c r="T547">
        <v>31362.760868</v>
      </c>
      <c r="U547" s="2">
        <v>44497</v>
      </c>
      <c r="V547" t="s">
        <v>800</v>
      </c>
    </row>
    <row r="548" spans="1:22">
      <c r="A548" s="1" t="s">
        <v>568</v>
      </c>
      <c r="B548">
        <f>HYPERLINK("https://www.suredividend.com/sure-analysis-KTB/","Kontoor Brands Inc")</f>
        <v>0</v>
      </c>
      <c r="C548">
        <v>51.68</v>
      </c>
      <c r="D548">
        <v>50</v>
      </c>
      <c r="E548">
        <v>1.0336</v>
      </c>
      <c r="F548">
        <v>0.03560371517027864</v>
      </c>
      <c r="G548">
        <v>-0.006587775641437532</v>
      </c>
      <c r="H548">
        <v>0.03</v>
      </c>
      <c r="I548">
        <v>0.05556963223763645</v>
      </c>
      <c r="J548" t="s">
        <v>523</v>
      </c>
      <c r="K548" t="s">
        <v>345</v>
      </c>
      <c r="L548">
        <v>4.18</v>
      </c>
      <c r="M548">
        <v>1.84</v>
      </c>
      <c r="N548">
        <v>0.4401913875598087</v>
      </c>
      <c r="O548">
        <v>1</v>
      </c>
      <c r="P548">
        <v>0.01984845658885503</v>
      </c>
      <c r="Q548">
        <v>0.264399484708808</v>
      </c>
      <c r="R548" t="s">
        <v>780</v>
      </c>
      <c r="S548" t="s">
        <v>788</v>
      </c>
      <c r="T548">
        <v>2919.752075</v>
      </c>
      <c r="U548" s="2">
        <v>44511</v>
      </c>
      <c r="V548" t="s">
        <v>798</v>
      </c>
    </row>
    <row r="549" spans="1:22">
      <c r="A549" s="1" t="s">
        <v>569</v>
      </c>
      <c r="B549">
        <f>HYPERLINK("https://www.suredividend.com/sure-analysis-INVH/","Invitation Homes Inc")</f>
        <v>0</v>
      </c>
      <c r="C549">
        <v>44.53</v>
      </c>
      <c r="D549">
        <v>35</v>
      </c>
      <c r="E549">
        <v>1.272285714285714</v>
      </c>
      <c r="F549">
        <v>0.01527060408713227</v>
      </c>
      <c r="G549">
        <v>-0.0470215720934255</v>
      </c>
      <c r="H549">
        <v>0.09</v>
      </c>
      <c r="I549">
        <v>0.05506497033829105</v>
      </c>
      <c r="J549" t="s">
        <v>523</v>
      </c>
      <c r="K549" t="s">
        <v>778</v>
      </c>
      <c r="L549">
        <v>1.28</v>
      </c>
      <c r="M549">
        <v>0.68</v>
      </c>
      <c r="N549">
        <v>0.53125</v>
      </c>
      <c r="O549">
        <v>4</v>
      </c>
      <c r="P549">
        <v>0.08447177119769855</v>
      </c>
      <c r="Q549">
        <v>0.5386715960173081</v>
      </c>
      <c r="R549" t="s">
        <v>782</v>
      </c>
      <c r="S549" t="s">
        <v>794</v>
      </c>
      <c r="T549">
        <v>26227.983222</v>
      </c>
      <c r="U549" s="2">
        <v>44500</v>
      </c>
      <c r="V549" t="s">
        <v>796</v>
      </c>
    </row>
    <row r="550" spans="1:22">
      <c r="A550" s="1" t="s">
        <v>570</v>
      </c>
      <c r="B550">
        <f>HYPERLINK("https://www.suredividend.com/sure-analysis-SBS/","Companhia de Saneamento Basico do Estado de Sao Paulo.")</f>
        <v>0</v>
      </c>
      <c r="C550">
        <v>7.16</v>
      </c>
      <c r="D550">
        <v>6.6</v>
      </c>
      <c r="E550">
        <v>1.084848484848485</v>
      </c>
      <c r="F550">
        <v>0.0223463687150838</v>
      </c>
      <c r="G550">
        <v>-0.01615613311854358</v>
      </c>
      <c r="H550">
        <v>0.05</v>
      </c>
      <c r="I550">
        <v>0.05459512151636425</v>
      </c>
      <c r="J550" t="s">
        <v>523</v>
      </c>
      <c r="K550" t="s">
        <v>523</v>
      </c>
      <c r="L550">
        <v>0.57</v>
      </c>
      <c r="M550">
        <v>0.16</v>
      </c>
      <c r="N550">
        <v>0.280701754385965</v>
      </c>
      <c r="O550">
        <v>0</v>
      </c>
      <c r="P550">
        <v>0.04563955259127317</v>
      </c>
      <c r="Q550">
        <v>-0.204094516594516</v>
      </c>
      <c r="R550" t="s">
        <v>780</v>
      </c>
      <c r="S550" t="s">
        <v>792</v>
      </c>
      <c r="T550">
        <v>4825.579675</v>
      </c>
      <c r="U550" s="2">
        <v>44513</v>
      </c>
      <c r="V550" t="s">
        <v>796</v>
      </c>
    </row>
    <row r="551" spans="1:22">
      <c r="A551" s="1" t="s">
        <v>571</v>
      </c>
      <c r="B551">
        <f>HYPERLINK("https://www.suredividend.com/sure-analysis-MPW/","Medical Properties Trust Inc")</f>
        <v>0</v>
      </c>
      <c r="C551">
        <v>22.91</v>
      </c>
      <c r="D551">
        <v>21.9</v>
      </c>
      <c r="E551">
        <v>1.046118721461187</v>
      </c>
      <c r="F551">
        <v>0.04888694893059799</v>
      </c>
      <c r="G551">
        <v>-0.008976837360266887</v>
      </c>
      <c r="H551">
        <v>0.014</v>
      </c>
      <c r="I551">
        <v>0.05403946766637802</v>
      </c>
      <c r="J551" t="s">
        <v>523</v>
      </c>
      <c r="K551" t="s">
        <v>345</v>
      </c>
      <c r="L551">
        <v>1.75</v>
      </c>
      <c r="M551">
        <v>1.12</v>
      </c>
      <c r="N551">
        <v>0.64</v>
      </c>
      <c r="O551">
        <v>9</v>
      </c>
      <c r="P551">
        <v>0.04111932758460823</v>
      </c>
      <c r="Q551">
        <v>0.09914096264569901</v>
      </c>
      <c r="R551" t="s">
        <v>782</v>
      </c>
      <c r="S551" t="s">
        <v>794</v>
      </c>
      <c r="T551">
        <v>13512.158</v>
      </c>
      <c r="U551" s="2">
        <v>44503</v>
      </c>
      <c r="V551" t="s">
        <v>805</v>
      </c>
    </row>
    <row r="552" spans="1:22">
      <c r="A552" s="1" t="s">
        <v>572</v>
      </c>
      <c r="B552">
        <f>HYPERLINK("https://www.suredividend.com/sure-analysis-NSP/","Insperity Inc")</f>
        <v>0</v>
      </c>
      <c r="C552">
        <v>117.23</v>
      </c>
      <c r="D552">
        <v>96</v>
      </c>
      <c r="E552">
        <v>1.221145833333333</v>
      </c>
      <c r="F552">
        <v>0.01535443145952401</v>
      </c>
      <c r="G552">
        <v>-0.03917013489992227</v>
      </c>
      <c r="H552">
        <v>0.08</v>
      </c>
      <c r="I552">
        <v>0.05263671235376766</v>
      </c>
      <c r="J552" t="s">
        <v>523</v>
      </c>
      <c r="K552" t="s">
        <v>778</v>
      </c>
      <c r="L552">
        <v>4.36</v>
      </c>
      <c r="M552">
        <v>1.8</v>
      </c>
      <c r="N552">
        <v>0.4128440366972477</v>
      </c>
      <c r="O552">
        <v>14</v>
      </c>
      <c r="P552">
        <v>0.05024607263868264</v>
      </c>
      <c r="Q552">
        <v>0.377465234032564</v>
      </c>
      <c r="R552" t="s">
        <v>780</v>
      </c>
      <c r="S552" t="s">
        <v>789</v>
      </c>
      <c r="T552">
        <v>4428.470825</v>
      </c>
      <c r="U552" s="2">
        <v>44502</v>
      </c>
      <c r="V552" t="s">
        <v>795</v>
      </c>
    </row>
    <row r="553" spans="1:22">
      <c r="A553" s="1" t="s">
        <v>573</v>
      </c>
      <c r="B553">
        <f>HYPERLINK("https://www.suredividend.com/sure-analysis-UE/","Urban Edge Properties")</f>
        <v>0</v>
      </c>
      <c r="C553">
        <v>18.67</v>
      </c>
      <c r="D553">
        <v>18</v>
      </c>
      <c r="E553">
        <v>1.037222222222222</v>
      </c>
      <c r="F553">
        <v>0.03213711837171934</v>
      </c>
      <c r="G553">
        <v>-0.007282592401229082</v>
      </c>
      <c r="H553">
        <v>0.03</v>
      </c>
      <c r="I553">
        <v>0.05112716163957409</v>
      </c>
      <c r="J553" t="s">
        <v>523</v>
      </c>
      <c r="K553" t="s">
        <v>523</v>
      </c>
      <c r="L553">
        <v>1.08</v>
      </c>
      <c r="M553">
        <v>0.6</v>
      </c>
      <c r="N553">
        <v>0.5555555555555555</v>
      </c>
      <c r="O553">
        <v>0</v>
      </c>
      <c r="P553">
        <v>0.009805797673485328</v>
      </c>
      <c r="Q553">
        <v>0.44520051664934</v>
      </c>
      <c r="R553" t="s">
        <v>782</v>
      </c>
      <c r="S553" t="s">
        <v>794</v>
      </c>
      <c r="T553">
        <v>2149.47841</v>
      </c>
      <c r="U553" s="2">
        <v>44512</v>
      </c>
      <c r="V553" t="s">
        <v>795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101.47</v>
      </c>
      <c r="D554">
        <v>71</v>
      </c>
      <c r="E554">
        <v>1.429154929577465</v>
      </c>
      <c r="F554">
        <v>0.02522913176308269</v>
      </c>
      <c r="G554">
        <v>-0.06892613203698628</v>
      </c>
      <c r="H554">
        <v>0.1</v>
      </c>
      <c r="I554">
        <v>0.0506475815011127</v>
      </c>
      <c r="J554" t="s">
        <v>523</v>
      </c>
      <c r="K554" t="s">
        <v>523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0.106299316034224</v>
      </c>
      <c r="R554" t="s">
        <v>780</v>
      </c>
      <c r="S554" t="s">
        <v>788</v>
      </c>
      <c r="T554">
        <v>8839.92224</v>
      </c>
      <c r="U554" s="2">
        <v>44493</v>
      </c>
      <c r="V554" t="s">
        <v>802</v>
      </c>
    </row>
    <row r="555" spans="1:22">
      <c r="A555" s="1" t="s">
        <v>575</v>
      </c>
      <c r="B555">
        <f>HYPERLINK("https://www.suredividend.com/sure-analysis-DEA/","Easterly Government Properties Inc")</f>
        <v>0</v>
      </c>
      <c r="C555">
        <v>22.72</v>
      </c>
      <c r="D555">
        <v>20.8</v>
      </c>
      <c r="E555">
        <v>1.092307692307692</v>
      </c>
      <c r="F555">
        <v>0.0466549295774648</v>
      </c>
      <c r="G555">
        <v>-0.01750352342576478</v>
      </c>
      <c r="H555">
        <v>0.021</v>
      </c>
      <c r="I555">
        <v>0.05058580016370007</v>
      </c>
      <c r="J555" t="s">
        <v>523</v>
      </c>
      <c r="K555" t="s">
        <v>777</v>
      </c>
      <c r="L555">
        <v>1.31</v>
      </c>
      <c r="M555">
        <v>1.06</v>
      </c>
      <c r="N555">
        <v>0.8091603053435115</v>
      </c>
      <c r="O555">
        <v>1</v>
      </c>
      <c r="P555">
        <v>0.04166362161741732</v>
      </c>
      <c r="Q555">
        <v>0.06632827001022701</v>
      </c>
      <c r="R555" t="s">
        <v>782</v>
      </c>
      <c r="S555" t="s">
        <v>794</v>
      </c>
      <c r="T555">
        <v>1939.828616</v>
      </c>
      <c r="U555" s="2">
        <v>44506</v>
      </c>
      <c r="V555" t="s">
        <v>805</v>
      </c>
    </row>
    <row r="556" spans="1:22">
      <c r="A556" s="1" t="s">
        <v>576</v>
      </c>
      <c r="B556">
        <f>HYPERLINK("https://www.suredividend.com/sure-analysis-RPT/","RPT Realty")</f>
        <v>0</v>
      </c>
      <c r="C556">
        <v>13.11</v>
      </c>
      <c r="D556">
        <v>11.96</v>
      </c>
      <c r="E556">
        <v>1.096153846153846</v>
      </c>
      <c r="F556">
        <v>0.03661327231121281</v>
      </c>
      <c r="G556">
        <v>-0.01819396435852516</v>
      </c>
      <c r="H556">
        <v>0.025</v>
      </c>
      <c r="I556">
        <v>0.05018794248742786</v>
      </c>
      <c r="J556" t="s">
        <v>523</v>
      </c>
      <c r="K556" t="s">
        <v>345</v>
      </c>
      <c r="L556">
        <v>0.92</v>
      </c>
      <c r="M556">
        <v>0.48</v>
      </c>
      <c r="N556">
        <v>0.5217391304347826</v>
      </c>
      <c r="O556">
        <v>1</v>
      </c>
      <c r="P556">
        <v>0.09913211517808418</v>
      </c>
      <c r="Q556">
        <v>0.574077442669868</v>
      </c>
      <c r="R556" t="s">
        <v>782</v>
      </c>
      <c r="S556" t="s">
        <v>794</v>
      </c>
      <c r="T556">
        <v>1094.080033</v>
      </c>
      <c r="U556" s="2">
        <v>44535</v>
      </c>
      <c r="V556" t="s">
        <v>796</v>
      </c>
    </row>
    <row r="557" spans="1:22">
      <c r="A557" s="1" t="s">
        <v>577</v>
      </c>
      <c r="B557">
        <f>HYPERLINK("https://www.suredividend.com/sure-analysis-BXP/","Boston Properties, Inc.")</f>
        <v>0</v>
      </c>
      <c r="C557">
        <v>115.9</v>
      </c>
      <c r="D557">
        <v>103</v>
      </c>
      <c r="E557">
        <v>1.125242718446602</v>
      </c>
      <c r="F557">
        <v>0.03382226056945643</v>
      </c>
      <c r="G557">
        <v>-0.0233234560425063</v>
      </c>
      <c r="H557">
        <v>0.044</v>
      </c>
      <c r="I557">
        <v>0.05002662174526584</v>
      </c>
      <c r="J557" t="s">
        <v>523</v>
      </c>
      <c r="K557" t="s">
        <v>523</v>
      </c>
      <c r="L557">
        <v>6.45</v>
      </c>
      <c r="M557">
        <v>3.92</v>
      </c>
      <c r="N557">
        <v>0.6077519379844961</v>
      </c>
      <c r="O557">
        <v>5</v>
      </c>
      <c r="P557">
        <v>0.01000199077119301</v>
      </c>
      <c r="Q557">
        <v>0.262615379685219</v>
      </c>
      <c r="R557" t="s">
        <v>782</v>
      </c>
      <c r="S557" t="s">
        <v>794</v>
      </c>
      <c r="T557">
        <v>17848.205421</v>
      </c>
      <c r="U557" s="2">
        <v>44503</v>
      </c>
      <c r="V557" t="s">
        <v>805</v>
      </c>
    </row>
    <row r="558" spans="1:22">
      <c r="A558" s="1" t="s">
        <v>578</v>
      </c>
      <c r="B558">
        <f>HYPERLINK("https://www.suredividend.com/sure-analysis-AES/","AES Corp.")</f>
        <v>0</v>
      </c>
      <c r="C558">
        <v>23.67</v>
      </c>
      <c r="D558">
        <v>19</v>
      </c>
      <c r="E558">
        <v>1.245789473684211</v>
      </c>
      <c r="F558">
        <v>0.02661596958174905</v>
      </c>
      <c r="G558">
        <v>-0.04300191528305464</v>
      </c>
      <c r="H558">
        <v>0.07000000000000001</v>
      </c>
      <c r="I558">
        <v>0.04998379275567566</v>
      </c>
      <c r="J558" t="s">
        <v>523</v>
      </c>
      <c r="K558" t="s">
        <v>523</v>
      </c>
      <c r="L558">
        <v>1.54</v>
      </c>
      <c r="M558">
        <v>0.63</v>
      </c>
      <c r="N558">
        <v>0.4090909090909091</v>
      </c>
      <c r="O558">
        <v>11</v>
      </c>
      <c r="P558">
        <v>0.04095039696925684</v>
      </c>
      <c r="Q558">
        <v>0.03682375316990701</v>
      </c>
      <c r="R558" t="s">
        <v>780</v>
      </c>
      <c r="S558" t="s">
        <v>793</v>
      </c>
      <c r="T558">
        <v>15701.110673</v>
      </c>
      <c r="U558" s="2">
        <v>44513</v>
      </c>
      <c r="V558" t="s">
        <v>795</v>
      </c>
    </row>
    <row r="559" spans="1:22">
      <c r="A559" s="1" t="s">
        <v>579</v>
      </c>
      <c r="B559">
        <f>HYPERLINK("https://www.suredividend.com/sure-analysis-NTAP/","Netapp Inc")</f>
        <v>0</v>
      </c>
      <c r="C559">
        <v>93.34</v>
      </c>
      <c r="D559">
        <v>80</v>
      </c>
      <c r="E559">
        <v>1.16675</v>
      </c>
      <c r="F559">
        <v>0.02142704092564817</v>
      </c>
      <c r="G559">
        <v>-0.03037358531459611</v>
      </c>
      <c r="H559">
        <v>0.06</v>
      </c>
      <c r="I559">
        <v>0.04980679034325175</v>
      </c>
      <c r="J559" t="s">
        <v>523</v>
      </c>
      <c r="K559" t="s">
        <v>523</v>
      </c>
      <c r="L559">
        <v>5</v>
      </c>
      <c r="M559">
        <v>2</v>
      </c>
      <c r="N559">
        <v>0.4</v>
      </c>
      <c r="O559">
        <v>7</v>
      </c>
      <c r="P559">
        <v>0.0602809527753625</v>
      </c>
      <c r="Q559">
        <v>0.404454334701164</v>
      </c>
      <c r="R559" t="s">
        <v>780</v>
      </c>
      <c r="S559" t="s">
        <v>787</v>
      </c>
      <c r="T559">
        <v>20145.031667</v>
      </c>
      <c r="U559" s="2">
        <v>44546</v>
      </c>
      <c r="V559" t="s">
        <v>800</v>
      </c>
    </row>
    <row r="560" spans="1:22">
      <c r="A560" s="1" t="s">
        <v>580</v>
      </c>
      <c r="B560">
        <f>HYPERLINK("https://www.suredividend.com/sure-analysis-MAC/","Macerich Co.")</f>
        <v>0</v>
      </c>
      <c r="C560">
        <v>17.22</v>
      </c>
      <c r="D560">
        <v>15</v>
      </c>
      <c r="E560">
        <v>1.148</v>
      </c>
      <c r="F560">
        <v>0.03484320557491289</v>
      </c>
      <c r="G560">
        <v>-0.02722674366441158</v>
      </c>
      <c r="H560">
        <v>0.03</v>
      </c>
      <c r="I560">
        <v>0.04232821808390996</v>
      </c>
      <c r="J560" t="s">
        <v>523</v>
      </c>
      <c r="K560" t="s">
        <v>345</v>
      </c>
      <c r="L560">
        <v>1.93</v>
      </c>
      <c r="M560">
        <v>0.6</v>
      </c>
      <c r="N560">
        <v>0.310880829015544</v>
      </c>
      <c r="O560">
        <v>0</v>
      </c>
      <c r="P560">
        <v>0.0796084730466029</v>
      </c>
      <c r="Q560">
        <v>0.625449790495461</v>
      </c>
      <c r="R560" t="s">
        <v>782</v>
      </c>
      <c r="S560" t="s">
        <v>794</v>
      </c>
      <c r="T560">
        <v>3628.03135</v>
      </c>
      <c r="U560" s="2">
        <v>44509</v>
      </c>
      <c r="V560" t="s">
        <v>803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75.94</v>
      </c>
      <c r="D561">
        <v>72</v>
      </c>
      <c r="E561">
        <v>1.054722222222222</v>
      </c>
      <c r="F561">
        <v>0.02264946010007901</v>
      </c>
      <c r="G561">
        <v>-0.01059891855452899</v>
      </c>
      <c r="H561">
        <v>0.03</v>
      </c>
      <c r="I561">
        <v>0.04169706974587917</v>
      </c>
      <c r="J561" t="s">
        <v>523</v>
      </c>
      <c r="K561" t="s">
        <v>523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0.398726076397881</v>
      </c>
      <c r="R561" t="s">
        <v>780</v>
      </c>
      <c r="S561" t="s">
        <v>784</v>
      </c>
      <c r="T561">
        <v>17231.975989</v>
      </c>
      <c r="U561" s="2">
        <v>44526</v>
      </c>
      <c r="V561" t="s">
        <v>802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28.21</v>
      </c>
      <c r="D562">
        <v>25</v>
      </c>
      <c r="E562">
        <v>1.1284</v>
      </c>
      <c r="F562">
        <v>0.03544842254519674</v>
      </c>
      <c r="G562">
        <v>-0.02387062014642927</v>
      </c>
      <c r="H562">
        <v>0.029</v>
      </c>
      <c r="I562">
        <v>0.03976520870204658</v>
      </c>
      <c r="J562" t="s">
        <v>523</v>
      </c>
      <c r="K562" t="s">
        <v>345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0.024073756651191</v>
      </c>
      <c r="R562" t="s">
        <v>780</v>
      </c>
      <c r="S562" t="s">
        <v>788</v>
      </c>
      <c r="T562">
        <v>50864.910314</v>
      </c>
      <c r="U562" s="2">
        <v>44507</v>
      </c>
      <c r="V562" t="s">
        <v>797</v>
      </c>
    </row>
    <row r="563" spans="1:22">
      <c r="A563" s="1" t="s">
        <v>583</v>
      </c>
      <c r="B563">
        <f>HYPERLINK("https://www.suredividend.com/sure-analysis-APO/","Apollo Global Management Inc")</f>
        <v>0</v>
      </c>
      <c r="C563">
        <v>74.02</v>
      </c>
      <c r="D563">
        <v>60</v>
      </c>
      <c r="E563">
        <v>1.233666666666667</v>
      </c>
      <c r="F563">
        <v>0.02837071061875169</v>
      </c>
      <c r="G563">
        <v>-0.04112844834274931</v>
      </c>
      <c r="H563">
        <v>0.05</v>
      </c>
      <c r="I563">
        <v>0.03698865850698096</v>
      </c>
      <c r="J563" t="s">
        <v>523</v>
      </c>
      <c r="K563" t="s">
        <v>523</v>
      </c>
      <c r="L563">
        <v>4.6</v>
      </c>
      <c r="M563">
        <v>2.1</v>
      </c>
      <c r="N563">
        <v>0.4565217391304348</v>
      </c>
      <c r="O563">
        <v>0</v>
      </c>
      <c r="P563">
        <v>0.04998501218567775</v>
      </c>
      <c r="Q563">
        <v>0.567896439036335</v>
      </c>
      <c r="R563" t="s">
        <v>780</v>
      </c>
      <c r="S563" t="s">
        <v>789</v>
      </c>
      <c r="T563">
        <v>18313.458128</v>
      </c>
      <c r="U563" s="2">
        <v>44522</v>
      </c>
      <c r="V563" t="s">
        <v>802</v>
      </c>
    </row>
    <row r="564" spans="1:22">
      <c r="A564" s="1" t="s">
        <v>584</v>
      </c>
      <c r="B564">
        <f>HYPERLINK("https://www.suredividend.com/sure-analysis-SKT/","Tanger Factory Outlet Centers, Inc.")</f>
        <v>0</v>
      </c>
      <c r="C564">
        <v>19.34</v>
      </c>
      <c r="D564">
        <v>18</v>
      </c>
      <c r="E564">
        <v>1.074444444444445</v>
      </c>
      <c r="F564">
        <v>0.03774560496380559</v>
      </c>
      <c r="G564">
        <v>-0.01425812274505978</v>
      </c>
      <c r="H564">
        <v>0.015</v>
      </c>
      <c r="I564">
        <v>0.03671023656393624</v>
      </c>
      <c r="J564" t="s">
        <v>523</v>
      </c>
      <c r="K564" t="s">
        <v>345</v>
      </c>
      <c r="L564">
        <v>1.69</v>
      </c>
      <c r="M564">
        <v>0.73</v>
      </c>
      <c r="N564">
        <v>0.4319526627218935</v>
      </c>
      <c r="O564">
        <v>1</v>
      </c>
      <c r="P564">
        <v>0.01072631497080168</v>
      </c>
      <c r="Q564">
        <v>0.9293475534508531</v>
      </c>
      <c r="R564" t="s">
        <v>782</v>
      </c>
      <c r="S564" t="s">
        <v>794</v>
      </c>
      <c r="T564">
        <v>1999.622589</v>
      </c>
      <c r="U564" s="2">
        <v>44511</v>
      </c>
      <c r="V564" t="s">
        <v>795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18.5</v>
      </c>
      <c r="D565">
        <v>16</v>
      </c>
      <c r="E565">
        <v>1.15625</v>
      </c>
      <c r="F565">
        <v>0.04972972972972974</v>
      </c>
      <c r="G565">
        <v>-0.02861889636171744</v>
      </c>
      <c r="H565">
        <v>0.017</v>
      </c>
      <c r="I565">
        <v>0.03532798314122476</v>
      </c>
      <c r="J565" t="s">
        <v>523</v>
      </c>
      <c r="K565" t="s">
        <v>777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0.068738946604045</v>
      </c>
      <c r="R565" t="s">
        <v>782</v>
      </c>
      <c r="S565" t="s">
        <v>794</v>
      </c>
      <c r="T565">
        <v>4020.283083</v>
      </c>
      <c r="U565" s="2">
        <v>44506</v>
      </c>
      <c r="V565" t="s">
        <v>797</v>
      </c>
    </row>
    <row r="566" spans="1:22">
      <c r="A566" s="1" t="s">
        <v>586</v>
      </c>
      <c r="B566">
        <f>HYPERLINK("https://www.suredividend.com/sure-analysis-TU/","Telus Corp.")</f>
        <v>0</v>
      </c>
      <c r="C566">
        <v>23.47</v>
      </c>
      <c r="D566">
        <v>15</v>
      </c>
      <c r="E566">
        <v>1.564666666666667</v>
      </c>
      <c r="F566">
        <v>0.04473796335747764</v>
      </c>
      <c r="G566">
        <v>-0.0856433371901596</v>
      </c>
      <c r="H566">
        <v>0.08</v>
      </c>
      <c r="I566">
        <v>0.03436595888593597</v>
      </c>
      <c r="J566" t="s">
        <v>523</v>
      </c>
      <c r="K566" t="s">
        <v>345</v>
      </c>
      <c r="L566">
        <v>0.95</v>
      </c>
      <c r="M566">
        <v>1.05</v>
      </c>
      <c r="N566">
        <v>1.105263157894737</v>
      </c>
      <c r="O566">
        <v>14</v>
      </c>
      <c r="P566">
        <v>0.03046704262958766</v>
      </c>
      <c r="Q566">
        <v>0.217045978456766</v>
      </c>
      <c r="R566" t="s">
        <v>780</v>
      </c>
      <c r="S566" t="s">
        <v>784</v>
      </c>
      <c r="T566">
        <v>31611.031252</v>
      </c>
      <c r="U566" s="2">
        <v>44522</v>
      </c>
      <c r="V566" t="s">
        <v>803</v>
      </c>
    </row>
    <row r="567" spans="1:22">
      <c r="A567" s="1" t="s">
        <v>587</v>
      </c>
      <c r="B567">
        <f>HYPERLINK("https://www.suredividend.com/sure-analysis-MPWR/","Monolithic Power System Inc")</f>
        <v>0</v>
      </c>
      <c r="C567">
        <v>511.09</v>
      </c>
      <c r="D567">
        <v>266</v>
      </c>
      <c r="E567">
        <v>1.921390977443609</v>
      </c>
      <c r="F567">
        <v>0.00469584613277505</v>
      </c>
      <c r="G567">
        <v>-0.1224399370968495</v>
      </c>
      <c r="H567">
        <v>0.17</v>
      </c>
      <c r="I567">
        <v>0.03418151811928394</v>
      </c>
      <c r="J567" t="s">
        <v>523</v>
      </c>
      <c r="K567" t="s">
        <v>778</v>
      </c>
      <c r="L567">
        <v>7.2</v>
      </c>
      <c r="M567">
        <v>2.4</v>
      </c>
      <c r="N567">
        <v>0.3333333333333333</v>
      </c>
      <c r="O567">
        <v>4</v>
      </c>
      <c r="P567">
        <v>0.1999209000665154</v>
      </c>
      <c r="Q567">
        <v>0.396333244677254</v>
      </c>
      <c r="R567" t="s">
        <v>780</v>
      </c>
      <c r="S567" t="s">
        <v>787</v>
      </c>
      <c r="T567">
        <v>22843.6908</v>
      </c>
      <c r="U567" s="2">
        <v>44500</v>
      </c>
      <c r="V567" t="s">
        <v>796</v>
      </c>
    </row>
    <row r="568" spans="1:22">
      <c r="A568" s="1" t="s">
        <v>588</v>
      </c>
      <c r="B568">
        <f>HYPERLINK("https://www.suredividend.com/sure-analysis-JNPR/","Juniper Networks Inc")</f>
        <v>0</v>
      </c>
      <c r="C568">
        <v>35.11</v>
      </c>
      <c r="D568">
        <v>26</v>
      </c>
      <c r="E568">
        <v>1.350384615384615</v>
      </c>
      <c r="F568">
        <v>0.02278553118769581</v>
      </c>
      <c r="G568">
        <v>-0.05830881800516896</v>
      </c>
      <c r="H568">
        <v>0.07000000000000001</v>
      </c>
      <c r="I568">
        <v>0.03203098954253991</v>
      </c>
      <c r="J568" t="s">
        <v>523</v>
      </c>
      <c r="K568" t="s">
        <v>523</v>
      </c>
      <c r="L568">
        <v>1.8</v>
      </c>
      <c r="M568">
        <v>0.8</v>
      </c>
      <c r="N568">
        <v>0.4444444444444445</v>
      </c>
      <c r="O568">
        <v>3</v>
      </c>
      <c r="P568">
        <v>0.04978904632428516</v>
      </c>
      <c r="Q568">
        <v>0.5687554295117231</v>
      </c>
      <c r="R568" t="s">
        <v>780</v>
      </c>
      <c r="S568" t="s">
        <v>787</v>
      </c>
      <c r="T568">
        <v>11098.431387</v>
      </c>
      <c r="U568" s="2">
        <v>44498</v>
      </c>
      <c r="V568" t="s">
        <v>795</v>
      </c>
    </row>
    <row r="569" spans="1:22">
      <c r="A569" s="1" t="s">
        <v>589</v>
      </c>
      <c r="B569">
        <f>HYPERLINK("https://www.suredividend.com/sure-analysis-CAJ/","Canon Inc")</f>
        <v>0</v>
      </c>
      <c r="C569">
        <v>25.25</v>
      </c>
      <c r="D569">
        <v>22</v>
      </c>
      <c r="E569">
        <v>1.147727272727273</v>
      </c>
      <c r="F569">
        <v>0.03049504950495049</v>
      </c>
      <c r="G569">
        <v>-0.02718051724977866</v>
      </c>
      <c r="H569">
        <v>0.03</v>
      </c>
      <c r="I569">
        <v>0.03057895381006603</v>
      </c>
      <c r="J569" t="s">
        <v>523</v>
      </c>
      <c r="K569" t="s">
        <v>523</v>
      </c>
      <c r="L569">
        <v>1.8</v>
      </c>
      <c r="M569">
        <v>0.77</v>
      </c>
      <c r="N569">
        <v>0.4277777777777778</v>
      </c>
      <c r="O569">
        <v>0</v>
      </c>
      <c r="P569">
        <v>0</v>
      </c>
      <c r="Q569">
        <v>0.328233031518381</v>
      </c>
      <c r="R569" t="s">
        <v>780</v>
      </c>
      <c r="S569" t="s">
        <v>787</v>
      </c>
      <c r="T569">
        <v>33437.450042</v>
      </c>
      <c r="U569" s="2">
        <v>44505</v>
      </c>
      <c r="V569" t="s">
        <v>798</v>
      </c>
    </row>
    <row r="570" spans="1:22">
      <c r="A570" s="1" t="s">
        <v>590</v>
      </c>
      <c r="B570">
        <f>HYPERLINK("https://www.suredividend.com/sure-analysis-TSM/","Taiwan Semiconductor Manufacturing")</f>
        <v>0</v>
      </c>
      <c r="C570">
        <v>122.7</v>
      </c>
      <c r="D570">
        <v>72</v>
      </c>
      <c r="E570">
        <v>1.704166666666667</v>
      </c>
      <c r="F570">
        <v>0.0162999185004075</v>
      </c>
      <c r="G570">
        <v>-0.1011285496330029</v>
      </c>
      <c r="H570">
        <v>0.12</v>
      </c>
      <c r="I570">
        <v>0.02609090927807078</v>
      </c>
      <c r="J570" t="s">
        <v>523</v>
      </c>
      <c r="K570" t="s">
        <v>778</v>
      </c>
      <c r="L570">
        <v>4.05</v>
      </c>
      <c r="M570">
        <v>2</v>
      </c>
      <c r="N570">
        <v>0.4938271604938272</v>
      </c>
      <c r="O570">
        <v>7</v>
      </c>
      <c r="P570">
        <v>0.08009875865888949</v>
      </c>
      <c r="Q570">
        <v>0.1569704401147</v>
      </c>
      <c r="R570" t="s">
        <v>780</v>
      </c>
      <c r="S570" t="s">
        <v>787</v>
      </c>
      <c r="T570">
        <v>625855.662783</v>
      </c>
      <c r="U570" s="2">
        <v>44490</v>
      </c>
      <c r="V570" t="s">
        <v>803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204.75</v>
      </c>
      <c r="D571">
        <v>152</v>
      </c>
      <c r="E571">
        <v>1.347039473684211</v>
      </c>
      <c r="F571">
        <v>0.02871794871794872</v>
      </c>
      <c r="G571">
        <v>-0.05784157616503149</v>
      </c>
      <c r="H571">
        <v>0.05</v>
      </c>
      <c r="I571">
        <v>0.02183138032345977</v>
      </c>
      <c r="J571" t="s">
        <v>523</v>
      </c>
      <c r="K571" t="s">
        <v>523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0.333770364597791</v>
      </c>
      <c r="R571" t="s">
        <v>782</v>
      </c>
      <c r="S571" t="s">
        <v>794</v>
      </c>
      <c r="T571">
        <v>86177.005619</v>
      </c>
      <c r="U571" s="2">
        <v>44493</v>
      </c>
      <c r="V571" t="s">
        <v>802</v>
      </c>
    </row>
    <row r="572" spans="1:22">
      <c r="A572" s="1" t="s">
        <v>592</v>
      </c>
      <c r="B572">
        <f>HYPERLINK("https://www.suredividend.com/sure-analysis-RGA/","Reinsurance Group Of America, Inc.")</f>
        <v>0</v>
      </c>
      <c r="C572">
        <v>109.03</v>
      </c>
      <c r="D572">
        <v>50</v>
      </c>
      <c r="E572">
        <v>2.1806</v>
      </c>
      <c r="F572">
        <v>0.02678161973768687</v>
      </c>
      <c r="G572">
        <v>-0.1443723738420764</v>
      </c>
      <c r="H572">
        <v>0.15</v>
      </c>
      <c r="I572">
        <v>0.01869275231870127</v>
      </c>
      <c r="J572" t="s">
        <v>523</v>
      </c>
      <c r="K572" t="s">
        <v>523</v>
      </c>
      <c r="L572">
        <v>4.2</v>
      </c>
      <c r="M572">
        <v>2.92</v>
      </c>
      <c r="N572">
        <v>0.6952380952380952</v>
      </c>
      <c r="O572">
        <v>11</v>
      </c>
      <c r="P572">
        <v>0.08986498009382693</v>
      </c>
      <c r="Q572">
        <v>-0.012784014028858</v>
      </c>
      <c r="R572" t="s">
        <v>780</v>
      </c>
      <c r="S572" t="s">
        <v>789</v>
      </c>
      <c r="T572">
        <v>7398.160525</v>
      </c>
      <c r="U572" s="2">
        <v>44511</v>
      </c>
      <c r="V572" t="s">
        <v>795</v>
      </c>
    </row>
    <row r="573" spans="1:22">
      <c r="A573" s="1" t="s">
        <v>593</v>
      </c>
      <c r="B573">
        <f>HYPERLINK("https://www.suredividend.com/sure-analysis-UBS/","UBS Group AG")</f>
        <v>0</v>
      </c>
      <c r="C573">
        <v>18.07</v>
      </c>
      <c r="D573">
        <v>16</v>
      </c>
      <c r="E573">
        <v>1.129375</v>
      </c>
      <c r="F573">
        <v>0.02047592695074709</v>
      </c>
      <c r="G573">
        <v>-0.0240392187021492</v>
      </c>
      <c r="H573">
        <v>0.02</v>
      </c>
      <c r="I573">
        <v>0.01792911750779247</v>
      </c>
      <c r="J573" t="s">
        <v>523</v>
      </c>
      <c r="K573" t="s">
        <v>523</v>
      </c>
      <c r="L573">
        <v>1.35</v>
      </c>
      <c r="M573">
        <v>0.37</v>
      </c>
      <c r="N573">
        <v>0.274074074074074</v>
      </c>
      <c r="O573">
        <v>0</v>
      </c>
      <c r="P573">
        <v>0.03992533304330625</v>
      </c>
      <c r="Q573">
        <v>0.281184844345388</v>
      </c>
      <c r="R573" t="s">
        <v>780</v>
      </c>
      <c r="S573" t="s">
        <v>789</v>
      </c>
      <c r="T573">
        <v>65977.177771</v>
      </c>
      <c r="U573" s="2">
        <v>44498</v>
      </c>
      <c r="V573" t="s">
        <v>803</v>
      </c>
    </row>
    <row r="574" spans="1:22">
      <c r="A574" s="1" t="s">
        <v>594</v>
      </c>
      <c r="B574">
        <f>HYPERLINK("https://www.suredividend.com/sure-analysis-CNQ/","Canadian Natural Resources Ltd.")</f>
        <v>0</v>
      </c>
      <c r="C574">
        <v>42.07</v>
      </c>
      <c r="D574">
        <v>50</v>
      </c>
      <c r="E574">
        <v>0.8414</v>
      </c>
      <c r="F574">
        <v>0.04492512479201331</v>
      </c>
      <c r="G574">
        <v>0.03514097126704652</v>
      </c>
      <c r="H574">
        <v>-0.07000000000000001</v>
      </c>
      <c r="I574">
        <v>0.01211022575961795</v>
      </c>
      <c r="J574" t="s">
        <v>523</v>
      </c>
      <c r="K574" t="s">
        <v>345</v>
      </c>
      <c r="L574">
        <v>4.2</v>
      </c>
      <c r="M574">
        <v>1.89</v>
      </c>
      <c r="N574">
        <v>0.45</v>
      </c>
      <c r="O574">
        <v>5</v>
      </c>
      <c r="P574">
        <v>0.01539184863075338</v>
      </c>
      <c r="Q574">
        <v>0.767827630264999</v>
      </c>
      <c r="R574" t="s">
        <v>780</v>
      </c>
      <c r="S574" t="s">
        <v>793</v>
      </c>
      <c r="T574">
        <v>47720.382936</v>
      </c>
      <c r="U574" s="2">
        <v>44522</v>
      </c>
      <c r="V574" t="s">
        <v>803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185.9</v>
      </c>
      <c r="D575">
        <v>150</v>
      </c>
      <c r="E575">
        <v>1.239333333333333</v>
      </c>
      <c r="F575">
        <v>0.02366863905325444</v>
      </c>
      <c r="G575">
        <v>-0.04200691588716066</v>
      </c>
      <c r="H575">
        <v>0.03</v>
      </c>
      <c r="I575">
        <v>0.01052501330393008</v>
      </c>
      <c r="J575" t="s">
        <v>523</v>
      </c>
      <c r="K575" t="s">
        <v>523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0.255246415020883</v>
      </c>
      <c r="R575" t="s">
        <v>780</v>
      </c>
      <c r="S575" t="s">
        <v>788</v>
      </c>
      <c r="T575">
        <v>299836.83954</v>
      </c>
      <c r="U575" s="2">
        <v>44529</v>
      </c>
      <c r="V575" t="s">
        <v>798</v>
      </c>
    </row>
    <row r="576" spans="1:22">
      <c r="A576" s="1" t="s">
        <v>596</v>
      </c>
      <c r="B576">
        <f>HYPERLINK("https://www.suredividend.com/sure-analysis-BRX/","Brixmor Property Group Inc")</f>
        <v>0</v>
      </c>
      <c r="C576">
        <v>24.79</v>
      </c>
      <c r="D576">
        <v>20</v>
      </c>
      <c r="E576">
        <v>1.2395</v>
      </c>
      <c r="F576">
        <v>0.03872529245663574</v>
      </c>
      <c r="G576">
        <v>-0.04203268016345629</v>
      </c>
      <c r="H576">
        <v>0.006</v>
      </c>
      <c r="I576">
        <v>0.008622753508048975</v>
      </c>
      <c r="J576" t="s">
        <v>523</v>
      </c>
      <c r="K576" t="s">
        <v>345</v>
      </c>
      <c r="L576">
        <v>1.73</v>
      </c>
      <c r="M576">
        <v>0.96</v>
      </c>
      <c r="N576">
        <v>0.5549132947976878</v>
      </c>
      <c r="O576">
        <v>1</v>
      </c>
      <c r="P576">
        <v>0.03131030647754507</v>
      </c>
      <c r="Q576">
        <v>0.5685445648553781</v>
      </c>
      <c r="R576" t="s">
        <v>782</v>
      </c>
      <c r="S576" t="s">
        <v>794</v>
      </c>
      <c r="T576">
        <v>7273.247018</v>
      </c>
      <c r="U576" s="2">
        <v>44516</v>
      </c>
      <c r="V576" t="s">
        <v>804</v>
      </c>
    </row>
    <row r="577" spans="1:22">
      <c r="A577" s="1" t="s">
        <v>597</v>
      </c>
      <c r="B577">
        <f>HYPERLINK("https://www.suredividend.com/sure-analysis-SLB/","Schlumberger Ltd.")</f>
        <v>0</v>
      </c>
      <c r="C577">
        <v>29.84</v>
      </c>
      <c r="D577">
        <v>20</v>
      </c>
      <c r="E577">
        <v>1.492</v>
      </c>
      <c r="F577">
        <v>0.01675603217158177</v>
      </c>
      <c r="G577">
        <v>-0.07690534692152218</v>
      </c>
      <c r="H577">
        <v>0.07000000000000001</v>
      </c>
      <c r="I577">
        <v>0.0084625863119141</v>
      </c>
      <c r="J577" t="s">
        <v>523</v>
      </c>
      <c r="K577" t="s">
        <v>778</v>
      </c>
      <c r="L577">
        <v>1.1</v>
      </c>
      <c r="M577">
        <v>0.5</v>
      </c>
      <c r="N577">
        <v>0.4545454545454545</v>
      </c>
      <c r="O577">
        <v>0</v>
      </c>
      <c r="P577">
        <v>0.06961037572506878</v>
      </c>
      <c r="Q577">
        <v>0.378329876243969</v>
      </c>
      <c r="R577" t="s">
        <v>780</v>
      </c>
      <c r="S577" t="s">
        <v>793</v>
      </c>
      <c r="T577">
        <v>41475.845568</v>
      </c>
      <c r="U577" s="2">
        <v>44493</v>
      </c>
      <c r="V577" t="s">
        <v>803</v>
      </c>
    </row>
    <row r="578" spans="1:22">
      <c r="A578" s="1" t="s">
        <v>598</v>
      </c>
      <c r="B578">
        <f>HYPERLINK("https://www.suredividend.com/sure-analysis-STX/","Seagate Technology Holdings Plc")</f>
        <v>0</v>
      </c>
      <c r="C578">
        <v>113.61</v>
      </c>
      <c r="D578">
        <v>89</v>
      </c>
      <c r="E578">
        <v>1.276516853932584</v>
      </c>
      <c r="F578">
        <v>0.02464571780653111</v>
      </c>
      <c r="G578">
        <v>-0.04765415935322503</v>
      </c>
      <c r="H578">
        <v>0.03</v>
      </c>
      <c r="I578">
        <v>0.008067063645470274</v>
      </c>
      <c r="J578" t="s">
        <v>523</v>
      </c>
      <c r="K578" t="s">
        <v>523</v>
      </c>
      <c r="L578">
        <v>8.9</v>
      </c>
      <c r="M578">
        <v>2.8</v>
      </c>
      <c r="N578">
        <v>0.3146067415730337</v>
      </c>
      <c r="O578">
        <v>3</v>
      </c>
      <c r="P578">
        <v>0.02513307572787737</v>
      </c>
      <c r="Q578">
        <v>0.135799499073888</v>
      </c>
      <c r="R578" t="s">
        <v>780</v>
      </c>
      <c r="S578" t="s">
        <v>787</v>
      </c>
      <c r="T578">
        <v>24806.096992</v>
      </c>
      <c r="U578" s="2">
        <v>44507</v>
      </c>
      <c r="V578" t="s">
        <v>798</v>
      </c>
    </row>
    <row r="579" spans="1:22">
      <c r="A579" s="1" t="s">
        <v>599</v>
      </c>
      <c r="B579">
        <f>HYPERLINK("https://www.suredividend.com/sure-analysis-AVGO/","Broadcom Inc")</f>
        <v>0</v>
      </c>
      <c r="C579">
        <v>674.28</v>
      </c>
      <c r="D579">
        <v>420</v>
      </c>
      <c r="E579">
        <v>1.605428571428571</v>
      </c>
      <c r="F579">
        <v>0.02432224001898321</v>
      </c>
      <c r="G579">
        <v>-0.09033433558989712</v>
      </c>
      <c r="H579">
        <v>0.075</v>
      </c>
      <c r="I579">
        <v>0.007157775130735677</v>
      </c>
      <c r="J579" t="s">
        <v>523</v>
      </c>
      <c r="K579" t="s">
        <v>523</v>
      </c>
      <c r="L579">
        <v>28</v>
      </c>
      <c r="M579">
        <v>16.4</v>
      </c>
      <c r="N579">
        <v>0.5857142857142856</v>
      </c>
      <c r="O579">
        <v>11</v>
      </c>
      <c r="P579">
        <v>0.05228738264860588</v>
      </c>
      <c r="Q579">
        <v>0.586568580071238</v>
      </c>
      <c r="R579" t="s">
        <v>780</v>
      </c>
      <c r="S579" t="s">
        <v>787</v>
      </c>
      <c r="T579">
        <v>274478.613926</v>
      </c>
      <c r="U579" s="2">
        <v>44453</v>
      </c>
      <c r="V579" t="s">
        <v>798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165.89</v>
      </c>
      <c r="D580">
        <v>99</v>
      </c>
      <c r="E580">
        <v>1.675656565656566</v>
      </c>
      <c r="F580">
        <v>0.01519078907709928</v>
      </c>
      <c r="G580">
        <v>-0.09809042518346422</v>
      </c>
      <c r="H580">
        <v>0.09</v>
      </c>
      <c r="I580">
        <v>0.002868481038717841</v>
      </c>
      <c r="J580" t="s">
        <v>523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0.6968462263923311</v>
      </c>
      <c r="R580" t="s">
        <v>782</v>
      </c>
      <c r="S580" t="s">
        <v>794</v>
      </c>
      <c r="T580">
        <v>119586.14225</v>
      </c>
      <c r="U580" s="2">
        <v>44486</v>
      </c>
      <c r="V580" t="s">
        <v>796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116.91</v>
      </c>
      <c r="D581">
        <v>72</v>
      </c>
      <c r="E581">
        <v>1.62375</v>
      </c>
      <c r="F581">
        <v>0.006842870584210077</v>
      </c>
      <c r="G581">
        <v>-0.09239648914598819</v>
      </c>
      <c r="H581">
        <v>0.09</v>
      </c>
      <c r="I581">
        <v>-0.001566487836913932</v>
      </c>
      <c r="J581" t="s">
        <v>523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0.293390146398825</v>
      </c>
      <c r="R581" t="s">
        <v>780</v>
      </c>
      <c r="S581" t="s">
        <v>786</v>
      </c>
      <c r="T581">
        <v>5938.106337</v>
      </c>
      <c r="U581" s="2">
        <v>44501</v>
      </c>
      <c r="V581" t="s">
        <v>795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220.1</v>
      </c>
      <c r="D582">
        <v>140</v>
      </c>
      <c r="E582">
        <v>1.572142857142857</v>
      </c>
      <c r="F582">
        <v>0.02089959109495684</v>
      </c>
      <c r="G582">
        <v>-0.08651462503669549</v>
      </c>
      <c r="H582">
        <v>0.06</v>
      </c>
      <c r="I582">
        <v>-0.005231211728826013</v>
      </c>
      <c r="J582" t="s">
        <v>523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0.278305632697557</v>
      </c>
      <c r="R582" t="s">
        <v>782</v>
      </c>
      <c r="S582" t="s">
        <v>794</v>
      </c>
      <c r="T582">
        <v>33724.890838</v>
      </c>
      <c r="U582" s="2">
        <v>44496</v>
      </c>
      <c r="V582" t="s">
        <v>800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86.17</v>
      </c>
      <c r="D583">
        <v>53</v>
      </c>
      <c r="E583">
        <v>1.625849056603774</v>
      </c>
      <c r="F583">
        <v>0.01682720204247418</v>
      </c>
      <c r="G583">
        <v>-0.09263096303365725</v>
      </c>
      <c r="H583">
        <v>0.07000000000000001</v>
      </c>
      <c r="I583">
        <v>-0.006877440937161139</v>
      </c>
      <c r="J583" t="s">
        <v>523</v>
      </c>
      <c r="K583" t="s">
        <v>778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0.4020660112568371</v>
      </c>
      <c r="R583" t="s">
        <v>782</v>
      </c>
      <c r="S583" t="s">
        <v>794</v>
      </c>
      <c r="T583">
        <v>15601.322465</v>
      </c>
      <c r="U583" s="2">
        <v>44493</v>
      </c>
      <c r="V583" t="s">
        <v>799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79.73999999999999</v>
      </c>
      <c r="D584">
        <v>52</v>
      </c>
      <c r="E584">
        <v>1.533461538461538</v>
      </c>
      <c r="F584">
        <v>0.01705543014798094</v>
      </c>
      <c r="G584">
        <v>-0.08195192887648783</v>
      </c>
      <c r="H584">
        <v>0.06</v>
      </c>
      <c r="I584">
        <v>-0.007859150957559624</v>
      </c>
      <c r="J584" t="s">
        <v>523</v>
      </c>
      <c r="K584" t="s">
        <v>778</v>
      </c>
      <c r="L584">
        <v>3.27</v>
      </c>
      <c r="M584">
        <v>1.36</v>
      </c>
      <c r="N584">
        <v>0.4159021406727829</v>
      </c>
      <c r="O584">
        <v>2</v>
      </c>
      <c r="P584">
        <v>0.01289824528018912</v>
      </c>
      <c r="Q584">
        <v>0.7214249193391981</v>
      </c>
      <c r="R584" t="s">
        <v>780</v>
      </c>
      <c r="S584" t="s">
        <v>786</v>
      </c>
      <c r="T584">
        <v>55015.403373</v>
      </c>
      <c r="U584" s="2">
        <v>44511</v>
      </c>
      <c r="V584" t="s">
        <v>800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169.41</v>
      </c>
      <c r="D585">
        <v>106</v>
      </c>
      <c r="E585">
        <v>1.598207547169811</v>
      </c>
      <c r="F585">
        <v>0.02998642346968892</v>
      </c>
      <c r="G585">
        <v>-0.08951380656588803</v>
      </c>
      <c r="H585">
        <v>0.046</v>
      </c>
      <c r="I585">
        <v>-0.01213787886154716</v>
      </c>
      <c r="J585" t="s">
        <v>523</v>
      </c>
      <c r="K585" t="s">
        <v>523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0.425632499517176</v>
      </c>
      <c r="R585" t="s">
        <v>782</v>
      </c>
      <c r="S585" t="s">
        <v>794</v>
      </c>
      <c r="T585">
        <v>7503.889071</v>
      </c>
      <c r="U585" s="2">
        <v>44503</v>
      </c>
      <c r="V585" t="s">
        <v>805</v>
      </c>
    </row>
    <row r="586" spans="1:22">
      <c r="A586" s="1" t="s">
        <v>606</v>
      </c>
      <c r="B586">
        <f>HYPERLINK("https://www.suredividend.com/sure-analysis-TRGP/","Targa Resources Corp")</f>
        <v>0</v>
      </c>
      <c r="C586">
        <v>52.54</v>
      </c>
      <c r="D586">
        <v>36</v>
      </c>
      <c r="E586">
        <v>1.459444444444444</v>
      </c>
      <c r="F586">
        <v>0.02664636467453369</v>
      </c>
      <c r="G586">
        <v>-0.07282334864524864</v>
      </c>
      <c r="H586">
        <v>0.03</v>
      </c>
      <c r="I586">
        <v>-0.01255659571615575</v>
      </c>
      <c r="J586" t="s">
        <v>523</v>
      </c>
      <c r="K586" t="s">
        <v>523</v>
      </c>
      <c r="L586">
        <v>5.2</v>
      </c>
      <c r="M586">
        <v>1.4</v>
      </c>
      <c r="N586">
        <v>0.2692307692307692</v>
      </c>
      <c r="O586">
        <v>0</v>
      </c>
      <c r="P586">
        <v>0.02706608708935176</v>
      </c>
      <c r="Q586">
        <v>0.934204315319842</v>
      </c>
      <c r="R586" t="s">
        <v>780</v>
      </c>
      <c r="S586" t="s">
        <v>793</v>
      </c>
      <c r="T586">
        <v>11634.053601</v>
      </c>
      <c r="U586" s="2">
        <v>44515</v>
      </c>
      <c r="V586" t="s">
        <v>803</v>
      </c>
    </row>
    <row r="587" spans="1:22">
      <c r="A587" s="1" t="s">
        <v>607</v>
      </c>
      <c r="B587">
        <f>HYPERLINK("https://www.suredividend.com/sure-analysis-DRE/","Duke Realty Corp")</f>
        <v>0</v>
      </c>
      <c r="C587">
        <v>64.3</v>
      </c>
      <c r="D587">
        <v>38</v>
      </c>
      <c r="E587">
        <v>1.692105263157895</v>
      </c>
      <c r="F587">
        <v>0.01741835147744946</v>
      </c>
      <c r="G587">
        <v>-0.09985074840684149</v>
      </c>
      <c r="H587">
        <v>0.07000000000000001</v>
      </c>
      <c r="I587">
        <v>-0.01377188123668993</v>
      </c>
      <c r="J587" t="s">
        <v>523</v>
      </c>
      <c r="K587" t="s">
        <v>778</v>
      </c>
      <c r="L587">
        <v>1.72</v>
      </c>
      <c r="M587">
        <v>1.12</v>
      </c>
      <c r="N587">
        <v>0.6511627906976745</v>
      </c>
      <c r="O587">
        <v>7</v>
      </c>
      <c r="P587">
        <v>0.06016789231717423</v>
      </c>
      <c r="Q587">
        <v>0.6276124623261931</v>
      </c>
      <c r="R587" t="s">
        <v>782</v>
      </c>
      <c r="S587" t="s">
        <v>794</v>
      </c>
      <c r="T587">
        <v>23837.420277</v>
      </c>
      <c r="U587" s="2">
        <v>44499</v>
      </c>
      <c r="V587" t="s">
        <v>799</v>
      </c>
    </row>
    <row r="588" spans="1:22">
      <c r="A588" s="1" t="s">
        <v>608</v>
      </c>
      <c r="B588">
        <f>HYPERLINK("https://www.suredividend.com/sure-analysis-CWEN/","Clearway Energy Inc")</f>
        <v>0</v>
      </c>
      <c r="C588">
        <v>35.81</v>
      </c>
      <c r="D588">
        <v>22</v>
      </c>
      <c r="E588">
        <v>1.627727272727273</v>
      </c>
      <c r="F588">
        <v>0.03797821837475566</v>
      </c>
      <c r="G588">
        <v>-0.09284046032818227</v>
      </c>
      <c r="H588">
        <v>0.03</v>
      </c>
      <c r="I588">
        <v>-0.01379855817405062</v>
      </c>
      <c r="J588" t="s">
        <v>523</v>
      </c>
      <c r="K588" t="s">
        <v>345</v>
      </c>
      <c r="L588">
        <v>2.8</v>
      </c>
      <c r="M588">
        <v>1.36</v>
      </c>
      <c r="N588">
        <v>0.4857142857142858</v>
      </c>
      <c r="O588">
        <v>2</v>
      </c>
      <c r="P588">
        <v>0.0505145404837426</v>
      </c>
      <c r="Q588">
        <v>0.143947529917152</v>
      </c>
      <c r="R588" t="s">
        <v>780</v>
      </c>
      <c r="S588" t="s">
        <v>792</v>
      </c>
      <c r="T588">
        <v>4077.95758</v>
      </c>
      <c r="U588" s="2">
        <v>44515</v>
      </c>
      <c r="V588" t="s">
        <v>795</v>
      </c>
    </row>
    <row r="589" spans="1:22">
      <c r="A589" s="1" t="s">
        <v>609</v>
      </c>
      <c r="B589">
        <f>HYPERLINK("https://www.suredividend.com/sure-analysis-TRSWF/","TransAlta Renewables, Inc.")</f>
        <v>0</v>
      </c>
      <c r="C589">
        <v>14.79</v>
      </c>
      <c r="D589">
        <v>9</v>
      </c>
      <c r="E589">
        <v>1.643333333333333</v>
      </c>
      <c r="F589">
        <v>0.05138607167004734</v>
      </c>
      <c r="G589">
        <v>-0.09457002704904993</v>
      </c>
      <c r="H589">
        <v>0.02</v>
      </c>
      <c r="I589">
        <v>-0.01381073094572416</v>
      </c>
      <c r="J589" t="s">
        <v>523</v>
      </c>
      <c r="K589" t="s">
        <v>777</v>
      </c>
      <c r="L589">
        <v>0.8</v>
      </c>
      <c r="M589">
        <v>0.76</v>
      </c>
      <c r="N589">
        <v>0.95</v>
      </c>
      <c r="O589">
        <v>0</v>
      </c>
      <c r="P589">
        <v>0.005208615197356048</v>
      </c>
      <c r="Q589">
        <v>-0.08937663537017</v>
      </c>
      <c r="R589" t="s">
        <v>780</v>
      </c>
      <c r="S589" t="s">
        <v>792</v>
      </c>
      <c r="T589">
        <v>3947.12822</v>
      </c>
      <c r="U589" s="2">
        <v>44515</v>
      </c>
      <c r="V589" t="s">
        <v>795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9.299899999999999</v>
      </c>
      <c r="D590">
        <v>6.5</v>
      </c>
      <c r="E590">
        <v>1.430753846153846</v>
      </c>
      <c r="F590">
        <v>0.03655953289820321</v>
      </c>
      <c r="G590">
        <v>-0.06913432653046492</v>
      </c>
      <c r="H590">
        <v>0</v>
      </c>
      <c r="I590">
        <v>-0.01426181053927067</v>
      </c>
      <c r="J590" t="s">
        <v>523</v>
      </c>
      <c r="K590" t="s">
        <v>345</v>
      </c>
      <c r="L590">
        <v>1.3</v>
      </c>
      <c r="M590">
        <v>0.34</v>
      </c>
      <c r="N590">
        <v>0.2615384615384616</v>
      </c>
      <c r="O590">
        <v>0</v>
      </c>
      <c r="P590">
        <v>0.0801851873035635</v>
      </c>
      <c r="Q590">
        <v>0.679057116953762</v>
      </c>
      <c r="R590" t="s">
        <v>780</v>
      </c>
      <c r="S590" t="s">
        <v>793</v>
      </c>
      <c r="T590">
        <v>109608.364727</v>
      </c>
      <c r="U590" s="2">
        <v>44530</v>
      </c>
      <c r="V590" t="s">
        <v>803</v>
      </c>
    </row>
    <row r="591" spans="1:22">
      <c r="A591" s="1" t="s">
        <v>611</v>
      </c>
      <c r="B591">
        <f>HYPERLINK("https://www.suredividend.com/sure-analysis-EXC/","Exelon Corp.")</f>
        <v>0</v>
      </c>
      <c r="C591">
        <v>54.81</v>
      </c>
      <c r="D591">
        <v>38</v>
      </c>
      <c r="E591">
        <v>1.442368421052632</v>
      </c>
      <c r="F591">
        <v>0.02791461412151067</v>
      </c>
      <c r="G591">
        <v>-0.07063832537486547</v>
      </c>
      <c r="H591">
        <v>0.02</v>
      </c>
      <c r="I591">
        <v>-0.01789333244725888</v>
      </c>
      <c r="J591" t="s">
        <v>523</v>
      </c>
      <c r="K591" t="s">
        <v>523</v>
      </c>
      <c r="L591">
        <v>2.8</v>
      </c>
      <c r="M591">
        <v>1.53</v>
      </c>
      <c r="N591">
        <v>0.5464285714285715</v>
      </c>
      <c r="O591">
        <v>5</v>
      </c>
      <c r="P591">
        <v>0.02009132612636422</v>
      </c>
      <c r="Q591">
        <v>0.347115161164319</v>
      </c>
      <c r="R591" t="s">
        <v>780</v>
      </c>
      <c r="S591" t="s">
        <v>792</v>
      </c>
      <c r="T591">
        <v>53282.101643</v>
      </c>
      <c r="U591" s="2">
        <v>44504</v>
      </c>
      <c r="V591" t="s">
        <v>797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42.78</v>
      </c>
      <c r="D592">
        <v>38</v>
      </c>
      <c r="E592">
        <v>1.12578947368421</v>
      </c>
      <c r="F592">
        <v>0.01402524544179523</v>
      </c>
      <c r="G592">
        <v>-0.02341834177326929</v>
      </c>
      <c r="H592">
        <v>-0.02</v>
      </c>
      <c r="I592">
        <v>-0.0258632529207401</v>
      </c>
      <c r="J592" t="s">
        <v>523</v>
      </c>
      <c r="K592" t="s">
        <v>778</v>
      </c>
      <c r="L592">
        <v>1.35</v>
      </c>
      <c r="M592">
        <v>0.6</v>
      </c>
      <c r="N592">
        <v>0.4444444444444444</v>
      </c>
      <c r="O592">
        <v>2</v>
      </c>
      <c r="P592">
        <v>0.01924487649145656</v>
      </c>
      <c r="Q592">
        <v>0.010704244193407</v>
      </c>
      <c r="R592" t="s">
        <v>780</v>
      </c>
      <c r="S592" t="s">
        <v>790</v>
      </c>
      <c r="T592">
        <v>19060.964371</v>
      </c>
      <c r="U592" s="2">
        <v>44528</v>
      </c>
      <c r="V592" t="s">
        <v>802</v>
      </c>
    </row>
    <row r="593" spans="1:22">
      <c r="A593" s="1" t="s">
        <v>613</v>
      </c>
      <c r="B593">
        <f>HYPERLINK("https://www.suredividend.com/sure-analysis-FR/","First Industrial Realty Trust, Inc.")</f>
        <v>0</v>
      </c>
      <c r="C593">
        <v>65.13</v>
      </c>
      <c r="D593">
        <v>36</v>
      </c>
      <c r="E593">
        <v>1.809166666666667</v>
      </c>
      <c r="F593">
        <v>0.01658222017503455</v>
      </c>
      <c r="G593">
        <v>-0.1118132613454572</v>
      </c>
      <c r="H593">
        <v>0.07000000000000001</v>
      </c>
      <c r="I593">
        <v>-0.02645679778398546</v>
      </c>
      <c r="J593" t="s">
        <v>523</v>
      </c>
      <c r="K593" t="s">
        <v>778</v>
      </c>
      <c r="L593">
        <v>1.95</v>
      </c>
      <c r="M593">
        <v>1.08</v>
      </c>
      <c r="N593">
        <v>0.5538461538461539</v>
      </c>
      <c r="O593">
        <v>9</v>
      </c>
      <c r="P593">
        <v>0.06069091570555463</v>
      </c>
      <c r="Q593">
        <v>0.574626884029628</v>
      </c>
      <c r="R593" t="s">
        <v>782</v>
      </c>
      <c r="S593" t="s">
        <v>794</v>
      </c>
      <c r="T593">
        <v>8265.703729999999</v>
      </c>
      <c r="U593" s="2">
        <v>44492</v>
      </c>
      <c r="V593" t="s">
        <v>799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52.28</v>
      </c>
      <c r="D594">
        <v>33</v>
      </c>
      <c r="E594">
        <v>1.584242424242424</v>
      </c>
      <c r="F594">
        <v>0.01147666411629686</v>
      </c>
      <c r="G594">
        <v>-0.08791424658234059</v>
      </c>
      <c r="H594">
        <v>0.05</v>
      </c>
      <c r="I594">
        <v>-0.02903966596535912</v>
      </c>
      <c r="J594" t="s">
        <v>523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-0.128612138197404</v>
      </c>
      <c r="R594" t="s">
        <v>780</v>
      </c>
      <c r="S594" t="s">
        <v>790</v>
      </c>
      <c r="T594">
        <v>1763.205748</v>
      </c>
      <c r="U594" s="2">
        <v>44520</v>
      </c>
      <c r="V594" t="s">
        <v>796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229.43</v>
      </c>
      <c r="D595">
        <v>133</v>
      </c>
      <c r="E595">
        <v>1.725037593984962</v>
      </c>
      <c r="F595">
        <v>0.01569106045416903</v>
      </c>
      <c r="G595">
        <v>-0.1033142105629642</v>
      </c>
      <c r="H595">
        <v>0.054</v>
      </c>
      <c r="I595">
        <v>-0.03367955056294591</v>
      </c>
      <c r="J595" t="s">
        <v>523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0.304697903969994</v>
      </c>
      <c r="R595" t="s">
        <v>780</v>
      </c>
      <c r="S595" t="s">
        <v>789</v>
      </c>
      <c r="T595">
        <v>82287.346854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42.96</v>
      </c>
      <c r="D596">
        <v>29</v>
      </c>
      <c r="E596">
        <v>1.481379310344828</v>
      </c>
      <c r="F596">
        <v>0.00931098696461825</v>
      </c>
      <c r="G596">
        <v>-0.0755855084936824</v>
      </c>
      <c r="H596">
        <v>0.03</v>
      </c>
      <c r="I596">
        <v>-0.03678471972481867</v>
      </c>
      <c r="J596" t="s">
        <v>523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0.4588936866006431</v>
      </c>
      <c r="R596" t="s">
        <v>782</v>
      </c>
      <c r="S596" t="s">
        <v>794</v>
      </c>
      <c r="T596">
        <v>14174.810898</v>
      </c>
      <c r="U596" s="2">
        <v>44506</v>
      </c>
      <c r="V596" t="s">
        <v>797</v>
      </c>
    </row>
    <row r="597" spans="1:22">
      <c r="A597" s="1" t="s">
        <v>617</v>
      </c>
      <c r="B597">
        <f>HYPERLINK("https://www.suredividend.com/sure-analysis-MAA/","Mid-America Apartment Communities, Inc.")</f>
        <v>0</v>
      </c>
      <c r="C597">
        <v>224.63</v>
      </c>
      <c r="D597">
        <v>118</v>
      </c>
      <c r="E597">
        <v>1.90364406779661</v>
      </c>
      <c r="F597">
        <v>0.01936517829319325</v>
      </c>
      <c r="G597">
        <v>-0.120809776693212</v>
      </c>
      <c r="H597">
        <v>0.06</v>
      </c>
      <c r="I597">
        <v>-0.04105815941628443</v>
      </c>
      <c r="J597" t="s">
        <v>523</v>
      </c>
      <c r="K597" t="s">
        <v>778</v>
      </c>
      <c r="L597">
        <v>6.98</v>
      </c>
      <c r="M597">
        <v>4.35</v>
      </c>
      <c r="N597">
        <v>0.6232091690544411</v>
      </c>
      <c r="O597">
        <v>11</v>
      </c>
      <c r="P597">
        <v>0.03634132731704387</v>
      </c>
      <c r="Q597">
        <v>0.821123183839622</v>
      </c>
      <c r="R597" t="s">
        <v>782</v>
      </c>
      <c r="S597" t="s">
        <v>794</v>
      </c>
      <c r="T597">
        <v>25455.931832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170.67</v>
      </c>
      <c r="D598">
        <v>100</v>
      </c>
      <c r="E598">
        <v>1.7067</v>
      </c>
      <c r="F598">
        <v>0.01781215210640417</v>
      </c>
      <c r="G598">
        <v>-0.1013955554616828</v>
      </c>
      <c r="H598">
        <v>0.04</v>
      </c>
      <c r="I598">
        <v>-0.04122070222408714</v>
      </c>
      <c r="J598" t="s">
        <v>523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0.451453526538001</v>
      </c>
      <c r="R598" t="s">
        <v>780</v>
      </c>
      <c r="S598" t="s">
        <v>786</v>
      </c>
      <c r="T598">
        <v>66980.74400000001</v>
      </c>
      <c r="U598" s="2">
        <v>44502</v>
      </c>
      <c r="V598" t="s">
        <v>797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24.03</v>
      </c>
      <c r="D599">
        <v>12.6</v>
      </c>
      <c r="E599">
        <v>1.907142857142857</v>
      </c>
      <c r="F599">
        <v>0.02829796088223055</v>
      </c>
      <c r="G599">
        <v>-0.12113260108928</v>
      </c>
      <c r="H599">
        <v>0.035</v>
      </c>
      <c r="I599">
        <v>-0.04588451099464397</v>
      </c>
      <c r="J599" t="s">
        <v>523</v>
      </c>
      <c r="K599" t="s">
        <v>523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0.6837362028159401</v>
      </c>
      <c r="R599" t="s">
        <v>782</v>
      </c>
      <c r="S599" t="s">
        <v>794</v>
      </c>
      <c r="T599">
        <v>14603.180694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176.56</v>
      </c>
      <c r="D600">
        <v>97</v>
      </c>
      <c r="E600">
        <v>1.82020618556701</v>
      </c>
      <c r="F600">
        <v>0.01880380607159039</v>
      </c>
      <c r="G600">
        <v>-0.1128932520117051</v>
      </c>
      <c r="H600">
        <v>0.04</v>
      </c>
      <c r="I600">
        <v>-0.04986085872091028</v>
      </c>
      <c r="J600" t="s">
        <v>523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0.8005909599934401</v>
      </c>
      <c r="R600" t="s">
        <v>782</v>
      </c>
      <c r="S600" t="s">
        <v>794</v>
      </c>
      <c r="T600">
        <v>17730.206628</v>
      </c>
      <c r="U600" s="2">
        <v>44505</v>
      </c>
      <c r="V600" t="s">
        <v>800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415.33</v>
      </c>
      <c r="D601">
        <v>201</v>
      </c>
      <c r="E601">
        <v>2.066318407960199</v>
      </c>
      <c r="F601">
        <v>0.009341969036669636</v>
      </c>
      <c r="G601">
        <v>-0.1351106466039427</v>
      </c>
      <c r="H601">
        <v>0.075</v>
      </c>
      <c r="I601">
        <v>-0.05491763611473843</v>
      </c>
      <c r="J601" t="s">
        <v>523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0.586844429755447</v>
      </c>
      <c r="R601" t="s">
        <v>780</v>
      </c>
      <c r="S601" t="s">
        <v>787</v>
      </c>
      <c r="T601">
        <v>265512.193098</v>
      </c>
      <c r="U601" s="2">
        <v>44476</v>
      </c>
      <c r="V601" t="s">
        <v>798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73.86</v>
      </c>
      <c r="D602">
        <v>48</v>
      </c>
      <c r="E602">
        <v>1.53875</v>
      </c>
      <c r="F602">
        <v>0.01624695369618196</v>
      </c>
      <c r="G602">
        <v>-0.08258383791563739</v>
      </c>
      <c r="H602">
        <v>0</v>
      </c>
      <c r="I602">
        <v>-0.06071607184002659</v>
      </c>
      <c r="J602" t="s">
        <v>523</v>
      </c>
      <c r="K602" t="s">
        <v>778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1.010701492869379</v>
      </c>
      <c r="R602" t="s">
        <v>780</v>
      </c>
      <c r="S602" t="s">
        <v>790</v>
      </c>
      <c r="T602">
        <v>15506.574312</v>
      </c>
      <c r="U602" s="2">
        <v>44526</v>
      </c>
      <c r="V602" t="s">
        <v>802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40.85</v>
      </c>
      <c r="D603">
        <v>20</v>
      </c>
      <c r="E603">
        <v>2.0425</v>
      </c>
      <c r="F603">
        <v>0.01468788249694002</v>
      </c>
      <c r="G603">
        <v>-0.1331028264733092</v>
      </c>
      <c r="H603">
        <v>0.05</v>
      </c>
      <c r="I603">
        <v>-0.06930230015512084</v>
      </c>
      <c r="J603" t="s">
        <v>523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0.6842157896271971</v>
      </c>
      <c r="R603" t="s">
        <v>780</v>
      </c>
      <c r="S603" t="s">
        <v>784</v>
      </c>
      <c r="T603">
        <v>1329.837563</v>
      </c>
      <c r="U603" s="2">
        <v>44491</v>
      </c>
      <c r="V603" t="s">
        <v>798</v>
      </c>
    </row>
    <row r="604" spans="1:22">
      <c r="A604" s="1" t="s">
        <v>624</v>
      </c>
      <c r="B604">
        <f>HYPERLINK("https://www.suredividend.com/sure-analysis-KNOP/","KNOT Offshore Partners LP")</f>
        <v>0</v>
      </c>
      <c r="C604">
        <v>13.05</v>
      </c>
      <c r="D604">
        <v>17.29</v>
      </c>
      <c r="E604">
        <v>0.7547715442452285</v>
      </c>
      <c r="F604">
        <v>0.1593869731800766</v>
      </c>
      <c r="G604">
        <v>0.05788119300579719</v>
      </c>
      <c r="H604">
        <v>0</v>
      </c>
      <c r="I604">
        <v>0.1623649046619147</v>
      </c>
      <c r="J604" t="s">
        <v>778</v>
      </c>
      <c r="K604" t="s">
        <v>345</v>
      </c>
      <c r="L604">
        <v>2.47</v>
      </c>
      <c r="M604">
        <v>2.08</v>
      </c>
      <c r="N604">
        <v>0.8421052631578947</v>
      </c>
      <c r="O604">
        <v>0</v>
      </c>
      <c r="P604">
        <v>0</v>
      </c>
      <c r="Q604">
        <v>-0.01656547485196</v>
      </c>
      <c r="R604" t="s">
        <v>781</v>
      </c>
      <c r="S604" t="s">
        <v>786</v>
      </c>
      <c r="T604">
        <v>431.771144</v>
      </c>
      <c r="U604" s="2">
        <v>44520</v>
      </c>
      <c r="V604" t="s">
        <v>796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256.22</v>
      </c>
      <c r="D605">
        <v>158</v>
      </c>
      <c r="E605">
        <v>1.621645569620253</v>
      </c>
      <c r="F605">
        <v>0.02341737569276403</v>
      </c>
      <c r="G605">
        <v>-0.09216104957011551</v>
      </c>
      <c r="H605">
        <v>0.25</v>
      </c>
      <c r="I605">
        <v>0.1589669139652192</v>
      </c>
      <c r="J605" t="s">
        <v>778</v>
      </c>
      <c r="K605" t="s">
        <v>778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0.369515334248854</v>
      </c>
      <c r="R605" t="s">
        <v>782</v>
      </c>
      <c r="S605" t="s">
        <v>794</v>
      </c>
      <c r="T605">
        <v>6003.850757</v>
      </c>
      <c r="U605" s="2">
        <v>44509</v>
      </c>
      <c r="V605" t="s">
        <v>796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10.63</v>
      </c>
      <c r="D606">
        <v>15</v>
      </c>
      <c r="E606">
        <v>0.7086666666666667</v>
      </c>
      <c r="F606">
        <v>0.1015992474129821</v>
      </c>
      <c r="G606">
        <v>0.07130121856512117</v>
      </c>
      <c r="H606">
        <v>0.02</v>
      </c>
      <c r="I606">
        <v>0.1580532639898984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-0.044660967835409</v>
      </c>
      <c r="R606" t="s">
        <v>780</v>
      </c>
      <c r="S606" t="s">
        <v>784</v>
      </c>
      <c r="T606">
        <v>28056.814366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HYPERLINK("https://www.suredividend.com/sure-analysis-GECC/","Great Elm Capital Corp")</f>
        <v>0</v>
      </c>
      <c r="C607">
        <v>3.04</v>
      </c>
      <c r="D607">
        <v>3.5</v>
      </c>
      <c r="E607">
        <v>0.8685714285714285</v>
      </c>
      <c r="F607">
        <v>0.131578947368421</v>
      </c>
      <c r="G607">
        <v>0.0285819340923652</v>
      </c>
      <c r="H607">
        <v>0.042</v>
      </c>
      <c r="I607">
        <v>0.1568710544663123</v>
      </c>
      <c r="J607" t="s">
        <v>778</v>
      </c>
      <c r="K607" t="s">
        <v>345</v>
      </c>
      <c r="L607">
        <v>0.33</v>
      </c>
      <c r="M607">
        <v>0.4</v>
      </c>
      <c r="N607">
        <v>1.212121212121212</v>
      </c>
      <c r="O607">
        <v>0</v>
      </c>
      <c r="P607">
        <v>0</v>
      </c>
      <c r="Q607">
        <v>-0.083623077376392</v>
      </c>
      <c r="R607" t="s">
        <v>783</v>
      </c>
      <c r="S607" t="s">
        <v>789</v>
      </c>
      <c r="T607">
        <v>83.676627</v>
      </c>
      <c r="U607" s="2">
        <v>44509</v>
      </c>
      <c r="V607" t="s">
        <v>805</v>
      </c>
    </row>
    <row r="608" spans="1:22">
      <c r="A608" s="1" t="s">
        <v>628</v>
      </c>
      <c r="B608">
        <f>HYPERLINK("https://www.suredividend.com/sure-analysis-DHT/","DHT Holdings Inc")</f>
        <v>0</v>
      </c>
      <c r="C608">
        <v>5.26</v>
      </c>
      <c r="D608">
        <v>6</v>
      </c>
      <c r="E608">
        <v>0.8766666666666666</v>
      </c>
      <c r="F608">
        <v>0.02471482889733841</v>
      </c>
      <c r="G608">
        <v>0.02667527035245243</v>
      </c>
      <c r="H608">
        <v>0.1</v>
      </c>
      <c r="I608">
        <v>0.1529791446915281</v>
      </c>
      <c r="J608" t="s">
        <v>778</v>
      </c>
      <c r="K608" t="s">
        <v>778</v>
      </c>
      <c r="L608">
        <v>-0.1</v>
      </c>
      <c r="M608">
        <v>0.13</v>
      </c>
      <c r="N608">
        <v>9.99</v>
      </c>
      <c r="O608">
        <v>0</v>
      </c>
      <c r="P608">
        <v>0.1658506946484593</v>
      </c>
      <c r="Q608">
        <v>0.0009342052582410001</v>
      </c>
      <c r="R608" t="s">
        <v>780</v>
      </c>
      <c r="S608" t="s">
        <v>793</v>
      </c>
      <c r="T608">
        <v>896.691222</v>
      </c>
      <c r="U608" s="2">
        <v>44509</v>
      </c>
      <c r="V608" t="s">
        <v>803</v>
      </c>
    </row>
    <row r="609" spans="1:22">
      <c r="A609" s="1" t="s">
        <v>629</v>
      </c>
      <c r="B609">
        <f>HYPERLINK("https://www.suredividend.com/sure-analysis-OHI/","Omega Healthcare Investors, Inc.")</f>
        <v>0</v>
      </c>
      <c r="C609">
        <v>28.52</v>
      </c>
      <c r="D609">
        <v>40</v>
      </c>
      <c r="E609">
        <v>0.713</v>
      </c>
      <c r="F609">
        <v>0.09396914446002806</v>
      </c>
      <c r="G609">
        <v>0.06999585187457691</v>
      </c>
      <c r="H609">
        <v>0.02</v>
      </c>
      <c r="I609">
        <v>0.152461187928534</v>
      </c>
      <c r="J609" t="s">
        <v>778</v>
      </c>
      <c r="K609" t="s">
        <v>345</v>
      </c>
      <c r="L609">
        <v>3.3</v>
      </c>
      <c r="M609">
        <v>2.68</v>
      </c>
      <c r="N609">
        <v>0.8121212121212122</v>
      </c>
      <c r="O609">
        <v>0</v>
      </c>
      <c r="P609">
        <v>0.01023605168466424</v>
      </c>
      <c r="Q609">
        <v>-0.181585381061618</v>
      </c>
      <c r="R609" t="s">
        <v>782</v>
      </c>
      <c r="S609" t="s">
        <v>794</v>
      </c>
      <c r="T609">
        <v>6743.849723</v>
      </c>
      <c r="U609" s="2">
        <v>44520</v>
      </c>
      <c r="V609" t="s">
        <v>802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61.31</v>
      </c>
      <c r="D610">
        <v>80</v>
      </c>
      <c r="E610">
        <v>0.766375</v>
      </c>
      <c r="F610">
        <v>0.0521937693687816</v>
      </c>
      <c r="G610">
        <v>0.0546582012525938</v>
      </c>
      <c r="H610">
        <v>0.05</v>
      </c>
      <c r="I610">
        <v>0.1449968976456848</v>
      </c>
      <c r="J610" t="s">
        <v>778</v>
      </c>
      <c r="K610" t="s">
        <v>345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-0.015115200437144</v>
      </c>
      <c r="R610" t="s">
        <v>780</v>
      </c>
      <c r="S610" t="s">
        <v>790</v>
      </c>
      <c r="T610">
        <v>46539.492394</v>
      </c>
      <c r="U610" s="2">
        <v>44498</v>
      </c>
      <c r="V610" t="s">
        <v>795</v>
      </c>
    </row>
    <row r="611" spans="1:22">
      <c r="A611" s="1" t="s">
        <v>631</v>
      </c>
      <c r="B611">
        <f>HYPERLINK("https://www.suredividend.com/sure-analysis-PSXP/","Phillips 66 Partners LP")</f>
        <v>0</v>
      </c>
      <c r="C611">
        <v>36.35</v>
      </c>
      <c r="D611">
        <v>44</v>
      </c>
      <c r="E611">
        <v>0.8261363636363637</v>
      </c>
      <c r="F611">
        <v>0.09628610729023383</v>
      </c>
      <c r="G611">
        <v>0.03893805029854058</v>
      </c>
      <c r="H611">
        <v>0.04</v>
      </c>
      <c r="I611">
        <v>0.1433805900845715</v>
      </c>
      <c r="J611" t="s">
        <v>778</v>
      </c>
      <c r="K611" t="s">
        <v>777</v>
      </c>
      <c r="L611">
        <v>4.4</v>
      </c>
      <c r="M611">
        <v>3.5</v>
      </c>
      <c r="N611">
        <v>0.7954545454545454</v>
      </c>
      <c r="O611">
        <v>7</v>
      </c>
      <c r="P611">
        <v>0</v>
      </c>
      <c r="Q611">
        <v>0.45937439158933</v>
      </c>
      <c r="R611" t="s">
        <v>781</v>
      </c>
      <c r="S611" t="s">
        <v>793</v>
      </c>
      <c r="T611">
        <v>8215.678453</v>
      </c>
      <c r="U611" s="2">
        <v>44501</v>
      </c>
      <c r="V611" t="s">
        <v>803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49.84</v>
      </c>
      <c r="D612">
        <v>57</v>
      </c>
      <c r="E612">
        <v>0.8743859649122807</v>
      </c>
      <c r="F612">
        <v>0.1605136436597111</v>
      </c>
      <c r="G612">
        <v>0.02721029744144143</v>
      </c>
      <c r="H612">
        <v>0</v>
      </c>
      <c r="I612">
        <v>0.1424540461679731</v>
      </c>
      <c r="J612" t="s">
        <v>778</v>
      </c>
      <c r="K612" t="s">
        <v>345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0.125186305973778</v>
      </c>
      <c r="R612" t="s">
        <v>781</v>
      </c>
      <c r="S612" t="s">
        <v>786</v>
      </c>
      <c r="T612">
        <v>13860.626511</v>
      </c>
      <c r="U612" s="2">
        <v>44513</v>
      </c>
      <c r="V612" t="s">
        <v>796</v>
      </c>
    </row>
    <row r="613" spans="1:22">
      <c r="A613" s="1" t="s">
        <v>633</v>
      </c>
      <c r="B613">
        <f>HYPERLINK("https://www.suredividend.com/sure-analysis-NEWT/","Newtek Business Services Corp")</f>
        <v>0</v>
      </c>
      <c r="C613">
        <v>27.63</v>
      </c>
      <c r="D613">
        <v>30</v>
      </c>
      <c r="E613">
        <v>0.9209999999999999</v>
      </c>
      <c r="F613">
        <v>0.1140065146579805</v>
      </c>
      <c r="G613">
        <v>0.0165952448795661</v>
      </c>
      <c r="H613">
        <v>0.03</v>
      </c>
      <c r="I613">
        <v>0.1345558641791647</v>
      </c>
      <c r="J613" t="s">
        <v>778</v>
      </c>
      <c r="K613" t="s">
        <v>345</v>
      </c>
      <c r="L613">
        <v>3.3</v>
      </c>
      <c r="M613">
        <v>3.15</v>
      </c>
      <c r="N613">
        <v>0.9545454545454546</v>
      </c>
      <c r="O613">
        <v>0</v>
      </c>
      <c r="P613">
        <v>0.02877218634269907</v>
      </c>
      <c r="Q613">
        <v>0.7050527783553699</v>
      </c>
      <c r="R613" t="s">
        <v>783</v>
      </c>
      <c r="S613" t="s">
        <v>789</v>
      </c>
      <c r="T613">
        <v>628.620062</v>
      </c>
      <c r="U613" s="2">
        <v>44516</v>
      </c>
      <c r="V613" t="s">
        <v>796</v>
      </c>
    </row>
    <row r="614" spans="1:22">
      <c r="A614" s="1" t="s">
        <v>634</v>
      </c>
      <c r="B614">
        <f>HYPERLINK("https://www.suredividend.com/sure-analysis-APAM/","Artisan Partners Asset Management Inc")</f>
        <v>0</v>
      </c>
      <c r="C614">
        <v>48.19</v>
      </c>
      <c r="D614">
        <v>55</v>
      </c>
      <c r="E614">
        <v>0.8761818181818182</v>
      </c>
      <c r="F614">
        <v>0.08881510686864495</v>
      </c>
      <c r="G614">
        <v>0.02678887047366696</v>
      </c>
      <c r="H614">
        <v>0.04</v>
      </c>
      <c r="I614">
        <v>0.1321830691250889</v>
      </c>
      <c r="J614" t="s">
        <v>778</v>
      </c>
      <c r="K614" t="s">
        <v>345</v>
      </c>
      <c r="L614">
        <v>5</v>
      </c>
      <c r="M614">
        <v>4.28</v>
      </c>
      <c r="N614">
        <v>0.8560000000000001</v>
      </c>
      <c r="O614">
        <v>2</v>
      </c>
      <c r="P614">
        <v>0.02019566627646463</v>
      </c>
      <c r="Q614">
        <v>0.003025098059322</v>
      </c>
      <c r="R614" t="s">
        <v>780</v>
      </c>
      <c r="S614" t="s">
        <v>789</v>
      </c>
      <c r="T614">
        <v>3061.886082</v>
      </c>
      <c r="U614" s="2">
        <v>44520</v>
      </c>
      <c r="V614" t="s">
        <v>802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25.01</v>
      </c>
      <c r="D615">
        <v>29</v>
      </c>
      <c r="E615">
        <v>0.8624137931034483</v>
      </c>
      <c r="F615">
        <v>0.05437824870051979</v>
      </c>
      <c r="G615">
        <v>0.03004657227404972</v>
      </c>
      <c r="H615">
        <v>0.05</v>
      </c>
      <c r="I615">
        <v>0.1242297210933736</v>
      </c>
      <c r="J615" t="s">
        <v>778</v>
      </c>
      <c r="K615" t="s">
        <v>523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0.488720708463416</v>
      </c>
      <c r="R615" t="s">
        <v>780</v>
      </c>
      <c r="S615" t="s">
        <v>793</v>
      </c>
      <c r="T615">
        <v>35669.842317</v>
      </c>
      <c r="U615" s="2">
        <v>44502</v>
      </c>
      <c r="V615" t="s">
        <v>803</v>
      </c>
    </row>
    <row r="616" spans="1:22">
      <c r="A616" s="1" t="s">
        <v>636</v>
      </c>
      <c r="B616">
        <f>HYPERLINK("https://www.suredividend.com/sure-analysis-SBRA/","Sabra Healthcare REIT Inc")</f>
        <v>0</v>
      </c>
      <c r="C616">
        <v>13.41</v>
      </c>
      <c r="D616">
        <v>14.5</v>
      </c>
      <c r="E616">
        <v>0.9248275862068965</v>
      </c>
      <c r="F616">
        <v>0.08948545861297538</v>
      </c>
      <c r="G616">
        <v>0.01575237131267615</v>
      </c>
      <c r="H616">
        <v>0.038</v>
      </c>
      <c r="I616">
        <v>0.1212887809106538</v>
      </c>
      <c r="J616" t="s">
        <v>778</v>
      </c>
      <c r="K616" t="s">
        <v>345</v>
      </c>
      <c r="L616">
        <v>1.58</v>
      </c>
      <c r="M616">
        <v>1.2</v>
      </c>
      <c r="N616">
        <v>0.7594936708860759</v>
      </c>
      <c r="O616">
        <v>0</v>
      </c>
      <c r="P616">
        <v>0.01613736474159566</v>
      </c>
      <c r="Q616">
        <v>-0.201405719825496</v>
      </c>
      <c r="R616" t="s">
        <v>782</v>
      </c>
      <c r="S616" t="s">
        <v>794</v>
      </c>
      <c r="T616">
        <v>3013.977253</v>
      </c>
      <c r="U616" s="2">
        <v>44509</v>
      </c>
      <c r="V616" t="s">
        <v>805</v>
      </c>
    </row>
    <row r="617" spans="1:22">
      <c r="A617" s="1" t="s">
        <v>637</v>
      </c>
      <c r="B617">
        <f>HYPERLINK("https://www.suredividend.com/sure-analysis-TEF/","Telefonica S.A")</f>
        <v>0</v>
      </c>
      <c r="C617">
        <v>4.38</v>
      </c>
      <c r="D617">
        <v>4.95</v>
      </c>
      <c r="E617">
        <v>0.8848484848484848</v>
      </c>
      <c r="F617">
        <v>0.1027397260273973</v>
      </c>
      <c r="G617">
        <v>0.02476956270125918</v>
      </c>
      <c r="H617">
        <v>0.02</v>
      </c>
      <c r="I617">
        <v>0.1198880627028736</v>
      </c>
      <c r="J617" t="s">
        <v>778</v>
      </c>
      <c r="K617" t="s">
        <v>345</v>
      </c>
      <c r="L617">
        <v>0.55</v>
      </c>
      <c r="M617">
        <v>0.45</v>
      </c>
      <c r="N617">
        <v>0.8181818181818181</v>
      </c>
      <c r="O617">
        <v>0</v>
      </c>
      <c r="P617">
        <v>0</v>
      </c>
      <c r="Q617">
        <v>0.09610441969460201</v>
      </c>
      <c r="R617" t="s">
        <v>780</v>
      </c>
      <c r="S617" t="s">
        <v>784</v>
      </c>
      <c r="T617">
        <v>24525.532755</v>
      </c>
      <c r="U617" s="2">
        <v>44529</v>
      </c>
      <c r="V617" t="s">
        <v>798</v>
      </c>
    </row>
    <row r="618" spans="1:22">
      <c r="A618" s="1" t="s">
        <v>638</v>
      </c>
      <c r="B618">
        <f>HYPERLINK("https://www.suredividend.com/sure-analysis-CLPR/","Clipper Realty Inc")</f>
        <v>0</v>
      </c>
      <c r="C618">
        <v>9.77</v>
      </c>
      <c r="D618">
        <v>11.7</v>
      </c>
      <c r="E618">
        <v>0.8350427350427351</v>
      </c>
      <c r="F618">
        <v>0.03889457523029683</v>
      </c>
      <c r="G618">
        <v>0.03671232001164415</v>
      </c>
      <c r="H618">
        <v>0.055</v>
      </c>
      <c r="I618">
        <v>0.1196531296804273</v>
      </c>
      <c r="J618" t="s">
        <v>778</v>
      </c>
      <c r="K618" t="s">
        <v>523</v>
      </c>
      <c r="L618">
        <v>0.35</v>
      </c>
      <c r="M618">
        <v>0.38</v>
      </c>
      <c r="N618">
        <v>1.085714285714286</v>
      </c>
      <c r="O618">
        <v>0</v>
      </c>
      <c r="P618">
        <v>0</v>
      </c>
      <c r="Q618">
        <v>0.5567410281280311</v>
      </c>
      <c r="R618" t="s">
        <v>782</v>
      </c>
      <c r="S618" t="s">
        <v>794</v>
      </c>
      <c r="T618">
        <v>154.688886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HYPERLINK("https://www.suredividend.com/sure-analysis-CORR/","CorEnergy Infrastructure Trust Inc")</f>
        <v>0</v>
      </c>
      <c r="C619">
        <v>3.54</v>
      </c>
      <c r="D619">
        <v>4.69</v>
      </c>
      <c r="E619">
        <v>0.7547974413646055</v>
      </c>
      <c r="F619">
        <v>0.05649717514124294</v>
      </c>
      <c r="G619">
        <v>0.05787393372005201</v>
      </c>
      <c r="H619">
        <v>0.02</v>
      </c>
      <c r="I619">
        <v>0.1178174426630627</v>
      </c>
      <c r="J619" t="s">
        <v>778</v>
      </c>
      <c r="K619" t="s">
        <v>523</v>
      </c>
      <c r="L619">
        <v>-1.19</v>
      </c>
      <c r="M619">
        <v>0.2</v>
      </c>
      <c r="N619">
        <v>9.99</v>
      </c>
      <c r="O619">
        <v>0</v>
      </c>
      <c r="P619">
        <v>0</v>
      </c>
      <c r="Q619">
        <v>-0.494899051152172</v>
      </c>
      <c r="R619" t="s">
        <v>780</v>
      </c>
      <c r="S619" t="s">
        <v>794</v>
      </c>
      <c r="T619">
        <v>52.628468</v>
      </c>
      <c r="U619" s="2">
        <v>44514</v>
      </c>
      <c r="V619" t="s">
        <v>797</v>
      </c>
    </row>
    <row r="620" spans="1:22">
      <c r="A620" s="1" t="s">
        <v>640</v>
      </c>
      <c r="B620">
        <f>HYPERLINK("https://www.suredividend.com/sure-analysis-SFL/","SFL Corporation Ltd")</f>
        <v>0</v>
      </c>
      <c r="C620">
        <v>8.1</v>
      </c>
      <c r="D620">
        <v>8.640000000000001</v>
      </c>
      <c r="E620">
        <v>0.9374999999999999</v>
      </c>
      <c r="F620">
        <v>0.08888888888888889</v>
      </c>
      <c r="G620">
        <v>0.01299136822423641</v>
      </c>
      <c r="H620">
        <v>0.03</v>
      </c>
      <c r="I620">
        <v>0.1146917043813145</v>
      </c>
      <c r="J620" t="s">
        <v>778</v>
      </c>
      <c r="K620" t="s">
        <v>345</v>
      </c>
      <c r="L620">
        <v>0.96</v>
      </c>
      <c r="M620">
        <v>0.72</v>
      </c>
      <c r="N620">
        <v>0.75</v>
      </c>
      <c r="O620">
        <v>1</v>
      </c>
      <c r="P620">
        <v>0.02884302866442456</v>
      </c>
      <c r="Q620">
        <v>0.403563831642082</v>
      </c>
      <c r="R620" t="s">
        <v>780</v>
      </c>
      <c r="S620" t="s">
        <v>786</v>
      </c>
      <c r="T620">
        <v>1031.406854</v>
      </c>
      <c r="U620" s="2">
        <v>44517</v>
      </c>
      <c r="V620" t="s">
        <v>796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29.28</v>
      </c>
      <c r="D621">
        <v>31</v>
      </c>
      <c r="E621">
        <v>0.9445161290322581</v>
      </c>
      <c r="F621">
        <v>0.04918032786885246</v>
      </c>
      <c r="G621">
        <v>0.01148192005703641</v>
      </c>
      <c r="H621">
        <v>0.06</v>
      </c>
      <c r="I621">
        <v>0.1133950812572853</v>
      </c>
      <c r="J621" t="s">
        <v>778</v>
      </c>
      <c r="K621" t="s">
        <v>345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0.170561788650816</v>
      </c>
      <c r="R621" t="s">
        <v>782</v>
      </c>
      <c r="S621" t="s">
        <v>794</v>
      </c>
      <c r="T621">
        <v>18176.540354</v>
      </c>
      <c r="U621" s="2">
        <v>44509</v>
      </c>
      <c r="V621" t="s">
        <v>803</v>
      </c>
    </row>
    <row r="622" spans="1:22">
      <c r="A622" s="1" t="s">
        <v>642</v>
      </c>
      <c r="B622">
        <f>HYPERLINK("https://www.suredividend.com/sure-analysis-LTC/","LTC Properties, Inc.")</f>
        <v>0</v>
      </c>
      <c r="C622">
        <v>33.52</v>
      </c>
      <c r="D622">
        <v>36</v>
      </c>
      <c r="E622">
        <v>0.9311111111111112</v>
      </c>
      <c r="F622">
        <v>0.06801909307875893</v>
      </c>
      <c r="G622">
        <v>0.01437771171377622</v>
      </c>
      <c r="H622">
        <v>0.05</v>
      </c>
      <c r="I622">
        <v>0.1133713215127861</v>
      </c>
      <c r="J622" t="s">
        <v>778</v>
      </c>
      <c r="K622" t="s">
        <v>345</v>
      </c>
      <c r="L622">
        <v>2.4</v>
      </c>
      <c r="M622">
        <v>2.28</v>
      </c>
      <c r="N622">
        <v>0.95</v>
      </c>
      <c r="O622">
        <v>0</v>
      </c>
      <c r="P622">
        <v>0</v>
      </c>
      <c r="Q622">
        <v>-0.097914384564493</v>
      </c>
      <c r="R622" t="s">
        <v>782</v>
      </c>
      <c r="S622" t="s">
        <v>794</v>
      </c>
      <c r="T622">
        <v>1309.974444</v>
      </c>
      <c r="U622" s="2">
        <v>44510</v>
      </c>
      <c r="V622" t="s">
        <v>803</v>
      </c>
    </row>
    <row r="623" spans="1:22">
      <c r="A623" s="1" t="s">
        <v>643</v>
      </c>
      <c r="B623">
        <f>HYPERLINK("https://www.suredividend.com/sure-analysis-PINE/","Alpine Income Property Trust Inc")</f>
        <v>0</v>
      </c>
      <c r="C623">
        <v>19.39</v>
      </c>
      <c r="D623">
        <v>18.88</v>
      </c>
      <c r="E623">
        <v>1.027012711864407</v>
      </c>
      <c r="F623">
        <v>0.05569881382155751</v>
      </c>
      <c r="G623">
        <v>-0.005316677879370513</v>
      </c>
      <c r="H623">
        <v>0.07000000000000001</v>
      </c>
      <c r="I623">
        <v>0.1129693581837905</v>
      </c>
      <c r="J623" t="s">
        <v>778</v>
      </c>
      <c r="K623" t="s">
        <v>345</v>
      </c>
      <c r="L623">
        <v>1.51</v>
      </c>
      <c r="M623">
        <v>1.08</v>
      </c>
      <c r="N623">
        <v>0.7152317880794702</v>
      </c>
      <c r="O623">
        <v>3</v>
      </c>
      <c r="P623">
        <v>0.06932726018096602</v>
      </c>
      <c r="Q623">
        <v>0.398657698472528</v>
      </c>
      <c r="R623" t="s">
        <v>782</v>
      </c>
      <c r="S623" t="s">
        <v>794</v>
      </c>
      <c r="T623">
        <v>216.003044</v>
      </c>
      <c r="U623" s="2">
        <v>44494</v>
      </c>
      <c r="V623" t="s">
        <v>796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6.09</v>
      </c>
      <c r="D624">
        <v>6.3</v>
      </c>
      <c r="E624">
        <v>0.9666666666666667</v>
      </c>
      <c r="F624">
        <v>0.1116584564860427</v>
      </c>
      <c r="G624">
        <v>0.006803348678863008</v>
      </c>
      <c r="H624">
        <v>0.018</v>
      </c>
      <c r="I624">
        <v>0.1118445080827746</v>
      </c>
      <c r="J624" t="s">
        <v>778</v>
      </c>
      <c r="K624" t="s">
        <v>345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0.0213884815695</v>
      </c>
      <c r="R624" t="s">
        <v>782</v>
      </c>
      <c r="S624" t="s">
        <v>794</v>
      </c>
      <c r="T624">
        <v>2084.06507</v>
      </c>
      <c r="U624" s="2">
        <v>44511</v>
      </c>
      <c r="V624" t="s">
        <v>805</v>
      </c>
    </row>
    <row r="625" spans="1:22">
      <c r="A625" s="1" t="s">
        <v>645</v>
      </c>
      <c r="B625">
        <f>HYPERLINK("https://www.suredividend.com/sure-analysis-EIFZF/","Exchange Income Corp.")</f>
        <v>0</v>
      </c>
      <c r="C625">
        <v>35</v>
      </c>
      <c r="D625">
        <v>35</v>
      </c>
      <c r="E625">
        <v>1</v>
      </c>
      <c r="F625">
        <v>0.05257142857142857</v>
      </c>
      <c r="G625">
        <v>0</v>
      </c>
      <c r="H625">
        <v>0.07000000000000001</v>
      </c>
      <c r="I625">
        <v>0.1118040277975569</v>
      </c>
      <c r="J625" t="s">
        <v>778</v>
      </c>
      <c r="K625" t="s">
        <v>345</v>
      </c>
      <c r="L625">
        <v>2.3</v>
      </c>
      <c r="M625">
        <v>1.84</v>
      </c>
      <c r="N625">
        <v>0.8</v>
      </c>
      <c r="O625">
        <v>0</v>
      </c>
      <c r="P625">
        <v>0.04012620718096094</v>
      </c>
      <c r="Q625">
        <v>0.274999999999999</v>
      </c>
      <c r="R625" t="s">
        <v>780</v>
      </c>
      <c r="S625" t="s">
        <v>786</v>
      </c>
      <c r="T625">
        <v>1540.760485</v>
      </c>
      <c r="U625" s="2">
        <v>44516</v>
      </c>
      <c r="V625" t="s">
        <v>796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17.26</v>
      </c>
      <c r="D626">
        <v>18.8</v>
      </c>
      <c r="E626">
        <v>0.9180851063829788</v>
      </c>
      <c r="F626">
        <v>0.1042873696407879</v>
      </c>
      <c r="G626">
        <v>0.01723995871017525</v>
      </c>
      <c r="H626">
        <v>0.01</v>
      </c>
      <c r="I626">
        <v>0.1095655602564778</v>
      </c>
      <c r="J626" t="s">
        <v>778</v>
      </c>
      <c r="K626" t="s">
        <v>345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0.233834450280746</v>
      </c>
      <c r="R626" t="s">
        <v>782</v>
      </c>
      <c r="S626" t="s">
        <v>789</v>
      </c>
      <c r="T626">
        <v>977.993169</v>
      </c>
      <c r="U626" s="2">
        <v>44509</v>
      </c>
      <c r="V626" t="s">
        <v>796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47.57</v>
      </c>
      <c r="D627">
        <v>53</v>
      </c>
      <c r="E627">
        <v>0.8975471698113208</v>
      </c>
      <c r="F627">
        <v>0.05801976035316375</v>
      </c>
      <c r="G627">
        <v>0.02185328080712967</v>
      </c>
      <c r="H627">
        <v>0.04</v>
      </c>
      <c r="I627">
        <v>0.1083844481196643</v>
      </c>
      <c r="J627" t="s">
        <v>778</v>
      </c>
      <c r="K627" t="s">
        <v>345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0.207302256194152</v>
      </c>
      <c r="R627" t="s">
        <v>780</v>
      </c>
      <c r="S627" t="s">
        <v>793</v>
      </c>
      <c r="T627">
        <v>46123.119106</v>
      </c>
      <c r="U627" s="2">
        <v>44510</v>
      </c>
      <c r="V627" t="s">
        <v>803</v>
      </c>
    </row>
    <row r="628" spans="1:22">
      <c r="A628" s="1" t="s">
        <v>648</v>
      </c>
      <c r="B628">
        <f>HYPERLINK("https://www.suredividend.com/sure-analysis-NYMT/","New York Mortgage Trust Inc")</f>
        <v>0</v>
      </c>
      <c r="C628">
        <v>3.79</v>
      </c>
      <c r="D628">
        <v>3.9</v>
      </c>
      <c r="E628">
        <v>0.9717948717948718</v>
      </c>
      <c r="F628">
        <v>0.1055408970976253</v>
      </c>
      <c r="G628">
        <v>0.00573850933215625</v>
      </c>
      <c r="H628">
        <v>0.02</v>
      </c>
      <c r="I628">
        <v>0.1071890508014448</v>
      </c>
      <c r="J628" t="s">
        <v>778</v>
      </c>
      <c r="K628" t="s">
        <v>345</v>
      </c>
      <c r="L628">
        <v>0.43</v>
      </c>
      <c r="M628">
        <v>0.4</v>
      </c>
      <c r="N628">
        <v>0.930232558139535</v>
      </c>
      <c r="O628">
        <v>0</v>
      </c>
      <c r="P628">
        <v>0</v>
      </c>
      <c r="Q628">
        <v>0.146174904485424</v>
      </c>
      <c r="R628" t="s">
        <v>780</v>
      </c>
      <c r="S628" t="s">
        <v>794</v>
      </c>
      <c r="T628">
        <v>1445.08147</v>
      </c>
      <c r="U628" s="2">
        <v>44526</v>
      </c>
      <c r="V628" t="s">
        <v>802</v>
      </c>
    </row>
    <row r="629" spans="1:22">
      <c r="A629" s="1" t="s">
        <v>649</v>
      </c>
      <c r="B629">
        <f>HYPERLINK("https://www.suredividend.com/sure-analysis-CQP/","Cheniere Energy Partners LP")</f>
        <v>0</v>
      </c>
      <c r="C629">
        <v>41.7</v>
      </c>
      <c r="D629">
        <v>45</v>
      </c>
      <c r="E629">
        <v>0.9266666666666667</v>
      </c>
      <c r="F629">
        <v>0.06378896882494005</v>
      </c>
      <c r="G629">
        <v>0.01534887453847844</v>
      </c>
      <c r="H629">
        <v>0.04</v>
      </c>
      <c r="I629">
        <v>0.1061380495532629</v>
      </c>
      <c r="J629" t="s">
        <v>778</v>
      </c>
      <c r="K629" t="s">
        <v>345</v>
      </c>
      <c r="L629">
        <v>2.9</v>
      </c>
      <c r="M629">
        <v>2.66</v>
      </c>
      <c r="N629">
        <v>0.9172413793103449</v>
      </c>
      <c r="O629">
        <v>5</v>
      </c>
      <c r="P629">
        <v>0.02434894295516754</v>
      </c>
      <c r="Q629">
        <v>0.335512626197754</v>
      </c>
      <c r="R629" t="s">
        <v>781</v>
      </c>
      <c r="S629" t="s">
        <v>793</v>
      </c>
      <c r="T629">
        <v>20130.625661</v>
      </c>
      <c r="U629" s="2">
        <v>44509</v>
      </c>
      <c r="V629" t="s">
        <v>803</v>
      </c>
    </row>
    <row r="630" spans="1:22">
      <c r="A630" s="1" t="s">
        <v>650</v>
      </c>
      <c r="B630">
        <f>HYPERLINK("https://www.suredividend.com/sure-analysis-USAC/","USA Compression Partners LP")</f>
        <v>0</v>
      </c>
      <c r="C630">
        <v>15.81</v>
      </c>
      <c r="D630">
        <v>14.8</v>
      </c>
      <c r="E630">
        <v>1.068243243243243</v>
      </c>
      <c r="F630">
        <v>0.1328273244781784</v>
      </c>
      <c r="G630">
        <v>-0.01311631557827164</v>
      </c>
      <c r="H630">
        <v>0.01</v>
      </c>
      <c r="I630">
        <v>0.1050747878189868</v>
      </c>
      <c r="J630" t="s">
        <v>778</v>
      </c>
      <c r="K630" t="s">
        <v>345</v>
      </c>
      <c r="L630">
        <v>2.11</v>
      </c>
      <c r="M630">
        <v>2.1</v>
      </c>
      <c r="N630">
        <v>0.9952606635071091</v>
      </c>
      <c r="O630">
        <v>0</v>
      </c>
      <c r="P630">
        <v>0</v>
      </c>
      <c r="Q630">
        <v>0.377998257498977</v>
      </c>
      <c r="R630" t="s">
        <v>781</v>
      </c>
      <c r="S630" t="s">
        <v>793</v>
      </c>
      <c r="T630">
        <v>1504.54191</v>
      </c>
      <c r="U630" s="2">
        <v>44502</v>
      </c>
      <c r="V630" t="s">
        <v>795</v>
      </c>
    </row>
    <row r="631" spans="1:22">
      <c r="A631" s="1" t="s">
        <v>651</v>
      </c>
      <c r="B631">
        <f>HYPERLINK("https://www.suredividend.com/sure-analysis-EPR/","EPR Properties")</f>
        <v>0</v>
      </c>
      <c r="C631">
        <v>47.51</v>
      </c>
      <c r="D631">
        <v>42</v>
      </c>
      <c r="E631">
        <v>1.131190476190476</v>
      </c>
      <c r="F631">
        <v>0.06314460113660282</v>
      </c>
      <c r="G631">
        <v>-0.024352688831071</v>
      </c>
      <c r="H631">
        <v>0.08</v>
      </c>
      <c r="I631">
        <v>0.1045849016524336</v>
      </c>
      <c r="J631" t="s">
        <v>778</v>
      </c>
      <c r="K631" t="s">
        <v>345</v>
      </c>
      <c r="L631">
        <v>3</v>
      </c>
      <c r="M631">
        <v>3</v>
      </c>
      <c r="N631">
        <v>1</v>
      </c>
      <c r="O631">
        <v>0</v>
      </c>
      <c r="P631">
        <v>0.03012896281839894</v>
      </c>
      <c r="Q631">
        <v>0.4785360965756361</v>
      </c>
      <c r="R631" t="s">
        <v>782</v>
      </c>
      <c r="S631" t="s">
        <v>794</v>
      </c>
      <c r="T631">
        <v>3476.956526</v>
      </c>
      <c r="U631" s="2">
        <v>44522</v>
      </c>
      <c r="V631" t="s">
        <v>802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4.67</v>
      </c>
      <c r="D632">
        <v>3.6</v>
      </c>
      <c r="E632">
        <v>1.297222222222222</v>
      </c>
      <c r="F632">
        <v>0.1670235546038544</v>
      </c>
      <c r="G632">
        <v>-0.05071389494419987</v>
      </c>
      <c r="H632">
        <v>0.003</v>
      </c>
      <c r="I632">
        <v>0.102708177047959</v>
      </c>
      <c r="J632" t="s">
        <v>778</v>
      </c>
      <c r="K632" t="s">
        <v>777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0.003734323396723</v>
      </c>
      <c r="R632" t="s">
        <v>782</v>
      </c>
      <c r="S632" t="s">
        <v>794</v>
      </c>
      <c r="T632">
        <v>823.017678</v>
      </c>
      <c r="U632" s="2">
        <v>44506</v>
      </c>
      <c r="V632" t="s">
        <v>805</v>
      </c>
    </row>
    <row r="633" spans="1:22">
      <c r="A633" s="1" t="s">
        <v>653</v>
      </c>
      <c r="B633">
        <f>HYPERLINK("https://www.suredividend.com/sure-analysis-MGP/","MGM Growth Properties LLC")</f>
        <v>0</v>
      </c>
      <c r="C633">
        <v>40.07</v>
      </c>
      <c r="D633">
        <v>38</v>
      </c>
      <c r="E633">
        <v>1.054473684210526</v>
      </c>
      <c r="F633">
        <v>0.05240828550037435</v>
      </c>
      <c r="G633">
        <v>-0.01055228285354615</v>
      </c>
      <c r="H633">
        <v>0.07000000000000001</v>
      </c>
      <c r="I633">
        <v>0.1012875364076515</v>
      </c>
      <c r="J633" t="s">
        <v>778</v>
      </c>
      <c r="K633" t="s">
        <v>345</v>
      </c>
      <c r="L633">
        <v>2.54</v>
      </c>
      <c r="M633">
        <v>2.1</v>
      </c>
      <c r="N633">
        <v>0.8267716535433071</v>
      </c>
      <c r="O633">
        <v>5</v>
      </c>
      <c r="P633">
        <v>0.03382368391565871</v>
      </c>
      <c r="Q633">
        <v>0.332510091977088</v>
      </c>
      <c r="R633" t="s">
        <v>782</v>
      </c>
      <c r="S633" t="s">
        <v>794</v>
      </c>
      <c r="T633">
        <v>6221.001718</v>
      </c>
      <c r="U633" s="2">
        <v>44507</v>
      </c>
      <c r="V633" t="s">
        <v>799</v>
      </c>
    </row>
    <row r="634" spans="1:22">
      <c r="A634" s="1" t="s">
        <v>654</v>
      </c>
      <c r="B634">
        <f>HYPERLINK("https://www.suredividend.com/sure-analysis-QSR/","Restaurant Brands International Inc")</f>
        <v>0</v>
      </c>
      <c r="C634">
        <v>60.08</v>
      </c>
      <c r="D634">
        <v>53</v>
      </c>
      <c r="E634">
        <v>1.133584905660377</v>
      </c>
      <c r="F634">
        <v>0.03528628495339547</v>
      </c>
      <c r="G634">
        <v>-0.02476520225930401</v>
      </c>
      <c r="H634">
        <v>0.1</v>
      </c>
      <c r="I634">
        <v>0.1008398613839128</v>
      </c>
      <c r="J634" t="s">
        <v>778</v>
      </c>
      <c r="K634" t="s">
        <v>523</v>
      </c>
      <c r="L634">
        <v>2.8</v>
      </c>
      <c r="M634">
        <v>2.12</v>
      </c>
      <c r="N634">
        <v>0.7571428571428572</v>
      </c>
      <c r="O634">
        <v>9</v>
      </c>
      <c r="P634">
        <v>0.03517300006217261</v>
      </c>
      <c r="Q634">
        <v>0.010655247449505</v>
      </c>
      <c r="R634" t="s">
        <v>780</v>
      </c>
      <c r="S634" t="s">
        <v>788</v>
      </c>
      <c r="T634">
        <v>18708.308158</v>
      </c>
      <c r="U634" s="2">
        <v>44495</v>
      </c>
      <c r="V634" t="s">
        <v>803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10.83</v>
      </c>
      <c r="D635">
        <v>12.4</v>
      </c>
      <c r="E635">
        <v>0.8733870967741936</v>
      </c>
      <c r="F635">
        <v>0.03139427516158818</v>
      </c>
      <c r="G635">
        <v>0.02744514830612199</v>
      </c>
      <c r="H635">
        <v>0.042</v>
      </c>
      <c r="I635">
        <v>0.09756721572996541</v>
      </c>
      <c r="J635" t="s">
        <v>778</v>
      </c>
      <c r="K635" t="s">
        <v>778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-0.04375141007618701</v>
      </c>
      <c r="R635" t="s">
        <v>780</v>
      </c>
      <c r="S635" t="s">
        <v>792</v>
      </c>
      <c r="T635">
        <v>167.621903</v>
      </c>
      <c r="U635" s="2">
        <v>44517</v>
      </c>
      <c r="V635" t="s">
        <v>805</v>
      </c>
    </row>
    <row r="636" spans="1:22">
      <c r="A636" s="1" t="s">
        <v>656</v>
      </c>
      <c r="B636">
        <f>HYPERLINK("https://www.suredividend.com/sure-analysis-VGR/","Vector Group Ltd")</f>
        <v>0</v>
      </c>
      <c r="C636">
        <v>17.25</v>
      </c>
      <c r="D636">
        <v>20</v>
      </c>
      <c r="E636">
        <v>0.8625</v>
      </c>
      <c r="F636">
        <v>0.0463768115942029</v>
      </c>
      <c r="G636">
        <v>0.03002598081465924</v>
      </c>
      <c r="H636">
        <v>0.03</v>
      </c>
      <c r="I636">
        <v>0.09524072981318676</v>
      </c>
      <c r="J636" t="s">
        <v>778</v>
      </c>
      <c r="K636" t="s">
        <v>523</v>
      </c>
      <c r="L636">
        <v>1</v>
      </c>
      <c r="M636">
        <v>0.8</v>
      </c>
      <c r="N636">
        <v>0.8</v>
      </c>
      <c r="O636">
        <v>0</v>
      </c>
      <c r="P636">
        <v>0</v>
      </c>
      <c r="Q636">
        <v>0.5125975473801561</v>
      </c>
      <c r="R636" t="s">
        <v>780</v>
      </c>
      <c r="S636" t="s">
        <v>791</v>
      </c>
      <c r="T636">
        <v>2611.151882</v>
      </c>
      <c r="U636" s="2">
        <v>44454</v>
      </c>
      <c r="V636" t="s">
        <v>801</v>
      </c>
    </row>
    <row r="637" spans="1:22">
      <c r="A637" s="1" t="s">
        <v>657</v>
      </c>
      <c r="B637">
        <f>HYPERLINK("https://www.suredividend.com/sure-analysis-AAT/","American Assets Trust Inc")</f>
        <v>0</v>
      </c>
      <c r="C637">
        <v>36.73</v>
      </c>
      <c r="D637">
        <v>38</v>
      </c>
      <c r="E637">
        <v>0.966578947368421</v>
      </c>
      <c r="F637">
        <v>0.03267084127416281</v>
      </c>
      <c r="G637">
        <v>0.006821621966870417</v>
      </c>
      <c r="H637">
        <v>0.06</v>
      </c>
      <c r="I637">
        <v>0.09495737542302618</v>
      </c>
      <c r="J637" t="s">
        <v>778</v>
      </c>
      <c r="K637" t="s">
        <v>523</v>
      </c>
      <c r="L637">
        <v>1.92</v>
      </c>
      <c r="M637">
        <v>1.2</v>
      </c>
      <c r="N637">
        <v>0.625</v>
      </c>
      <c r="O637">
        <v>1</v>
      </c>
      <c r="P637">
        <v>0.04978904632428516</v>
      </c>
      <c r="Q637">
        <v>0.318174567496628</v>
      </c>
      <c r="R637" t="s">
        <v>782</v>
      </c>
      <c r="S637" t="s">
        <v>794</v>
      </c>
      <c r="T637">
        <v>2198.764283</v>
      </c>
      <c r="U637" s="2">
        <v>44502</v>
      </c>
      <c r="V637" t="s">
        <v>803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15.08</v>
      </c>
      <c r="D638">
        <v>12.4</v>
      </c>
      <c r="E638">
        <v>1.216129032258064</v>
      </c>
      <c r="F638">
        <v>0.1061007957559682</v>
      </c>
      <c r="G638">
        <v>-0.03837871262571457</v>
      </c>
      <c r="H638">
        <v>0.04</v>
      </c>
      <c r="I638">
        <v>0.09307069582677219</v>
      </c>
      <c r="J638" t="s">
        <v>778</v>
      </c>
      <c r="K638" t="s">
        <v>345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-0.035570980685615</v>
      </c>
      <c r="R638" t="s">
        <v>782</v>
      </c>
      <c r="S638" t="s">
        <v>794</v>
      </c>
      <c r="T638">
        <v>1548.883956</v>
      </c>
      <c r="U638" s="2">
        <v>44509</v>
      </c>
      <c r="V638" t="s">
        <v>805</v>
      </c>
    </row>
    <row r="639" spans="1:22">
      <c r="A639" s="1" t="s">
        <v>659</v>
      </c>
      <c r="B639">
        <f>HYPERLINK("https://www.suredividend.com/sure-analysis-VOD/","Vodafone Group plc")</f>
        <v>0</v>
      </c>
      <c r="C639">
        <v>15.16</v>
      </c>
      <c r="D639">
        <v>16</v>
      </c>
      <c r="E639">
        <v>0.9475</v>
      </c>
      <c r="F639">
        <v>0.06728232189973615</v>
      </c>
      <c r="G639">
        <v>0.01084404340895961</v>
      </c>
      <c r="H639">
        <v>0.03</v>
      </c>
      <c r="I639">
        <v>0.09300074474361275</v>
      </c>
      <c r="J639" t="s">
        <v>778</v>
      </c>
      <c r="K639" t="s">
        <v>345</v>
      </c>
      <c r="L639">
        <v>1.15</v>
      </c>
      <c r="M639">
        <v>1.02</v>
      </c>
      <c r="N639">
        <v>0.8869565217391305</v>
      </c>
      <c r="O639">
        <v>0</v>
      </c>
      <c r="P639">
        <v>0</v>
      </c>
      <c r="Q639">
        <v>-0.029788427581546</v>
      </c>
      <c r="R639" t="s">
        <v>780</v>
      </c>
      <c r="S639" t="s">
        <v>784</v>
      </c>
      <c r="T639">
        <v>41452.305283</v>
      </c>
      <c r="U639" s="2">
        <v>44528</v>
      </c>
      <c r="V639" t="s">
        <v>802</v>
      </c>
    </row>
    <row r="640" spans="1:22">
      <c r="A640" s="1" t="s">
        <v>660</v>
      </c>
      <c r="B640">
        <f>HYPERLINK("https://www.suredividend.com/sure-analysis-SRC/","Spirit Realty Capital Inc")</f>
        <v>0</v>
      </c>
      <c r="C640">
        <v>47.86</v>
      </c>
      <c r="D640">
        <v>50</v>
      </c>
      <c r="E640">
        <v>0.9571999999999999</v>
      </c>
      <c r="F640">
        <v>0.05328040117007939</v>
      </c>
      <c r="G640">
        <v>0.008786965299727223</v>
      </c>
      <c r="H640">
        <v>0.04</v>
      </c>
      <c r="I640">
        <v>0.09219144810079616</v>
      </c>
      <c r="J640" t="s">
        <v>778</v>
      </c>
      <c r="K640" t="s">
        <v>345</v>
      </c>
      <c r="L640">
        <v>3.3</v>
      </c>
      <c r="M640">
        <v>2.55</v>
      </c>
      <c r="N640">
        <v>0.7727272727272727</v>
      </c>
      <c r="O640">
        <v>1</v>
      </c>
      <c r="P640">
        <v>0.02033265364950054</v>
      </c>
      <c r="Q640">
        <v>0.238749687947549</v>
      </c>
      <c r="R640" t="s">
        <v>782</v>
      </c>
      <c r="S640" t="s">
        <v>794</v>
      </c>
      <c r="T640">
        <v>5813.094367</v>
      </c>
      <c r="U640" s="2">
        <v>44509</v>
      </c>
      <c r="V640" t="s">
        <v>796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28.25</v>
      </c>
      <c r="D641">
        <v>27.05</v>
      </c>
      <c r="E641">
        <v>1.044362292051756</v>
      </c>
      <c r="F641">
        <v>0.0368141592920354</v>
      </c>
      <c r="G641">
        <v>-0.008643716865675333</v>
      </c>
      <c r="H641">
        <v>0.07000000000000001</v>
      </c>
      <c r="I641">
        <v>0.09186425137575593</v>
      </c>
      <c r="J641" t="s">
        <v>778</v>
      </c>
      <c r="K641" t="s">
        <v>523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0.362964264277453</v>
      </c>
      <c r="R641" t="s">
        <v>782</v>
      </c>
      <c r="S641" t="s">
        <v>794</v>
      </c>
      <c r="T641">
        <v>3395.557966</v>
      </c>
      <c r="U641" s="2">
        <v>44508</v>
      </c>
      <c r="V641" t="s">
        <v>795</v>
      </c>
    </row>
    <row r="642" spans="1:22">
      <c r="A642" s="1" t="s">
        <v>662</v>
      </c>
      <c r="B642">
        <f>HYPERLINK("https://www.suredividend.com/sure-analysis-HR/","Healthcare Realty Trust, Inc.")</f>
        <v>0</v>
      </c>
      <c r="C642">
        <v>31.69</v>
      </c>
      <c r="D642">
        <v>32</v>
      </c>
      <c r="E642">
        <v>0.9903125</v>
      </c>
      <c r="F642">
        <v>0.03818239192174187</v>
      </c>
      <c r="G642">
        <v>0.001948842349005053</v>
      </c>
      <c r="H642">
        <v>0.06</v>
      </c>
      <c r="I642">
        <v>0.09130714101399096</v>
      </c>
      <c r="J642" t="s">
        <v>778</v>
      </c>
      <c r="K642" t="s">
        <v>523</v>
      </c>
      <c r="L642">
        <v>1.72</v>
      </c>
      <c r="M642">
        <v>1.21</v>
      </c>
      <c r="N642">
        <v>0.7034883720930233</v>
      </c>
      <c r="O642">
        <v>1</v>
      </c>
      <c r="P642">
        <v>0.00972630418295628</v>
      </c>
      <c r="Q642">
        <v>0.100973816108762</v>
      </c>
      <c r="R642" t="s">
        <v>782</v>
      </c>
      <c r="S642" t="s">
        <v>794</v>
      </c>
      <c r="T642">
        <v>4598.878903</v>
      </c>
      <c r="U642" s="2">
        <v>44513</v>
      </c>
      <c r="V642" t="s">
        <v>795</v>
      </c>
    </row>
    <row r="643" spans="1:22">
      <c r="A643" s="1" t="s">
        <v>663</v>
      </c>
      <c r="B643">
        <f>HYPERLINK("https://www.suredividend.com/sure-analysis-ORCC/","Owl Rock Capital Corp")</f>
        <v>0</v>
      </c>
      <c r="C643">
        <v>14.46</v>
      </c>
      <c r="D643">
        <v>14.64</v>
      </c>
      <c r="E643">
        <v>0.9877049180327869</v>
      </c>
      <c r="F643">
        <v>0.08575380359612725</v>
      </c>
      <c r="G643">
        <v>0.002477321863838533</v>
      </c>
      <c r="H643">
        <v>0.02</v>
      </c>
      <c r="I643">
        <v>0.09112684236124768</v>
      </c>
      <c r="J643" t="s">
        <v>778</v>
      </c>
      <c r="K643" t="s">
        <v>345</v>
      </c>
      <c r="L643">
        <v>1.22</v>
      </c>
      <c r="M643">
        <v>1.24</v>
      </c>
      <c r="N643">
        <v>1.016393442622951</v>
      </c>
      <c r="O643">
        <v>0</v>
      </c>
      <c r="P643">
        <v>0</v>
      </c>
      <c r="Q643">
        <v>0.211963195343908</v>
      </c>
      <c r="R643" t="s">
        <v>783</v>
      </c>
      <c r="S643" t="s">
        <v>789</v>
      </c>
      <c r="T643">
        <v>5665.328303</v>
      </c>
      <c r="U643" s="2">
        <v>44509</v>
      </c>
      <c r="V643" t="s">
        <v>796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22.06</v>
      </c>
      <c r="D644">
        <v>21</v>
      </c>
      <c r="E644">
        <v>1.05047619047619</v>
      </c>
      <c r="F644">
        <v>0.03626473254759747</v>
      </c>
      <c r="G644">
        <v>-0.009800375449678489</v>
      </c>
      <c r="H644">
        <v>0.07000000000000001</v>
      </c>
      <c r="I644">
        <v>0.09096288904528205</v>
      </c>
      <c r="J644" t="s">
        <v>778</v>
      </c>
      <c r="K644" t="s">
        <v>523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0.210807912696728</v>
      </c>
      <c r="R644" t="s">
        <v>782</v>
      </c>
      <c r="S644" t="s">
        <v>794</v>
      </c>
      <c r="T644">
        <v>859.068352</v>
      </c>
      <c r="U644" s="2">
        <v>44502</v>
      </c>
      <c r="V644" t="s">
        <v>795</v>
      </c>
    </row>
    <row r="645" spans="1:22">
      <c r="A645" s="1" t="s">
        <v>665</v>
      </c>
      <c r="B645">
        <f>HYPERLINK("https://www.suredividend.com/sure-analysis-WSO/","Watsco Inc.")</f>
        <v>0</v>
      </c>
      <c r="C645">
        <v>305.72</v>
      </c>
      <c r="D645">
        <v>257</v>
      </c>
      <c r="E645">
        <v>1.189571984435798</v>
      </c>
      <c r="F645">
        <v>0.02551354180295695</v>
      </c>
      <c r="G645">
        <v>-0.03412293338025163</v>
      </c>
      <c r="H645">
        <v>0.1</v>
      </c>
      <c r="I645">
        <v>0.08808828373127464</v>
      </c>
      <c r="J645" t="s">
        <v>778</v>
      </c>
      <c r="K645" t="s">
        <v>778</v>
      </c>
      <c r="L645">
        <v>10.29</v>
      </c>
      <c r="M645">
        <v>7.8</v>
      </c>
      <c r="N645">
        <v>0.7580174927113703</v>
      </c>
      <c r="O645">
        <v>8</v>
      </c>
      <c r="P645">
        <v>0.0999653567765697</v>
      </c>
      <c r="Q645">
        <v>0.330734335502679</v>
      </c>
      <c r="R645" t="s">
        <v>782</v>
      </c>
      <c r="S645" t="s">
        <v>794</v>
      </c>
      <c r="T645">
        <v>11729.601545</v>
      </c>
      <c r="U645" s="2">
        <v>44490</v>
      </c>
      <c r="V645" t="s">
        <v>797</v>
      </c>
    </row>
    <row r="646" spans="1:22">
      <c r="A646" s="1" t="s">
        <v>666</v>
      </c>
      <c r="B646">
        <f>HYPERLINK("https://www.suredividend.com/sure-analysis-GSBD/","Goldman Sachs BDC Inc")</f>
        <v>0</v>
      </c>
      <c r="C646">
        <v>19.49</v>
      </c>
      <c r="D646">
        <v>20.64</v>
      </c>
      <c r="E646">
        <v>0.944282945736434</v>
      </c>
      <c r="F646">
        <v>0.09235505387378144</v>
      </c>
      <c r="G646">
        <v>0.0115318706348202</v>
      </c>
      <c r="H646">
        <v>0</v>
      </c>
      <c r="I646">
        <v>0.08745995181099087</v>
      </c>
      <c r="J646" t="s">
        <v>778</v>
      </c>
      <c r="K646" t="s">
        <v>345</v>
      </c>
      <c r="L646">
        <v>2.15</v>
      </c>
      <c r="M646">
        <v>1.8</v>
      </c>
      <c r="N646">
        <v>0.8372093023255814</v>
      </c>
      <c r="O646">
        <v>0</v>
      </c>
      <c r="P646">
        <v>0</v>
      </c>
      <c r="Q646">
        <v>0.113137430321381</v>
      </c>
      <c r="R646" t="s">
        <v>783</v>
      </c>
      <c r="S646" t="s">
        <v>789</v>
      </c>
      <c r="T646">
        <v>1976.303122</v>
      </c>
      <c r="U646" s="2">
        <v>44513</v>
      </c>
      <c r="V646" t="s">
        <v>796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17.95</v>
      </c>
      <c r="D647">
        <v>17</v>
      </c>
      <c r="E647">
        <v>1.055882352941176</v>
      </c>
      <c r="F647">
        <v>0.1047353760445682</v>
      </c>
      <c r="G647">
        <v>-0.01081643130718912</v>
      </c>
      <c r="H647">
        <v>0.01</v>
      </c>
      <c r="I647">
        <v>0.08721422315981253</v>
      </c>
      <c r="J647" t="s">
        <v>778</v>
      </c>
      <c r="K647" t="s">
        <v>345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0.08993990965052201</v>
      </c>
      <c r="R647" t="s">
        <v>782</v>
      </c>
      <c r="S647" t="s">
        <v>789</v>
      </c>
      <c r="T647">
        <v>1729.629354</v>
      </c>
      <c r="U647" s="2">
        <v>44512</v>
      </c>
      <c r="V647" t="s">
        <v>795</v>
      </c>
    </row>
    <row r="648" spans="1:22">
      <c r="A648" s="1" t="s">
        <v>668</v>
      </c>
      <c r="B648">
        <f>HYPERLINK("https://www.suredividend.com/sure-analysis-CTRE/","CareTrust REIT Inc")</f>
        <v>0</v>
      </c>
      <c r="C648">
        <v>22.55</v>
      </c>
      <c r="D648">
        <v>22</v>
      </c>
      <c r="E648">
        <v>1.025</v>
      </c>
      <c r="F648">
        <v>0.04700665188470066</v>
      </c>
      <c r="G648">
        <v>-0.00492634806525849</v>
      </c>
      <c r="H648">
        <v>0.05</v>
      </c>
      <c r="I648">
        <v>0.0869939399519768</v>
      </c>
      <c r="J648" t="s">
        <v>778</v>
      </c>
      <c r="K648" t="s">
        <v>345</v>
      </c>
      <c r="L648">
        <v>1.5</v>
      </c>
      <c r="M648">
        <v>1.06</v>
      </c>
      <c r="N648">
        <v>0.7066666666666667</v>
      </c>
      <c r="O648">
        <v>5</v>
      </c>
      <c r="P648">
        <v>0.04955591526723868</v>
      </c>
      <c r="Q648">
        <v>0.052641458962</v>
      </c>
      <c r="R648" t="s">
        <v>782</v>
      </c>
      <c r="S648" t="s">
        <v>794</v>
      </c>
      <c r="T648">
        <v>2176.446736</v>
      </c>
      <c r="U648" s="2">
        <v>44508</v>
      </c>
      <c r="V648" t="s">
        <v>795</v>
      </c>
    </row>
    <row r="649" spans="1:22">
      <c r="A649" s="1" t="s">
        <v>669</v>
      </c>
      <c r="B649">
        <f>HYPERLINK("https://www.suredividend.com/sure-analysis-AQN/","Algonquin Power &amp; Utilities Corp")</f>
        <v>0</v>
      </c>
      <c r="C649">
        <v>14.4</v>
      </c>
      <c r="D649">
        <v>13</v>
      </c>
      <c r="E649">
        <v>1.107692307692308</v>
      </c>
      <c r="F649">
        <v>0.04722222222222222</v>
      </c>
      <c r="G649">
        <v>-0.02024796987916999</v>
      </c>
      <c r="H649">
        <v>0.065</v>
      </c>
      <c r="I649">
        <v>0.08665747360447162</v>
      </c>
      <c r="J649" t="s">
        <v>778</v>
      </c>
      <c r="K649" t="s">
        <v>523</v>
      </c>
      <c r="L649">
        <v>0.73</v>
      </c>
      <c r="M649">
        <v>0.68</v>
      </c>
      <c r="N649">
        <v>0.9315068493150686</v>
      </c>
      <c r="O649">
        <v>9</v>
      </c>
      <c r="P649">
        <v>0.05530068195228077</v>
      </c>
      <c r="Q649">
        <v>-0.08055423574281201</v>
      </c>
      <c r="R649" t="s">
        <v>780</v>
      </c>
      <c r="S649" t="s">
        <v>792</v>
      </c>
      <c r="T649">
        <v>9621.254969</v>
      </c>
      <c r="U649" s="2">
        <v>44513</v>
      </c>
      <c r="V649" t="s">
        <v>804</v>
      </c>
    </row>
    <row r="650" spans="1:22">
      <c r="A650" s="1" t="s">
        <v>670</v>
      </c>
      <c r="B650">
        <f>HYPERLINK("https://www.suredividend.com/sure-analysis-CTO/","CTO Realty Growth Inc")</f>
        <v>0</v>
      </c>
      <c r="C650">
        <v>60.15</v>
      </c>
      <c r="D650">
        <v>56</v>
      </c>
      <c r="E650">
        <v>1.074107142857143</v>
      </c>
      <c r="F650">
        <v>0.06650041562759768</v>
      </c>
      <c r="G650">
        <v>-0.01419622006710852</v>
      </c>
      <c r="H650">
        <v>0.045</v>
      </c>
      <c r="I650">
        <v>0.08639867258691281</v>
      </c>
      <c r="J650" t="s">
        <v>778</v>
      </c>
      <c r="K650" t="s">
        <v>345</v>
      </c>
      <c r="L650">
        <v>4.15</v>
      </c>
      <c r="M650">
        <v>4</v>
      </c>
      <c r="N650">
        <v>0.9638554216867469</v>
      </c>
      <c r="O650">
        <v>8</v>
      </c>
      <c r="P650">
        <v>0.02016978262061087</v>
      </c>
      <c r="Q650">
        <v>0.373452108442041</v>
      </c>
      <c r="R650" t="s">
        <v>782</v>
      </c>
      <c r="S650" t="s">
        <v>794</v>
      </c>
      <c r="T650">
        <v>356.298084</v>
      </c>
      <c r="U650" s="2">
        <v>44502</v>
      </c>
      <c r="V650" t="s">
        <v>795</v>
      </c>
    </row>
    <row r="651" spans="1:22">
      <c r="A651" s="1" t="s">
        <v>671</v>
      </c>
      <c r="B651">
        <f>HYPERLINK("https://www.suredividend.com/sure-analysis-MRCC/","Monroe Capital Corp")</f>
        <v>0</v>
      </c>
      <c r="C651">
        <v>11.17</v>
      </c>
      <c r="D651">
        <v>11.6</v>
      </c>
      <c r="E651">
        <v>0.9629310344827586</v>
      </c>
      <c r="F651">
        <v>0.08952551477170993</v>
      </c>
      <c r="G651">
        <v>0.007583305727699052</v>
      </c>
      <c r="H651">
        <v>0</v>
      </c>
      <c r="I651">
        <v>0.08629333022703811</v>
      </c>
      <c r="J651" t="s">
        <v>778</v>
      </c>
      <c r="K651" t="s">
        <v>777</v>
      </c>
      <c r="L651">
        <v>1.45</v>
      </c>
      <c r="M651">
        <v>1</v>
      </c>
      <c r="N651">
        <v>0.6896551724137931</v>
      </c>
      <c r="O651">
        <v>0</v>
      </c>
      <c r="P651">
        <v>0.01924487649145656</v>
      </c>
      <c r="Q651">
        <v>0.53719461981883</v>
      </c>
      <c r="R651" t="s">
        <v>783</v>
      </c>
      <c r="S651" t="s">
        <v>789</v>
      </c>
      <c r="T651">
        <v>241.287648</v>
      </c>
      <c r="U651" s="2">
        <v>44507</v>
      </c>
      <c r="V651" t="s">
        <v>796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29.23</v>
      </c>
      <c r="D652">
        <v>29</v>
      </c>
      <c r="E652">
        <v>1.007931034482759</v>
      </c>
      <c r="F652">
        <v>0.04550119739993158</v>
      </c>
      <c r="G652">
        <v>-0.001578702363670859</v>
      </c>
      <c r="H652">
        <v>0.05</v>
      </c>
      <c r="I652">
        <v>0.0859020671260764</v>
      </c>
      <c r="J652" t="s">
        <v>778</v>
      </c>
      <c r="K652" t="s">
        <v>523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0.01302051128032</v>
      </c>
      <c r="R652" t="s">
        <v>782</v>
      </c>
      <c r="S652" t="s">
        <v>794</v>
      </c>
      <c r="T652">
        <v>2217.699988</v>
      </c>
      <c r="U652" s="2">
        <v>44499</v>
      </c>
      <c r="V652" t="s">
        <v>799</v>
      </c>
    </row>
    <row r="653" spans="1:22">
      <c r="A653" s="1" t="s">
        <v>673</v>
      </c>
      <c r="B653">
        <f>HYPERLINK("https://www.suredividend.com/sure-analysis-IDEXY/","Industria De Diseno Textil SA")</f>
        <v>0</v>
      </c>
      <c r="C653">
        <v>15.97</v>
      </c>
      <c r="D653">
        <v>15.5</v>
      </c>
      <c r="E653">
        <v>1.030322580645161</v>
      </c>
      <c r="F653">
        <v>0.02567313713212273</v>
      </c>
      <c r="G653">
        <v>-0.005956576494308585</v>
      </c>
      <c r="H653">
        <v>0.07000000000000001</v>
      </c>
      <c r="I653">
        <v>0.08586349390459413</v>
      </c>
      <c r="J653" t="s">
        <v>778</v>
      </c>
      <c r="K653" t="s">
        <v>523</v>
      </c>
      <c r="L653">
        <v>0.62</v>
      </c>
      <c r="M653">
        <v>0.41</v>
      </c>
      <c r="N653">
        <v>0.6612903225806451</v>
      </c>
      <c r="O653">
        <v>1</v>
      </c>
      <c r="P653">
        <v>0.04868220215701746</v>
      </c>
      <c r="Q653">
        <v>-0.00251256281407</v>
      </c>
      <c r="R653" t="s">
        <v>780</v>
      </c>
      <c r="S653" t="s">
        <v>788</v>
      </c>
      <c r="T653">
        <v>98984.86752</v>
      </c>
      <c r="U653" s="2">
        <v>44551</v>
      </c>
      <c r="V653" t="s">
        <v>796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8.23</v>
      </c>
      <c r="D654">
        <v>7.8</v>
      </c>
      <c r="E654">
        <v>1.055128205128205</v>
      </c>
      <c r="F654">
        <v>0.1069258809234508</v>
      </c>
      <c r="G654">
        <v>-0.01067506887645053</v>
      </c>
      <c r="H654">
        <v>-0.004</v>
      </c>
      <c r="I654">
        <v>0.08542076767453866</v>
      </c>
      <c r="J654" t="s">
        <v>778</v>
      </c>
      <c r="K654" t="s">
        <v>777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0.07373223556557701</v>
      </c>
      <c r="R654" t="s">
        <v>782</v>
      </c>
      <c r="S654" t="s">
        <v>794</v>
      </c>
      <c r="T654">
        <v>11876.488435</v>
      </c>
      <c r="U654" s="2">
        <v>44503</v>
      </c>
      <c r="V654" t="s">
        <v>805</v>
      </c>
    </row>
    <row r="655" spans="1:22">
      <c r="A655" s="1" t="s">
        <v>675</v>
      </c>
      <c r="B655">
        <f>HYPERLINK("https://www.suredividend.com/sure-analysis-NRZ/","New Residential Investment Corp")</f>
        <v>0</v>
      </c>
      <c r="C655">
        <v>11</v>
      </c>
      <c r="D655">
        <v>10</v>
      </c>
      <c r="E655">
        <v>1.1</v>
      </c>
      <c r="F655">
        <v>0.09090909090909091</v>
      </c>
      <c r="G655">
        <v>-0.01888150427373569</v>
      </c>
      <c r="H655">
        <v>0.02</v>
      </c>
      <c r="I655">
        <v>0.0846204381525355</v>
      </c>
      <c r="J655" t="s">
        <v>778</v>
      </c>
      <c r="K655" t="s">
        <v>345</v>
      </c>
      <c r="L655">
        <v>1.3</v>
      </c>
      <c r="M655">
        <v>1</v>
      </c>
      <c r="N655">
        <v>0.7692307692307692</v>
      </c>
      <c r="O655">
        <v>1</v>
      </c>
      <c r="P655">
        <v>0.03012896281839894</v>
      </c>
      <c r="Q655">
        <v>0.182220602578805</v>
      </c>
      <c r="R655" t="s">
        <v>782</v>
      </c>
      <c r="S655" t="s">
        <v>794</v>
      </c>
      <c r="T655">
        <v>5146.376518</v>
      </c>
      <c r="U655" s="2">
        <v>44503</v>
      </c>
      <c r="V655" t="s">
        <v>798</v>
      </c>
    </row>
    <row r="656" spans="1:22">
      <c r="A656" s="1" t="s">
        <v>676</v>
      </c>
      <c r="B656">
        <f>HYPERLINK("https://www.suredividend.com/sure-analysis-CBRL/","Cracker Barrel Old Country Store Inc")</f>
        <v>0</v>
      </c>
      <c r="C656">
        <v>129.02</v>
      </c>
      <c r="D656">
        <v>127</v>
      </c>
      <c r="E656">
        <v>1.015905511811024</v>
      </c>
      <c r="F656">
        <v>0.04030382886374206</v>
      </c>
      <c r="G656">
        <v>-0.003151093778906877</v>
      </c>
      <c r="H656">
        <v>0.054</v>
      </c>
      <c r="I656">
        <v>0.08449752542033884</v>
      </c>
      <c r="J656" t="s">
        <v>778</v>
      </c>
      <c r="K656" t="s">
        <v>345</v>
      </c>
      <c r="L656">
        <v>8.460000000000001</v>
      </c>
      <c r="M656">
        <v>5.2</v>
      </c>
      <c r="N656">
        <v>0.6146572104018913</v>
      </c>
      <c r="O656">
        <v>1</v>
      </c>
      <c r="P656">
        <v>0.02903366107118788</v>
      </c>
      <c r="Q656">
        <v>-0.035626628118835</v>
      </c>
      <c r="R656" t="s">
        <v>780</v>
      </c>
      <c r="S656" t="s">
        <v>788</v>
      </c>
      <c r="T656">
        <v>3012.918506</v>
      </c>
      <c r="U656" s="2">
        <v>44524</v>
      </c>
      <c r="V656" t="s">
        <v>805</v>
      </c>
    </row>
    <row r="657" spans="1:22">
      <c r="A657" s="1" t="s">
        <v>677</v>
      </c>
      <c r="B657">
        <f>HYPERLINK("https://www.suredividend.com/sure-analysis-ACRE/","Ares Commercial Real Estate Corp")</f>
        <v>0</v>
      </c>
      <c r="C657">
        <v>14.98</v>
      </c>
      <c r="D657">
        <v>15.87</v>
      </c>
      <c r="E657">
        <v>0.9439193446754884</v>
      </c>
      <c r="F657">
        <v>0.08811748998664887</v>
      </c>
      <c r="G657">
        <v>0.01160978775904997</v>
      </c>
      <c r="H657">
        <v>0</v>
      </c>
      <c r="I657">
        <v>0.08447177119769855</v>
      </c>
      <c r="J657" t="s">
        <v>778</v>
      </c>
      <c r="K657" t="s">
        <v>345</v>
      </c>
      <c r="L657">
        <v>1.38</v>
      </c>
      <c r="M657">
        <v>1.32</v>
      </c>
      <c r="N657">
        <v>0.9565217391304349</v>
      </c>
      <c r="O657">
        <v>0</v>
      </c>
      <c r="P657">
        <v>0</v>
      </c>
      <c r="Q657">
        <v>0.273340987767293</v>
      </c>
      <c r="R657" t="s">
        <v>782</v>
      </c>
      <c r="S657" t="s">
        <v>794</v>
      </c>
      <c r="T657">
        <v>693.2768600000001</v>
      </c>
      <c r="U657" s="2">
        <v>44506</v>
      </c>
      <c r="V657" t="s">
        <v>796</v>
      </c>
    </row>
    <row r="658" spans="1:22">
      <c r="A658" s="1" t="s">
        <v>678</v>
      </c>
      <c r="B658">
        <f>HYPERLINK("https://www.suredividend.com/sure-analysis-KREF/","KKR Real Estate Finance Trust Inc")</f>
        <v>0</v>
      </c>
      <c r="C658">
        <v>21.38</v>
      </c>
      <c r="D658">
        <v>21.53</v>
      </c>
      <c r="E658">
        <v>0.9930329772410589</v>
      </c>
      <c r="F658">
        <v>0.08044901777362021</v>
      </c>
      <c r="G658">
        <v>0.00139925920678019</v>
      </c>
      <c r="H658">
        <v>0.015</v>
      </c>
      <c r="I658">
        <v>0.08441825986168983</v>
      </c>
      <c r="J658" t="s">
        <v>778</v>
      </c>
      <c r="K658" t="s">
        <v>345</v>
      </c>
      <c r="L658">
        <v>2.05</v>
      </c>
      <c r="M658">
        <v>1.72</v>
      </c>
      <c r="N658">
        <v>0.8390243902439025</v>
      </c>
      <c r="O658">
        <v>0</v>
      </c>
      <c r="P658">
        <v>0.01025271344829148</v>
      </c>
      <c r="Q658">
        <v>0.258911864326488</v>
      </c>
      <c r="R658" t="s">
        <v>782</v>
      </c>
      <c r="S658" t="s">
        <v>794</v>
      </c>
      <c r="T658">
        <v>1304.741762</v>
      </c>
      <c r="U658" s="2">
        <v>44495</v>
      </c>
      <c r="V658" t="s">
        <v>796</v>
      </c>
    </row>
    <row r="659" spans="1:22">
      <c r="A659" s="1" t="s">
        <v>679</v>
      </c>
      <c r="B659">
        <f>HYPERLINK("https://www.suredividend.com/sure-analysis-AFIN/","American Fin Tr Inc")</f>
        <v>0</v>
      </c>
      <c r="C659">
        <v>8.99</v>
      </c>
      <c r="D659">
        <v>9</v>
      </c>
      <c r="E659">
        <v>0.9988888888888889</v>
      </c>
      <c r="F659">
        <v>0.09454949944382647</v>
      </c>
      <c r="G659">
        <v>0.000222370491191004</v>
      </c>
      <c r="H659">
        <v>0</v>
      </c>
      <c r="I659">
        <v>0.08066537650744809</v>
      </c>
      <c r="J659" t="s">
        <v>778</v>
      </c>
      <c r="K659" t="s">
        <v>345</v>
      </c>
      <c r="L659">
        <v>1</v>
      </c>
      <c r="M659">
        <v>0.85</v>
      </c>
      <c r="N659">
        <v>0.85</v>
      </c>
      <c r="O659">
        <v>0</v>
      </c>
      <c r="P659">
        <v>0</v>
      </c>
      <c r="Q659">
        <v>0.263732318517986</v>
      </c>
      <c r="R659" t="s">
        <v>782</v>
      </c>
      <c r="S659" t="s">
        <v>794</v>
      </c>
      <c r="T659">
        <v>1086.856971</v>
      </c>
      <c r="U659" s="2">
        <v>44509</v>
      </c>
      <c r="V659" t="s">
        <v>796</v>
      </c>
    </row>
    <row r="660" spans="1:22">
      <c r="A660" s="1" t="s">
        <v>680</v>
      </c>
      <c r="B660">
        <f>HYPERLINK("https://www.suredividend.com/sure-analysis-CSWC/","Capital Southwest Corp.")</f>
        <v>0</v>
      </c>
      <c r="C660">
        <v>25.09</v>
      </c>
      <c r="D660">
        <v>23</v>
      </c>
      <c r="E660">
        <v>1.090869565217391</v>
      </c>
      <c r="F660">
        <v>0.0749302510960542</v>
      </c>
      <c r="G660">
        <v>-0.01724460882476475</v>
      </c>
      <c r="H660">
        <v>0.03</v>
      </c>
      <c r="I660">
        <v>0.08046892565200925</v>
      </c>
      <c r="J660" t="s">
        <v>778</v>
      </c>
      <c r="K660" t="s">
        <v>345</v>
      </c>
      <c r="L660">
        <v>1.65</v>
      </c>
      <c r="M660">
        <v>1.88</v>
      </c>
      <c r="N660">
        <v>1.139393939393939</v>
      </c>
      <c r="O660">
        <v>5</v>
      </c>
      <c r="P660">
        <v>0.03005337366563188</v>
      </c>
      <c r="Q660">
        <v>0.636027510600889</v>
      </c>
      <c r="R660" t="s">
        <v>783</v>
      </c>
      <c r="S660" t="s">
        <v>789</v>
      </c>
      <c r="T660">
        <v>590.761697</v>
      </c>
      <c r="U660" s="2">
        <v>44504</v>
      </c>
      <c r="V660" t="s">
        <v>796</v>
      </c>
    </row>
    <row r="661" spans="1:22">
      <c r="A661" s="1" t="s">
        <v>681</v>
      </c>
      <c r="B661">
        <f>HYPERLINK("https://www.suredividend.com/sure-analysis-HRZN/","Horizon Technology Finance Corp")</f>
        <v>0</v>
      </c>
      <c r="C661">
        <v>16.08</v>
      </c>
      <c r="D661">
        <v>15.76</v>
      </c>
      <c r="E661">
        <v>1.020304568527919</v>
      </c>
      <c r="F661">
        <v>0.0746268656716418</v>
      </c>
      <c r="G661">
        <v>-0.004012165534514001</v>
      </c>
      <c r="H661">
        <v>0.02</v>
      </c>
      <c r="I661">
        <v>0.07792147956080653</v>
      </c>
      <c r="J661" t="s">
        <v>778</v>
      </c>
      <c r="K661" t="s">
        <v>345</v>
      </c>
      <c r="L661">
        <v>1.37</v>
      </c>
      <c r="M661">
        <v>1.2</v>
      </c>
      <c r="N661">
        <v>0.875912408759124</v>
      </c>
      <c r="O661">
        <v>0</v>
      </c>
      <c r="P661">
        <v>0</v>
      </c>
      <c r="Q661">
        <v>0.307726797190255</v>
      </c>
      <c r="R661" t="s">
        <v>783</v>
      </c>
      <c r="S661" t="s">
        <v>789</v>
      </c>
      <c r="T661">
        <v>321.729077</v>
      </c>
      <c r="U661" s="2">
        <v>44502</v>
      </c>
      <c r="V661" t="s">
        <v>796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27.96</v>
      </c>
      <c r="D662">
        <v>29</v>
      </c>
      <c r="E662">
        <v>0.9641379310344828</v>
      </c>
      <c r="F662">
        <v>0.05650929899856939</v>
      </c>
      <c r="G662">
        <v>0.007330923131790845</v>
      </c>
      <c r="H662">
        <v>0.02</v>
      </c>
      <c r="I662">
        <v>0.07773626312386206</v>
      </c>
      <c r="J662" t="s">
        <v>778</v>
      </c>
      <c r="K662" t="s">
        <v>345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0.42478906322437</v>
      </c>
      <c r="R662" t="s">
        <v>780</v>
      </c>
      <c r="S662" t="s">
        <v>793</v>
      </c>
      <c r="T662">
        <v>49865.376748</v>
      </c>
      <c r="U662" s="2">
        <v>44502</v>
      </c>
      <c r="V662" t="s">
        <v>803</v>
      </c>
    </row>
    <row r="663" spans="1:22">
      <c r="A663" s="1" t="s">
        <v>683</v>
      </c>
      <c r="B663">
        <f>HYPERLINK("https://www.suredividend.com/sure-analysis-EIC/","Eagle Point Income Company Inc")</f>
        <v>0</v>
      </c>
      <c r="C663">
        <v>17.16</v>
      </c>
      <c r="D663">
        <v>15.86</v>
      </c>
      <c r="E663">
        <v>1.081967213114754</v>
      </c>
      <c r="F663">
        <v>0.0775058275058275</v>
      </c>
      <c r="G663">
        <v>-0.01563269640673226</v>
      </c>
      <c r="H663">
        <v>0.02</v>
      </c>
      <c r="I663">
        <v>0.07749108725001985</v>
      </c>
      <c r="J663" t="s">
        <v>778</v>
      </c>
      <c r="K663" t="s">
        <v>345</v>
      </c>
      <c r="L663">
        <v>1.22</v>
      </c>
      <c r="M663">
        <v>1.33</v>
      </c>
      <c r="N663">
        <v>1.090163934426229</v>
      </c>
      <c r="O663">
        <v>1</v>
      </c>
      <c r="P663">
        <v>0.03635631157614205</v>
      </c>
      <c r="Q663">
        <v>0.23768810837353</v>
      </c>
      <c r="R663" t="s">
        <v>780</v>
      </c>
      <c r="S663" t="s">
        <v>789</v>
      </c>
      <c r="T663">
        <v>104.66469</v>
      </c>
      <c r="U663" s="2">
        <v>44517</v>
      </c>
      <c r="V663" t="s">
        <v>796</v>
      </c>
    </row>
    <row r="664" spans="1:22">
      <c r="A664" s="1" t="s">
        <v>684</v>
      </c>
      <c r="B664">
        <f>HYPERLINK("https://www.suredividend.com/sure-analysis-CHCT/","Community Healthcare Trust Inc")</f>
        <v>0</v>
      </c>
      <c r="C664">
        <v>46.09</v>
      </c>
      <c r="D664">
        <v>43</v>
      </c>
      <c r="E664">
        <v>1.071860465116279</v>
      </c>
      <c r="F664">
        <v>0.0377522239097418</v>
      </c>
      <c r="G664">
        <v>-0.01378330646675829</v>
      </c>
      <c r="H664">
        <v>0.06</v>
      </c>
      <c r="I664">
        <v>0.0769698276140951</v>
      </c>
      <c r="J664" t="s">
        <v>778</v>
      </c>
      <c r="K664" t="s">
        <v>523</v>
      </c>
      <c r="L664">
        <v>2.21</v>
      </c>
      <c r="M664">
        <v>1.74</v>
      </c>
      <c r="N664">
        <v>0.7873303167420814</v>
      </c>
      <c r="O664">
        <v>6</v>
      </c>
      <c r="P664">
        <v>0.01988310171094443</v>
      </c>
      <c r="Q664">
        <v>0.005384327689342001</v>
      </c>
      <c r="R664" t="s">
        <v>782</v>
      </c>
      <c r="S664" t="s">
        <v>794</v>
      </c>
      <c r="T664">
        <v>1134.955248</v>
      </c>
      <c r="U664" s="2">
        <v>44508</v>
      </c>
      <c r="V664" t="s">
        <v>795</v>
      </c>
    </row>
    <row r="665" spans="1:22">
      <c r="A665" s="1" t="s">
        <v>685</v>
      </c>
      <c r="B665">
        <f>HYPERLINK("https://www.suredividend.com/sure-analysis-VNO/","Vornado Realty Trust")</f>
        <v>0</v>
      </c>
      <c r="C665">
        <v>41.64</v>
      </c>
      <c r="D665">
        <v>42</v>
      </c>
      <c r="E665">
        <v>0.9914285714285714</v>
      </c>
      <c r="F665">
        <v>0.05091258405379443</v>
      </c>
      <c r="G665">
        <v>0.001723157840484157</v>
      </c>
      <c r="H665">
        <v>0.03</v>
      </c>
      <c r="I665">
        <v>0.07557920600717782</v>
      </c>
      <c r="J665" t="s">
        <v>778</v>
      </c>
      <c r="K665" t="s">
        <v>345</v>
      </c>
      <c r="L665">
        <v>2.8</v>
      </c>
      <c r="M665">
        <v>2.12</v>
      </c>
      <c r="N665">
        <v>0.7571428571428572</v>
      </c>
      <c r="O665">
        <v>0</v>
      </c>
      <c r="P665">
        <v>0.01994322923769842</v>
      </c>
      <c r="Q665">
        <v>0.205824226923971</v>
      </c>
      <c r="R665" t="s">
        <v>782</v>
      </c>
      <c r="S665" t="s">
        <v>794</v>
      </c>
      <c r="T665">
        <v>7947.855766</v>
      </c>
      <c r="U665" s="2">
        <v>44503</v>
      </c>
      <c r="V665" t="s">
        <v>796</v>
      </c>
    </row>
    <row r="666" spans="1:22">
      <c r="A666" s="1" t="s">
        <v>686</v>
      </c>
      <c r="B666">
        <f>HYPERLINK("https://www.suredividend.com/sure-analysis-SSREY/","Swiss Re Ltd")</f>
        <v>0</v>
      </c>
      <c r="C666">
        <v>24.59</v>
      </c>
      <c r="D666">
        <v>21</v>
      </c>
      <c r="E666">
        <v>1.170952380952381</v>
      </c>
      <c r="F666">
        <v>0.06547376982513217</v>
      </c>
      <c r="G666">
        <v>-0.0310705567257864</v>
      </c>
      <c r="H666">
        <v>0.05</v>
      </c>
      <c r="I666">
        <v>0.07532236690450489</v>
      </c>
      <c r="J666" t="s">
        <v>778</v>
      </c>
      <c r="K666" t="s">
        <v>345</v>
      </c>
      <c r="L666">
        <v>1.75</v>
      </c>
      <c r="M666">
        <v>1.61</v>
      </c>
      <c r="N666">
        <v>0.92</v>
      </c>
      <c r="O666">
        <v>5</v>
      </c>
      <c r="P666">
        <v>0.02027871203234244</v>
      </c>
      <c r="Q666">
        <v>0.06185477574390501</v>
      </c>
      <c r="R666" t="s">
        <v>780</v>
      </c>
      <c r="S666" t="s">
        <v>789</v>
      </c>
      <c r="T666">
        <v>31089.336204</v>
      </c>
      <c r="U666" s="2">
        <v>44503</v>
      </c>
      <c r="V666" t="s">
        <v>796</v>
      </c>
    </row>
    <row r="667" spans="1:22">
      <c r="A667" s="1" t="s">
        <v>687</v>
      </c>
      <c r="B667">
        <f>HYPERLINK("https://www.suredividend.com/sure-analysis-PFLT/","PennantPark Floating Rate Capital Ltd")</f>
        <v>0</v>
      </c>
      <c r="C667">
        <v>12.64</v>
      </c>
      <c r="D667">
        <v>11.9</v>
      </c>
      <c r="E667">
        <v>1.06218487394958</v>
      </c>
      <c r="F667">
        <v>0.09018987341772151</v>
      </c>
      <c r="G667">
        <v>-0.01199310026405243</v>
      </c>
      <c r="H667">
        <v>0.008</v>
      </c>
      <c r="I667">
        <v>0.07425636185916917</v>
      </c>
      <c r="J667" t="s">
        <v>778</v>
      </c>
      <c r="K667" t="s">
        <v>345</v>
      </c>
      <c r="L667">
        <v>1.12</v>
      </c>
      <c r="M667">
        <v>1.14</v>
      </c>
      <c r="N667">
        <v>1.017857142857143</v>
      </c>
      <c r="O667">
        <v>0</v>
      </c>
      <c r="P667">
        <v>0</v>
      </c>
      <c r="Q667">
        <v>0.348784599953048</v>
      </c>
      <c r="R667" t="s">
        <v>783</v>
      </c>
      <c r="S667" t="s">
        <v>789</v>
      </c>
      <c r="T667">
        <v>492.194446</v>
      </c>
      <c r="U667" s="2">
        <v>44521</v>
      </c>
      <c r="V667" t="s">
        <v>805</v>
      </c>
    </row>
    <row r="668" spans="1:22">
      <c r="A668" s="1" t="s">
        <v>688</v>
      </c>
      <c r="B668">
        <f>HYPERLINK("https://www.suredividend.com/sure-analysis-VST/","Vistra Corp")</f>
        <v>0</v>
      </c>
      <c r="C668">
        <v>22.19</v>
      </c>
      <c r="D668">
        <v>19</v>
      </c>
      <c r="E668">
        <v>1.167894736842105</v>
      </c>
      <c r="F668">
        <v>0.0270392068499324</v>
      </c>
      <c r="G668">
        <v>-0.03056373986948457</v>
      </c>
      <c r="H668">
        <v>0.08</v>
      </c>
      <c r="I668">
        <v>0.07403879385222867</v>
      </c>
      <c r="J668" t="s">
        <v>778</v>
      </c>
      <c r="K668" t="s">
        <v>778</v>
      </c>
      <c r="L668">
        <v>-0.55</v>
      </c>
      <c r="M668">
        <v>0.6</v>
      </c>
      <c r="N668">
        <v>9.99</v>
      </c>
      <c r="O668">
        <v>2</v>
      </c>
      <c r="P668">
        <v>0.0796084730466029</v>
      </c>
      <c r="Q668">
        <v>0.215622654836004</v>
      </c>
      <c r="R668" t="s">
        <v>780</v>
      </c>
      <c r="S668" t="s">
        <v>792</v>
      </c>
      <c r="T668">
        <v>10632.284266</v>
      </c>
      <c r="U668" s="2">
        <v>44515</v>
      </c>
      <c r="V668" t="s">
        <v>795</v>
      </c>
    </row>
    <row r="669" spans="1:22">
      <c r="A669" s="1" t="s">
        <v>689</v>
      </c>
      <c r="B669">
        <f>HYPERLINK("https://www.suredividend.com/sure-analysis-NMFC/","New Mountain Finance Corp")</f>
        <v>0</v>
      </c>
      <c r="C669">
        <v>13.69</v>
      </c>
      <c r="D669">
        <v>14</v>
      </c>
      <c r="E669">
        <v>0.9778571428571429</v>
      </c>
      <c r="F669">
        <v>0.08765522279035792</v>
      </c>
      <c r="G669">
        <v>0.004488380804884784</v>
      </c>
      <c r="H669">
        <v>-0.005</v>
      </c>
      <c r="I669">
        <v>0.0740072051896874</v>
      </c>
      <c r="J669" t="s">
        <v>778</v>
      </c>
      <c r="K669" t="s">
        <v>345</v>
      </c>
      <c r="L669">
        <v>1.25</v>
      </c>
      <c r="M669">
        <v>1.2</v>
      </c>
      <c r="N669">
        <v>0.96</v>
      </c>
      <c r="O669">
        <v>0</v>
      </c>
      <c r="P669">
        <v>-0.005050763379468082</v>
      </c>
      <c r="Q669">
        <v>0.313600309537628</v>
      </c>
      <c r="R669" t="s">
        <v>783</v>
      </c>
      <c r="S669" t="s">
        <v>789</v>
      </c>
      <c r="T669">
        <v>1315.996897</v>
      </c>
      <c r="U669" s="2">
        <v>44509</v>
      </c>
      <c r="V669" t="s">
        <v>796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49.87</v>
      </c>
      <c r="D670">
        <v>41</v>
      </c>
      <c r="E670">
        <v>1.216341463414634</v>
      </c>
      <c r="F670">
        <v>0.03609384399438541</v>
      </c>
      <c r="G670">
        <v>-0.03841230394864303</v>
      </c>
      <c r="H670">
        <v>0.08</v>
      </c>
      <c r="I670">
        <v>0.07245005519828984</v>
      </c>
      <c r="J670" t="s">
        <v>778</v>
      </c>
      <c r="K670" t="s">
        <v>523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0.03409790721283201</v>
      </c>
      <c r="R670" t="s">
        <v>782</v>
      </c>
      <c r="S670" t="s">
        <v>794</v>
      </c>
      <c r="T670">
        <v>19639.453886</v>
      </c>
      <c r="U670" s="2">
        <v>44518</v>
      </c>
      <c r="V670" t="s">
        <v>803</v>
      </c>
    </row>
    <row r="671" spans="1:22">
      <c r="A671" s="1" t="s">
        <v>691</v>
      </c>
      <c r="B671">
        <f>HYPERLINK("https://www.suredividend.com/sure-analysis-ILPT/","Industrial Logistics Properties Trust")</f>
        <v>0</v>
      </c>
      <c r="C671">
        <v>24.61</v>
      </c>
      <c r="D671">
        <v>24</v>
      </c>
      <c r="E671">
        <v>1.025416666666667</v>
      </c>
      <c r="F671">
        <v>0.05363673303535148</v>
      </c>
      <c r="G671">
        <v>-0.005007228636264127</v>
      </c>
      <c r="H671">
        <v>0.03</v>
      </c>
      <c r="I671">
        <v>0.07197747965256807</v>
      </c>
      <c r="J671" t="s">
        <v>778</v>
      </c>
      <c r="K671" t="s">
        <v>345</v>
      </c>
      <c r="L671">
        <v>1.87</v>
      </c>
      <c r="M671">
        <v>1.32</v>
      </c>
      <c r="N671">
        <v>0.7058823529411765</v>
      </c>
      <c r="O671">
        <v>0</v>
      </c>
      <c r="P671">
        <v>0.02036554426441151</v>
      </c>
      <c r="Q671">
        <v>0.104060330160481</v>
      </c>
      <c r="R671" t="s">
        <v>782</v>
      </c>
      <c r="S671" t="s">
        <v>794</v>
      </c>
      <c r="T671">
        <v>1570.364254</v>
      </c>
      <c r="U671" s="2">
        <v>44498</v>
      </c>
      <c r="V671" t="s">
        <v>796</v>
      </c>
    </row>
    <row r="672" spans="1:22">
      <c r="A672" s="1" t="s">
        <v>692</v>
      </c>
      <c r="B672">
        <f>HYPERLINK("https://www.suredividend.com/sure-analysis-GBDC/","Golub Capital BDC Inc")</f>
        <v>0</v>
      </c>
      <c r="C672">
        <v>15.27</v>
      </c>
      <c r="D672">
        <v>15.6</v>
      </c>
      <c r="E672">
        <v>0.9788461538461538</v>
      </c>
      <c r="F672">
        <v>0.07858546168958742</v>
      </c>
      <c r="G672">
        <v>0.004285314818828212</v>
      </c>
      <c r="H672">
        <v>0</v>
      </c>
      <c r="I672">
        <v>0.07182268061402941</v>
      </c>
      <c r="J672" t="s">
        <v>778</v>
      </c>
      <c r="K672" t="s">
        <v>345</v>
      </c>
      <c r="L672">
        <v>1.2</v>
      </c>
      <c r="M672">
        <v>1.2</v>
      </c>
      <c r="N672">
        <v>1</v>
      </c>
      <c r="O672">
        <v>0</v>
      </c>
      <c r="P672">
        <v>0</v>
      </c>
      <c r="Q672">
        <v>0.171596271147427</v>
      </c>
      <c r="R672" t="s">
        <v>783</v>
      </c>
      <c r="S672" t="s">
        <v>789</v>
      </c>
      <c r="T672">
        <v>2596.336478</v>
      </c>
      <c r="U672" s="2">
        <v>44532</v>
      </c>
      <c r="V672" t="s">
        <v>796</v>
      </c>
    </row>
    <row r="673" spans="1:22">
      <c r="A673" s="1" t="s">
        <v>693</v>
      </c>
      <c r="B673">
        <f>HYPERLINK("https://www.suredividend.com/sure-analysis-ARR/","ARMOUR Residential REIT Inc")</f>
        <v>0</v>
      </c>
      <c r="C673">
        <v>9.85</v>
      </c>
      <c r="D673">
        <v>6.7</v>
      </c>
      <c r="E673">
        <v>1.470149253731343</v>
      </c>
      <c r="F673">
        <v>0.1218274111675127</v>
      </c>
      <c r="G673">
        <v>-0.07417753553526796</v>
      </c>
      <c r="H673">
        <v>0.046</v>
      </c>
      <c r="I673">
        <v>0.07179549551640951</v>
      </c>
      <c r="J673" t="s">
        <v>778</v>
      </c>
      <c r="K673" t="s">
        <v>345</v>
      </c>
      <c r="L673">
        <v>0.96</v>
      </c>
      <c r="M673">
        <v>1.2</v>
      </c>
      <c r="N673">
        <v>1.25</v>
      </c>
      <c r="O673">
        <v>0</v>
      </c>
      <c r="P673">
        <v>-0.0263528193848318</v>
      </c>
      <c r="Q673">
        <v>0.02178563269714</v>
      </c>
      <c r="R673" t="s">
        <v>782</v>
      </c>
      <c r="S673" t="s">
        <v>794</v>
      </c>
      <c r="T673">
        <v>882.540045</v>
      </c>
      <c r="U673" s="2">
        <v>44503</v>
      </c>
      <c r="V673" t="s">
        <v>805</v>
      </c>
    </row>
    <row r="674" spans="1:22">
      <c r="A674" s="1" t="s">
        <v>694</v>
      </c>
      <c r="B674">
        <f>HYPERLINK("https://www.suredividend.com/sure-analysis-TSLX/","Sixth Street Specialty Lending Inc")</f>
        <v>0</v>
      </c>
      <c r="C674">
        <v>23.19</v>
      </c>
      <c r="D674">
        <v>21.78</v>
      </c>
      <c r="E674">
        <v>1.064738292011019</v>
      </c>
      <c r="F674">
        <v>0.07072013799051315</v>
      </c>
      <c r="G674">
        <v>-0.01246743620194424</v>
      </c>
      <c r="H674">
        <v>0.02</v>
      </c>
      <c r="I674">
        <v>0.07147630907439084</v>
      </c>
      <c r="J674" t="s">
        <v>778</v>
      </c>
      <c r="K674" t="s">
        <v>345</v>
      </c>
      <c r="L674">
        <v>1.98</v>
      </c>
      <c r="M674">
        <v>1.64</v>
      </c>
      <c r="N674">
        <v>0.8282828282828283</v>
      </c>
      <c r="O674">
        <v>6</v>
      </c>
      <c r="P674">
        <v>0.01992196624507558</v>
      </c>
      <c r="Q674">
        <v>0.308961394713111</v>
      </c>
      <c r="R674" t="s">
        <v>783</v>
      </c>
      <c r="S674" t="s">
        <v>789</v>
      </c>
      <c r="T674">
        <v>1687.232657</v>
      </c>
      <c r="U674" s="2">
        <v>44504</v>
      </c>
      <c r="V674" t="s">
        <v>796</v>
      </c>
    </row>
    <row r="675" spans="1:22">
      <c r="A675" s="1" t="s">
        <v>695</v>
      </c>
      <c r="B675">
        <f>HYPERLINK("https://www.suredividend.com/sure-analysis-BEP/","Brookfield Renewable Partners LP")</f>
        <v>0</v>
      </c>
      <c r="C675">
        <v>35.44</v>
      </c>
      <c r="D675">
        <v>32</v>
      </c>
      <c r="E675">
        <v>1.1075</v>
      </c>
      <c r="F675">
        <v>0.03442437923250564</v>
      </c>
      <c r="G675">
        <v>-0.02021394716734293</v>
      </c>
      <c r="H675">
        <v>0.06</v>
      </c>
      <c r="I675">
        <v>0.07087420599965499</v>
      </c>
      <c r="J675" t="s">
        <v>778</v>
      </c>
      <c r="K675" t="s">
        <v>523</v>
      </c>
      <c r="L675">
        <v>1.9</v>
      </c>
      <c r="M675">
        <v>1.22</v>
      </c>
      <c r="N675">
        <v>0.6421052631578947</v>
      </c>
      <c r="O675">
        <v>0</v>
      </c>
      <c r="P675">
        <v>0.05039574430966676</v>
      </c>
      <c r="Q675">
        <v>-0.124926050088739</v>
      </c>
      <c r="R675" t="s">
        <v>781</v>
      </c>
      <c r="S675" t="s">
        <v>792</v>
      </c>
      <c r="T675">
        <v>9762.869377999999</v>
      </c>
      <c r="U675" s="2">
        <v>44518</v>
      </c>
      <c r="V675" t="s">
        <v>803</v>
      </c>
    </row>
    <row r="676" spans="1:22">
      <c r="A676" s="1" t="s">
        <v>696</v>
      </c>
      <c r="B676">
        <f>HYPERLINK("https://www.suredividend.com/sure-analysis-UMH/","UMH Properties Inc")</f>
        <v>0</v>
      </c>
      <c r="C676">
        <v>25.9</v>
      </c>
      <c r="D676">
        <v>25.7</v>
      </c>
      <c r="E676">
        <v>1.007782101167315</v>
      </c>
      <c r="F676">
        <v>0.02934362934362935</v>
      </c>
      <c r="G676">
        <v>-0.001549194118856345</v>
      </c>
      <c r="H676">
        <v>0.045</v>
      </c>
      <c r="I676">
        <v>0.06947708198414237</v>
      </c>
      <c r="J676" t="s">
        <v>778</v>
      </c>
      <c r="K676" t="s">
        <v>778</v>
      </c>
      <c r="L676">
        <v>0.89</v>
      </c>
      <c r="M676">
        <v>0.76</v>
      </c>
      <c r="N676">
        <v>0.8539325842696629</v>
      </c>
      <c r="O676">
        <v>1</v>
      </c>
      <c r="P676">
        <v>0.03439350143683439</v>
      </c>
      <c r="Q676">
        <v>0.7510547066500031</v>
      </c>
      <c r="R676" t="s">
        <v>782</v>
      </c>
      <c r="S676" t="s">
        <v>794</v>
      </c>
      <c r="T676">
        <v>1243.00247</v>
      </c>
      <c r="U676" s="2">
        <v>44509</v>
      </c>
      <c r="V676" t="s">
        <v>805</v>
      </c>
    </row>
    <row r="677" spans="1:22">
      <c r="A677" s="1" t="s">
        <v>697</v>
      </c>
      <c r="B677">
        <f>HYPERLINK("https://www.suredividend.com/sure-analysis-SUNS/","SLR Senior Investment Corp")</f>
        <v>0</v>
      </c>
      <c r="C677">
        <v>13.92</v>
      </c>
      <c r="D677">
        <v>12.1</v>
      </c>
      <c r="E677">
        <v>1.150413223140496</v>
      </c>
      <c r="F677">
        <v>0.08620689655172413</v>
      </c>
      <c r="G677">
        <v>-0.02763520405507358</v>
      </c>
      <c r="H677">
        <v>0.02</v>
      </c>
      <c r="I677">
        <v>0.06819473147536681</v>
      </c>
      <c r="J677" t="s">
        <v>778</v>
      </c>
      <c r="K677" t="s">
        <v>345</v>
      </c>
      <c r="L677">
        <v>1.1</v>
      </c>
      <c r="M677">
        <v>1.2</v>
      </c>
      <c r="N677">
        <v>1.090909090909091</v>
      </c>
      <c r="O677">
        <v>0</v>
      </c>
      <c r="P677">
        <v>0</v>
      </c>
      <c r="Q677">
        <v>0.05188601051886001</v>
      </c>
      <c r="R677" t="s">
        <v>783</v>
      </c>
      <c r="S677" t="s">
        <v>789</v>
      </c>
      <c r="T677">
        <v>224.044515</v>
      </c>
      <c r="U677" s="2">
        <v>44504</v>
      </c>
      <c r="V677" t="s">
        <v>796</v>
      </c>
    </row>
    <row r="678" spans="1:22">
      <c r="A678" s="1" t="s">
        <v>698</v>
      </c>
      <c r="B678">
        <f>HYPERLINK("https://www.suredividend.com/sure-analysis-STWD/","Starwood Property Trust Inc")</f>
        <v>0</v>
      </c>
      <c r="C678">
        <v>24.99</v>
      </c>
      <c r="D678">
        <v>25</v>
      </c>
      <c r="E678">
        <v>0.9995999999999999</v>
      </c>
      <c r="F678">
        <v>0.07683073229291718</v>
      </c>
      <c r="G678">
        <v>8.001920563383003e-05</v>
      </c>
      <c r="H678">
        <v>0</v>
      </c>
      <c r="I678">
        <v>0.06723969125517093</v>
      </c>
      <c r="J678" t="s">
        <v>778</v>
      </c>
      <c r="K678" t="s">
        <v>345</v>
      </c>
      <c r="L678">
        <v>2</v>
      </c>
      <c r="M678">
        <v>1.92</v>
      </c>
      <c r="N678">
        <v>0.96</v>
      </c>
      <c r="O678">
        <v>0</v>
      </c>
      <c r="P678">
        <v>0</v>
      </c>
      <c r="Q678">
        <v>0.379141731539671</v>
      </c>
      <c r="R678" t="s">
        <v>782</v>
      </c>
      <c r="S678" t="s">
        <v>794</v>
      </c>
      <c r="T678">
        <v>7163.488187</v>
      </c>
      <c r="U678" s="2">
        <v>44509</v>
      </c>
      <c r="V678" t="s">
        <v>796</v>
      </c>
    </row>
    <row r="679" spans="1:22">
      <c r="A679" s="1" t="s">
        <v>699</v>
      </c>
      <c r="B679">
        <f>HYPERLINK("https://www.suredividend.com/sure-analysis-FE/","Firstenergy Corp.")</f>
        <v>0</v>
      </c>
      <c r="C679">
        <v>40.45</v>
      </c>
      <c r="D679">
        <v>39</v>
      </c>
      <c r="E679">
        <v>1.037179487179487</v>
      </c>
      <c r="F679">
        <v>0.03856613102595797</v>
      </c>
      <c r="G679">
        <v>-0.007274411922887247</v>
      </c>
      <c r="H679">
        <v>0.04</v>
      </c>
      <c r="I679">
        <v>0.06526067394124802</v>
      </c>
      <c r="J679" t="s">
        <v>778</v>
      </c>
      <c r="K679" t="s">
        <v>523</v>
      </c>
      <c r="L679">
        <v>2.6</v>
      </c>
      <c r="M679">
        <v>1.56</v>
      </c>
      <c r="N679">
        <v>0.6</v>
      </c>
      <c r="O679">
        <v>0</v>
      </c>
      <c r="P679">
        <v>0.01005227214699711</v>
      </c>
      <c r="Q679">
        <v>0.425210722310719</v>
      </c>
      <c r="R679" t="s">
        <v>780</v>
      </c>
      <c r="S679" t="s">
        <v>792</v>
      </c>
      <c r="T679">
        <v>22065.327158</v>
      </c>
      <c r="U679" s="2">
        <v>44498</v>
      </c>
      <c r="V679" t="s">
        <v>796</v>
      </c>
    </row>
    <row r="680" spans="1:22">
      <c r="A680" s="1" t="s">
        <v>700</v>
      </c>
      <c r="B680">
        <f>HYPERLINK("https://www.suredividend.com/sure-analysis-VIA/","Via Renewables Inc")</f>
        <v>0</v>
      </c>
      <c r="C680">
        <v>11.22</v>
      </c>
      <c r="D680">
        <v>10.6</v>
      </c>
      <c r="E680">
        <v>1.058490566037736</v>
      </c>
      <c r="F680">
        <v>0.06506238859180036</v>
      </c>
      <c r="G680">
        <v>-0.01130439942467421</v>
      </c>
      <c r="H680">
        <v>0.02</v>
      </c>
      <c r="I680">
        <v>0.06473499843319752</v>
      </c>
      <c r="J680" t="s">
        <v>778</v>
      </c>
      <c r="K680" t="s">
        <v>345</v>
      </c>
      <c r="L680">
        <v>0.85</v>
      </c>
      <c r="M680">
        <v>0.73</v>
      </c>
      <c r="N680">
        <v>0.8588235294117647</v>
      </c>
      <c r="O680">
        <v>0</v>
      </c>
      <c r="P680">
        <v>0</v>
      </c>
      <c r="Q680">
        <v>0.182073670435286</v>
      </c>
      <c r="R680" t="s">
        <v>780</v>
      </c>
      <c r="S680" t="s">
        <v>792</v>
      </c>
      <c r="T680">
        <v>171.607716</v>
      </c>
      <c r="U680" s="2">
        <v>44519</v>
      </c>
      <c r="V680" t="s">
        <v>803</v>
      </c>
    </row>
    <row r="681" spans="1:22">
      <c r="A681" s="1" t="s">
        <v>701</v>
      </c>
      <c r="B681">
        <f>HYPERLINK("https://www.suredividend.com/sure-analysis-TPVG/","TriplePoint Venture Growth BDC Corp")</f>
        <v>0</v>
      </c>
      <c r="C681">
        <v>17.37</v>
      </c>
      <c r="D681">
        <v>15</v>
      </c>
      <c r="E681">
        <v>1.158</v>
      </c>
      <c r="F681">
        <v>0.08290155440414507</v>
      </c>
      <c r="G681">
        <v>-0.02891266932333014</v>
      </c>
      <c r="H681">
        <v>0.02</v>
      </c>
      <c r="I681">
        <v>0.06466690503236117</v>
      </c>
      <c r="J681" t="s">
        <v>778</v>
      </c>
      <c r="K681" t="s">
        <v>345</v>
      </c>
      <c r="L681">
        <v>1.25</v>
      </c>
      <c r="M681">
        <v>1.44</v>
      </c>
      <c r="N681">
        <v>1.152</v>
      </c>
      <c r="O681">
        <v>0</v>
      </c>
      <c r="P681">
        <v>0</v>
      </c>
      <c r="Q681">
        <v>0.4740278315300611</v>
      </c>
      <c r="R681" t="s">
        <v>783</v>
      </c>
      <c r="S681" t="s">
        <v>789</v>
      </c>
      <c r="T681">
        <v>542.840994</v>
      </c>
      <c r="U681" s="2">
        <v>44506</v>
      </c>
      <c r="V681" t="s">
        <v>796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9.699999999999999</v>
      </c>
      <c r="D682">
        <v>7.8</v>
      </c>
      <c r="E682">
        <v>1.243589743589744</v>
      </c>
      <c r="F682">
        <v>0.08659793814432989</v>
      </c>
      <c r="G682">
        <v>-0.04266359637946282</v>
      </c>
      <c r="H682">
        <v>0.03</v>
      </c>
      <c r="I682">
        <v>0.06423756755392729</v>
      </c>
      <c r="J682" t="s">
        <v>778</v>
      </c>
      <c r="K682" t="s">
        <v>345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0.008111485270135001</v>
      </c>
      <c r="R682" t="s">
        <v>782</v>
      </c>
      <c r="S682" t="s">
        <v>794</v>
      </c>
      <c r="T682">
        <v>1263.226345</v>
      </c>
      <c r="U682" s="2">
        <v>44509</v>
      </c>
      <c r="V682" t="s">
        <v>797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17.87</v>
      </c>
      <c r="D683">
        <v>17.97</v>
      </c>
      <c r="E683">
        <v>0.9944351697273235</v>
      </c>
      <c r="F683">
        <v>0.07162842753217682</v>
      </c>
      <c r="G683">
        <v>0.001116697367541164</v>
      </c>
      <c r="H683">
        <v>0</v>
      </c>
      <c r="I683">
        <v>0.06401118990606069</v>
      </c>
      <c r="J683" t="s">
        <v>778</v>
      </c>
      <c r="K683" t="s">
        <v>345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0.464207799848023</v>
      </c>
      <c r="R683" t="s">
        <v>783</v>
      </c>
      <c r="S683" t="s">
        <v>789</v>
      </c>
      <c r="T683">
        <v>437.918208</v>
      </c>
      <c r="U683" s="2">
        <v>44513</v>
      </c>
      <c r="V683" t="s">
        <v>796</v>
      </c>
    </row>
    <row r="684" spans="1:22">
      <c r="A684" s="1" t="s">
        <v>704</v>
      </c>
      <c r="B684">
        <f>HYPERLINK("https://www.suredividend.com/sure-analysis-LWSCF/","Sienna Senior Living, Inc.")</f>
        <v>0</v>
      </c>
      <c r="C684">
        <v>11.54</v>
      </c>
      <c r="D684">
        <v>11.88</v>
      </c>
      <c r="E684">
        <v>0.9713804713804712</v>
      </c>
      <c r="F684">
        <v>0.06499133448873484</v>
      </c>
      <c r="G684">
        <v>0.005824306270599156</v>
      </c>
      <c r="H684">
        <v>0</v>
      </c>
      <c r="I684">
        <v>0.06255307835839208</v>
      </c>
      <c r="J684" t="s">
        <v>778</v>
      </c>
      <c r="K684" t="s">
        <v>345</v>
      </c>
      <c r="L684">
        <v>0.88</v>
      </c>
      <c r="M684">
        <v>0.75</v>
      </c>
      <c r="N684">
        <v>0.8522727272727273</v>
      </c>
      <c r="O684">
        <v>0</v>
      </c>
      <c r="P684">
        <v>0</v>
      </c>
      <c r="Q684">
        <v>0.074187843246765</v>
      </c>
      <c r="R684" t="s">
        <v>780</v>
      </c>
      <c r="S684" t="s">
        <v>785</v>
      </c>
      <c r="T684">
        <v>773.631479</v>
      </c>
      <c r="U684" s="2">
        <v>44516</v>
      </c>
      <c r="V684" t="s">
        <v>796</v>
      </c>
    </row>
    <row r="685" spans="1:22">
      <c r="A685" s="1" t="s">
        <v>705</v>
      </c>
      <c r="B685">
        <f>HYPERLINK("https://www.suredividend.com/sure-analysis-AM/","Antero Midstream Corp")</f>
        <v>0</v>
      </c>
      <c r="C685">
        <v>9.84</v>
      </c>
      <c r="D685">
        <v>8.800000000000001</v>
      </c>
      <c r="E685">
        <v>1.118181818181818</v>
      </c>
      <c r="F685">
        <v>0.09146341463414634</v>
      </c>
      <c r="G685">
        <v>-0.02209309038071061</v>
      </c>
      <c r="H685">
        <v>0</v>
      </c>
      <c r="I685">
        <v>0.06211442818201651</v>
      </c>
      <c r="J685" t="s">
        <v>778</v>
      </c>
      <c r="K685" t="s">
        <v>777</v>
      </c>
      <c r="L685">
        <v>1.25</v>
      </c>
      <c r="M685">
        <v>0.9</v>
      </c>
      <c r="N685">
        <v>0.72</v>
      </c>
      <c r="O685">
        <v>0</v>
      </c>
      <c r="P685">
        <v>0</v>
      </c>
      <c r="Q685">
        <v>0.273310873544313</v>
      </c>
      <c r="R685" t="s">
        <v>780</v>
      </c>
      <c r="S685" t="s">
        <v>793</v>
      </c>
      <c r="T685">
        <v>4584.036355</v>
      </c>
      <c r="U685" s="2">
        <v>44504</v>
      </c>
      <c r="V685" t="s">
        <v>805</v>
      </c>
    </row>
    <row r="686" spans="1:22">
      <c r="A686" s="1" t="s">
        <v>706</v>
      </c>
      <c r="B686">
        <f>HYPERLINK("https://www.suredividend.com/sure-analysis-EXR/","Extra Space Storage Inc.")</f>
        <v>0</v>
      </c>
      <c r="C686">
        <v>221.75</v>
      </c>
      <c r="D686">
        <v>150</v>
      </c>
      <c r="E686">
        <v>1.478333333333333</v>
      </c>
      <c r="F686">
        <v>0.02254791431792559</v>
      </c>
      <c r="G686">
        <v>-0.07520488695827976</v>
      </c>
      <c r="H686">
        <v>0.12</v>
      </c>
      <c r="I686">
        <v>0.06155029965631154</v>
      </c>
      <c r="J686" t="s">
        <v>778</v>
      </c>
      <c r="K686" t="s">
        <v>778</v>
      </c>
      <c r="L686">
        <v>6.8</v>
      </c>
      <c r="M686">
        <v>5</v>
      </c>
      <c r="N686">
        <v>0.7352941176470589</v>
      </c>
      <c r="O686">
        <v>12</v>
      </c>
      <c r="P686">
        <v>0.1101240567487265</v>
      </c>
      <c r="Q686">
        <v>0.957270451680559</v>
      </c>
      <c r="R686" t="s">
        <v>782</v>
      </c>
      <c r="S686" t="s">
        <v>794</v>
      </c>
      <c r="T686">
        <v>29188.413272</v>
      </c>
      <c r="U686" s="2">
        <v>44500</v>
      </c>
      <c r="V686" t="s">
        <v>796</v>
      </c>
    </row>
    <row r="687" spans="1:22">
      <c r="A687" s="1" t="s">
        <v>707</v>
      </c>
      <c r="B687">
        <f>HYPERLINK("https://www.suredividend.com/sure-analysis-DX/","Dynex Capital, Inc.")</f>
        <v>0</v>
      </c>
      <c r="C687">
        <v>16.84</v>
      </c>
      <c r="D687">
        <v>15.6</v>
      </c>
      <c r="E687">
        <v>1.079487179487179</v>
      </c>
      <c r="F687">
        <v>0.09263657957244656</v>
      </c>
      <c r="G687">
        <v>-0.01518081078793476</v>
      </c>
      <c r="H687">
        <v>-0.0016</v>
      </c>
      <c r="I687">
        <v>0.06120990468331478</v>
      </c>
      <c r="J687" t="s">
        <v>778</v>
      </c>
      <c r="K687" t="s">
        <v>345</v>
      </c>
      <c r="L687">
        <v>1.95</v>
      </c>
      <c r="M687">
        <v>1.56</v>
      </c>
      <c r="N687">
        <v>0.8</v>
      </c>
      <c r="O687">
        <v>0</v>
      </c>
      <c r="P687">
        <v>-0.02706716144586752</v>
      </c>
      <c r="Q687">
        <v>0.025269071664341</v>
      </c>
      <c r="R687" t="s">
        <v>782</v>
      </c>
      <c r="S687" t="s">
        <v>794</v>
      </c>
      <c r="T687">
        <v>611.585627</v>
      </c>
      <c r="U687" s="2">
        <v>44503</v>
      </c>
      <c r="V687" t="s">
        <v>805</v>
      </c>
    </row>
    <row r="688" spans="1:22">
      <c r="A688" s="1" t="s">
        <v>708</v>
      </c>
      <c r="B688">
        <f>HYPERLINK("https://www.suredividend.com/sure-analysis-VLO/","Valero Energy Corp.")</f>
        <v>0</v>
      </c>
      <c r="C688">
        <v>73.13</v>
      </c>
      <c r="D688">
        <v>64</v>
      </c>
      <c r="E688">
        <v>1.14265625</v>
      </c>
      <c r="F688">
        <v>0.05360317243265418</v>
      </c>
      <c r="G688">
        <v>-0.02631858599050041</v>
      </c>
      <c r="H688">
        <v>0.04</v>
      </c>
      <c r="I688">
        <v>0.05913500752994749</v>
      </c>
      <c r="J688" t="s">
        <v>778</v>
      </c>
      <c r="K688" t="s">
        <v>523</v>
      </c>
      <c r="L688">
        <v>0.5</v>
      </c>
      <c r="M688">
        <v>3.92</v>
      </c>
      <c r="N688">
        <v>7.84</v>
      </c>
      <c r="O688">
        <v>10</v>
      </c>
      <c r="P688">
        <v>0</v>
      </c>
      <c r="Q688">
        <v>0.360832017969888</v>
      </c>
      <c r="R688" t="s">
        <v>780</v>
      </c>
      <c r="S688" t="s">
        <v>793</v>
      </c>
      <c r="T688">
        <v>29325.778664</v>
      </c>
      <c r="U688" s="2">
        <v>44491</v>
      </c>
      <c r="V688" t="s">
        <v>803</v>
      </c>
    </row>
    <row r="689" spans="1:22">
      <c r="A689" s="1" t="s">
        <v>709</v>
      </c>
      <c r="B689">
        <f>HYPERLINK("https://www.suredividend.com/sure-analysis-BFS/","Saul Centers, Inc.")</f>
        <v>0</v>
      </c>
      <c r="C689">
        <v>52.8</v>
      </c>
      <c r="D689">
        <v>50</v>
      </c>
      <c r="E689">
        <v>1.056</v>
      </c>
      <c r="F689">
        <v>0.04318181818181818</v>
      </c>
      <c r="G689">
        <v>-0.01083847292155871</v>
      </c>
      <c r="H689">
        <v>0.03</v>
      </c>
      <c r="I689">
        <v>0.0585055418651137</v>
      </c>
      <c r="J689" t="s">
        <v>778</v>
      </c>
      <c r="K689" t="s">
        <v>523</v>
      </c>
      <c r="L689">
        <v>3.05</v>
      </c>
      <c r="M689">
        <v>2.28</v>
      </c>
      <c r="N689">
        <v>0.7475409836065574</v>
      </c>
      <c r="O689">
        <v>2</v>
      </c>
      <c r="P689">
        <v>0.02263597526826988</v>
      </c>
      <c r="Q689">
        <v>0.69667420526527</v>
      </c>
      <c r="R689" t="s">
        <v>782</v>
      </c>
      <c r="S689" t="s">
        <v>794</v>
      </c>
      <c r="T689">
        <v>1232.163</v>
      </c>
      <c r="U689" s="2">
        <v>44531</v>
      </c>
      <c r="V689" t="s">
        <v>796</v>
      </c>
    </row>
    <row r="690" spans="1:22">
      <c r="A690" s="1" t="s">
        <v>710</v>
      </c>
      <c r="B690">
        <f>HYPERLINK("https://www.suredividend.com/sure-analysis-ARI/","Apollo Commercial Real Estate Finance Inc")</f>
        <v>0</v>
      </c>
      <c r="C690">
        <v>13.46</v>
      </c>
      <c r="D690">
        <v>11</v>
      </c>
      <c r="E690">
        <v>1.223636363636364</v>
      </c>
      <c r="F690">
        <v>0.1040118870728083</v>
      </c>
      <c r="G690">
        <v>-0.03956157905242119</v>
      </c>
      <c r="H690">
        <v>0.003</v>
      </c>
      <c r="I690">
        <v>0.0582347249351054</v>
      </c>
      <c r="J690" t="s">
        <v>778</v>
      </c>
      <c r="K690" t="s">
        <v>345</v>
      </c>
      <c r="L690">
        <v>1.38</v>
      </c>
      <c r="M690">
        <v>1.4</v>
      </c>
      <c r="N690">
        <v>1.014492753623188</v>
      </c>
      <c r="O690">
        <v>0</v>
      </c>
      <c r="P690">
        <v>-0.01471229526229867</v>
      </c>
      <c r="Q690">
        <v>0.289482003774561</v>
      </c>
      <c r="R690" t="s">
        <v>782</v>
      </c>
      <c r="S690" t="s">
        <v>794</v>
      </c>
      <c r="T690">
        <v>1882.974048</v>
      </c>
      <c r="U690" s="2">
        <v>44503</v>
      </c>
      <c r="V690" t="s">
        <v>805</v>
      </c>
    </row>
    <row r="691" spans="1:22">
      <c r="A691" s="1" t="s">
        <v>711</v>
      </c>
      <c r="B691">
        <f>HYPERLINK("https://www.suredividend.com/sure-analysis-GLPI/","Gaming and Leisure Properties Inc")</f>
        <v>0</v>
      </c>
      <c r="C691">
        <v>47.17</v>
      </c>
      <c r="D691">
        <v>49</v>
      </c>
      <c r="E691">
        <v>0.9626530612244898</v>
      </c>
      <c r="F691">
        <v>0.05681577273690906</v>
      </c>
      <c r="G691">
        <v>0.007641488448169698</v>
      </c>
      <c r="H691">
        <v>-0.001</v>
      </c>
      <c r="I691">
        <v>0.05794095724864357</v>
      </c>
      <c r="J691" t="s">
        <v>778</v>
      </c>
      <c r="K691" t="s">
        <v>345</v>
      </c>
      <c r="L691">
        <v>3.47</v>
      </c>
      <c r="M691">
        <v>2.68</v>
      </c>
      <c r="N691">
        <v>0.7723342939481268</v>
      </c>
      <c r="O691">
        <v>0</v>
      </c>
      <c r="P691">
        <v>0.008799010229586735</v>
      </c>
      <c r="Q691">
        <v>0.150474663578941</v>
      </c>
      <c r="R691" t="s">
        <v>782</v>
      </c>
      <c r="S691" t="s">
        <v>794</v>
      </c>
      <c r="T691">
        <v>11083.326522</v>
      </c>
      <c r="U691" s="2">
        <v>44506</v>
      </c>
      <c r="V691" t="s">
        <v>805</v>
      </c>
    </row>
    <row r="692" spans="1:22">
      <c r="A692" s="1" t="s">
        <v>712</v>
      </c>
      <c r="B692">
        <f>HYPERLINK("https://www.suredividend.com/sure-analysis-GSK/","Glaxosmithkline plc")</f>
        <v>0</v>
      </c>
      <c r="C692">
        <v>44.09</v>
      </c>
      <c r="D692">
        <v>40</v>
      </c>
      <c r="E692">
        <v>1.10225</v>
      </c>
      <c r="F692">
        <v>0.04989793603991835</v>
      </c>
      <c r="G692">
        <v>-0.0192823790823986</v>
      </c>
      <c r="H692">
        <v>0.03</v>
      </c>
      <c r="I692">
        <v>0.05782785413016622</v>
      </c>
      <c r="J692" t="s">
        <v>778</v>
      </c>
      <c r="K692" t="s">
        <v>345</v>
      </c>
      <c r="L692">
        <v>2.9</v>
      </c>
      <c r="M692">
        <v>2.2</v>
      </c>
      <c r="N692">
        <v>0.7586206896551725</v>
      </c>
      <c r="O692">
        <v>3</v>
      </c>
      <c r="P692">
        <v>0.02996744995959233</v>
      </c>
      <c r="Q692">
        <v>0.28083172107372</v>
      </c>
      <c r="R692" t="s">
        <v>780</v>
      </c>
      <c r="S692" t="s">
        <v>785</v>
      </c>
      <c r="T692">
        <v>110079.947125</v>
      </c>
      <c r="U692" s="2">
        <v>44496</v>
      </c>
      <c r="V692" t="s">
        <v>797</v>
      </c>
    </row>
    <row r="693" spans="1:22">
      <c r="A693" s="1" t="s">
        <v>713</v>
      </c>
      <c r="B693">
        <f>HYPERLINK("https://www.suredividend.com/sure-analysis-SACH/","Sachem Capital Corp")</f>
        <v>0</v>
      </c>
      <c r="C693">
        <v>6.2</v>
      </c>
      <c r="D693">
        <v>5.26</v>
      </c>
      <c r="E693">
        <v>1.178707224334601</v>
      </c>
      <c r="F693">
        <v>0.07741935483870967</v>
      </c>
      <c r="G693">
        <v>-0.0323488637116538</v>
      </c>
      <c r="H693">
        <v>0.02</v>
      </c>
      <c r="I693">
        <v>0.05770235237127563</v>
      </c>
      <c r="J693" t="s">
        <v>778</v>
      </c>
      <c r="K693" t="s">
        <v>345</v>
      </c>
      <c r="L693">
        <v>0.47</v>
      </c>
      <c r="M693">
        <v>0.48</v>
      </c>
      <c r="N693">
        <v>1.021276595744681</v>
      </c>
      <c r="O693">
        <v>0</v>
      </c>
      <c r="P693">
        <v>0</v>
      </c>
      <c r="Q693">
        <v>0.57960588051298</v>
      </c>
      <c r="R693" t="s">
        <v>782</v>
      </c>
      <c r="S693" t="s">
        <v>794</v>
      </c>
      <c r="T693">
        <v>178.425901</v>
      </c>
      <c r="U693" s="2">
        <v>44517</v>
      </c>
      <c r="V693" t="s">
        <v>796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12.345</v>
      </c>
      <c r="D694">
        <v>12.6</v>
      </c>
      <c r="E694">
        <v>0.9797619047619048</v>
      </c>
      <c r="F694">
        <v>0.03564196030781693</v>
      </c>
      <c r="G694">
        <v>0.004097510165239404</v>
      </c>
      <c r="H694">
        <v>0.02</v>
      </c>
      <c r="I694">
        <v>0.05662764236357054</v>
      </c>
      <c r="J694" t="s">
        <v>778</v>
      </c>
      <c r="K694" t="s">
        <v>523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-0.03659020557187</v>
      </c>
      <c r="R694" t="s">
        <v>780</v>
      </c>
      <c r="S694" t="s">
        <v>791</v>
      </c>
      <c r="T694">
        <v>41732.8716</v>
      </c>
      <c r="U694" s="2">
        <v>44490</v>
      </c>
      <c r="V694" t="s">
        <v>806</v>
      </c>
    </row>
    <row r="695" spans="1:22">
      <c r="A695" s="1" t="s">
        <v>715</v>
      </c>
      <c r="B695">
        <f>HYPERLINK("https://www.suredividend.com/sure-analysis-MAIN/","Main Street Capital Corporation")</f>
        <v>0</v>
      </c>
      <c r="C695">
        <v>44.42</v>
      </c>
      <c r="D695">
        <v>40</v>
      </c>
      <c r="E695">
        <v>1.1105</v>
      </c>
      <c r="F695">
        <v>0.05673120216118865</v>
      </c>
      <c r="G695">
        <v>-0.02074389576173596</v>
      </c>
      <c r="H695">
        <v>0.025</v>
      </c>
      <c r="I695">
        <v>0.05568438982111967</v>
      </c>
      <c r="J695" t="s">
        <v>778</v>
      </c>
      <c r="K695" t="s">
        <v>345</v>
      </c>
      <c r="L695">
        <v>2.55</v>
      </c>
      <c r="M695">
        <v>2.52</v>
      </c>
      <c r="N695">
        <v>0.9882352941176471</v>
      </c>
      <c r="O695">
        <v>6</v>
      </c>
      <c r="P695">
        <v>0.01011092110060052</v>
      </c>
      <c r="Q695">
        <v>0.508968071607394</v>
      </c>
      <c r="R695" t="s">
        <v>783</v>
      </c>
      <c r="S695" t="s">
        <v>789</v>
      </c>
      <c r="T695">
        <v>3061.660404</v>
      </c>
      <c r="U695" s="2">
        <v>44511</v>
      </c>
      <c r="V695" t="s">
        <v>795</v>
      </c>
    </row>
    <row r="696" spans="1:22">
      <c r="A696" s="1" t="s">
        <v>716</v>
      </c>
      <c r="B696">
        <f>HYPERLINK("https://www.suredividend.com/sure-analysis-SCM/","Stellus Capital Investment Corp")</f>
        <v>0</v>
      </c>
      <c r="C696">
        <v>13.09</v>
      </c>
      <c r="D696">
        <v>11</v>
      </c>
      <c r="E696">
        <v>1.19</v>
      </c>
      <c r="F696">
        <v>0.08556149732620322</v>
      </c>
      <c r="G696">
        <v>-0.03419242412111489</v>
      </c>
      <c r="H696">
        <v>0.01</v>
      </c>
      <c r="I696">
        <v>0.05565290825941949</v>
      </c>
      <c r="J696" t="s">
        <v>778</v>
      </c>
      <c r="K696" t="s">
        <v>345</v>
      </c>
      <c r="L696">
        <v>1.08</v>
      </c>
      <c r="M696">
        <v>1.12</v>
      </c>
      <c r="N696">
        <v>1.037037037037037</v>
      </c>
      <c r="O696">
        <v>0</v>
      </c>
      <c r="P696">
        <v>0</v>
      </c>
      <c r="Q696">
        <v>0.310127477322774</v>
      </c>
      <c r="R696" t="s">
        <v>783</v>
      </c>
      <c r="S696" t="s">
        <v>789</v>
      </c>
      <c r="T696">
        <v>252.733459</v>
      </c>
      <c r="U696" s="2">
        <v>44522</v>
      </c>
      <c r="V696" t="s">
        <v>802</v>
      </c>
    </row>
    <row r="697" spans="1:22">
      <c r="A697" s="1" t="s">
        <v>717</v>
      </c>
      <c r="B697">
        <f>HYPERLINK("https://www.suredividend.com/sure-analysis-STOR/","Store Capital Corp")</f>
        <v>0</v>
      </c>
      <c r="C697">
        <v>34.78</v>
      </c>
      <c r="D697">
        <v>30</v>
      </c>
      <c r="E697">
        <v>1.159333333333333</v>
      </c>
      <c r="F697">
        <v>0.04427832087406555</v>
      </c>
      <c r="G697">
        <v>-0.02913613898931566</v>
      </c>
      <c r="H697">
        <v>0.04</v>
      </c>
      <c r="I697">
        <v>0.05495918254302401</v>
      </c>
      <c r="J697" t="s">
        <v>778</v>
      </c>
      <c r="K697" t="s">
        <v>345</v>
      </c>
      <c r="L697">
        <v>1.99</v>
      </c>
      <c r="M697">
        <v>1.54</v>
      </c>
      <c r="N697">
        <v>0.7738693467336684</v>
      </c>
      <c r="O697">
        <v>8</v>
      </c>
      <c r="P697">
        <v>0.05048317528676538</v>
      </c>
      <c r="Q697">
        <v>0.07542508356343501</v>
      </c>
      <c r="R697" t="s">
        <v>782</v>
      </c>
      <c r="S697" t="s">
        <v>794</v>
      </c>
      <c r="T697">
        <v>9281.833342</v>
      </c>
      <c r="U697" s="2">
        <v>44530</v>
      </c>
      <c r="V697" t="s">
        <v>801</v>
      </c>
    </row>
    <row r="698" spans="1:22">
      <c r="A698" s="1" t="s">
        <v>718</v>
      </c>
      <c r="B698">
        <f>HYPERLINK("https://www.suredividend.com/sure-analysis-CIM/","Chimera Investment Corp")</f>
        <v>0</v>
      </c>
      <c r="C698">
        <v>15.55</v>
      </c>
      <c r="D698">
        <v>12</v>
      </c>
      <c r="E698">
        <v>1.295833333333333</v>
      </c>
      <c r="F698">
        <v>0.08488745980707396</v>
      </c>
      <c r="G698">
        <v>-0.05051049100329286</v>
      </c>
      <c r="H698">
        <v>0.02</v>
      </c>
      <c r="I698">
        <v>0.05437734487352097</v>
      </c>
      <c r="J698" t="s">
        <v>778</v>
      </c>
      <c r="K698" t="s">
        <v>345</v>
      </c>
      <c r="L698">
        <v>1.5</v>
      </c>
      <c r="M698">
        <v>1.32</v>
      </c>
      <c r="N698">
        <v>0.88</v>
      </c>
      <c r="O698">
        <v>1</v>
      </c>
      <c r="P698">
        <v>0.02036554426441151</v>
      </c>
      <c r="Q698">
        <v>0.60325213369422</v>
      </c>
      <c r="R698" t="s">
        <v>780</v>
      </c>
      <c r="S698" t="s">
        <v>794</v>
      </c>
      <c r="T698">
        <v>3662.237601</v>
      </c>
      <c r="U698" s="2">
        <v>44515</v>
      </c>
      <c r="V698" t="s">
        <v>803</v>
      </c>
    </row>
    <row r="699" spans="1:22">
      <c r="A699" s="1" t="s">
        <v>719</v>
      </c>
      <c r="B699">
        <f>HYPERLINK("https://www.suredividend.com/sure-analysis-CRT/","Cross Timbers Royalty Trust")</f>
        <v>0</v>
      </c>
      <c r="C699">
        <v>11.94</v>
      </c>
      <c r="D699">
        <v>9.9</v>
      </c>
      <c r="E699">
        <v>1.206060606060606</v>
      </c>
      <c r="F699">
        <v>0.09212730318257957</v>
      </c>
      <c r="G699">
        <v>-0.03677848739783973</v>
      </c>
      <c r="H699">
        <v>0</v>
      </c>
      <c r="I699">
        <v>0.05221206877844087</v>
      </c>
      <c r="J699" t="s">
        <v>778</v>
      </c>
      <c r="K699" t="s">
        <v>345</v>
      </c>
      <c r="L699">
        <v>1.1</v>
      </c>
      <c r="M699">
        <v>1.1</v>
      </c>
      <c r="N699">
        <v>1</v>
      </c>
      <c r="O699">
        <v>0</v>
      </c>
      <c r="P699">
        <v>0</v>
      </c>
      <c r="Q699">
        <v>0.498282142026814</v>
      </c>
      <c r="R699" t="s">
        <v>780</v>
      </c>
      <c r="S699" t="s">
        <v>793</v>
      </c>
      <c r="T699">
        <v>69.59999999999999</v>
      </c>
      <c r="U699" s="2">
        <v>44519</v>
      </c>
      <c r="V699" t="s">
        <v>803</v>
      </c>
    </row>
    <row r="700" spans="1:22">
      <c r="A700" s="1" t="s">
        <v>720</v>
      </c>
      <c r="B700">
        <f>HYPERLINK("https://www.suredividend.com/sure-analysis-ARCC/","Ares Capital Corp")</f>
        <v>0</v>
      </c>
      <c r="C700">
        <v>20.77</v>
      </c>
      <c r="D700">
        <v>16.4</v>
      </c>
      <c r="E700">
        <v>1.266463414634146</v>
      </c>
      <c r="F700">
        <v>0.07896003851709196</v>
      </c>
      <c r="G700">
        <v>-0.04614695531639779</v>
      </c>
      <c r="H700">
        <v>0.019</v>
      </c>
      <c r="I700">
        <v>0.05191390240704763</v>
      </c>
      <c r="J700" t="s">
        <v>778</v>
      </c>
      <c r="K700" t="s">
        <v>345</v>
      </c>
      <c r="L700">
        <v>1.82</v>
      </c>
      <c r="M700">
        <v>1.64</v>
      </c>
      <c r="N700">
        <v>0.901098901098901</v>
      </c>
      <c r="O700">
        <v>4</v>
      </c>
      <c r="P700">
        <v>0.02104646949148603</v>
      </c>
      <c r="Q700">
        <v>0.370126340629184</v>
      </c>
      <c r="R700" t="s">
        <v>783</v>
      </c>
      <c r="S700" t="s">
        <v>789</v>
      </c>
      <c r="T700">
        <v>9523.783919</v>
      </c>
      <c r="U700" s="2">
        <v>44496</v>
      </c>
      <c r="V700" t="s">
        <v>805</v>
      </c>
    </row>
    <row r="701" spans="1:22">
      <c r="A701" s="1" t="s">
        <v>721</v>
      </c>
      <c r="B701">
        <f>HYPERLINK("https://www.suredividend.com/sure-analysis-NEM/","Newmont Corp")</f>
        <v>0</v>
      </c>
      <c r="C701">
        <v>60.18</v>
      </c>
      <c r="D701">
        <v>56</v>
      </c>
      <c r="E701">
        <v>1.074642857142857</v>
      </c>
      <c r="F701">
        <v>0.03655699567962779</v>
      </c>
      <c r="G701">
        <v>-0.01429452519271079</v>
      </c>
      <c r="H701">
        <v>0.03</v>
      </c>
      <c r="I701">
        <v>0.05140392937093829</v>
      </c>
      <c r="J701" t="s">
        <v>778</v>
      </c>
      <c r="K701" t="s">
        <v>523</v>
      </c>
      <c r="L701">
        <v>3.1</v>
      </c>
      <c r="M701">
        <v>2.2</v>
      </c>
      <c r="N701">
        <v>0.7096774193548387</v>
      </c>
      <c r="O701">
        <v>6</v>
      </c>
      <c r="P701">
        <v>0.04026125343417397</v>
      </c>
      <c r="Q701">
        <v>0.020861378583004</v>
      </c>
      <c r="R701" t="s">
        <v>780</v>
      </c>
      <c r="S701" t="s">
        <v>790</v>
      </c>
      <c r="T701">
        <v>47471.323647</v>
      </c>
      <c r="U701" s="2">
        <v>44502</v>
      </c>
      <c r="V701" t="s">
        <v>798</v>
      </c>
    </row>
    <row r="702" spans="1:22">
      <c r="A702" s="1" t="s">
        <v>722</v>
      </c>
      <c r="B702">
        <f>HYPERLINK("https://www.suredividend.com/sure-analysis-GMRE/","Global Medical REIT Inc")</f>
        <v>0</v>
      </c>
      <c r="C702">
        <v>17.45</v>
      </c>
      <c r="D702">
        <v>14.25</v>
      </c>
      <c r="E702">
        <v>1.224561403508772</v>
      </c>
      <c r="F702">
        <v>0.04699140401146132</v>
      </c>
      <c r="G702">
        <v>-0.03970672692455679</v>
      </c>
      <c r="H702">
        <v>0.05</v>
      </c>
      <c r="I702">
        <v>0.0512711594872719</v>
      </c>
      <c r="J702" t="s">
        <v>778</v>
      </c>
      <c r="K702" t="s">
        <v>523</v>
      </c>
      <c r="L702">
        <v>0.95</v>
      </c>
      <c r="M702">
        <v>0.82</v>
      </c>
      <c r="N702">
        <v>0.8631578947368421</v>
      </c>
      <c r="O702">
        <v>1</v>
      </c>
      <c r="P702">
        <v>0.009571122817161548</v>
      </c>
      <c r="Q702">
        <v>0.351404593987628</v>
      </c>
      <c r="R702" t="s">
        <v>782</v>
      </c>
      <c r="S702" t="s">
        <v>794</v>
      </c>
      <c r="T702">
        <v>1101.165879</v>
      </c>
      <c r="U702" s="2">
        <v>44504</v>
      </c>
      <c r="V702" t="s">
        <v>796</v>
      </c>
    </row>
    <row r="703" spans="1:22">
      <c r="A703" s="1" t="s">
        <v>723</v>
      </c>
      <c r="B703">
        <f>HYPERLINK("https://www.suredividend.com/sure-analysis-PBA/","Pembina Pipeline Corporation")</f>
        <v>0</v>
      </c>
      <c r="C703">
        <v>30.6</v>
      </c>
      <c r="D703">
        <v>24</v>
      </c>
      <c r="E703">
        <v>1.275</v>
      </c>
      <c r="F703">
        <v>0.06535947712418301</v>
      </c>
      <c r="G703">
        <v>-0.04742766796683173</v>
      </c>
      <c r="H703">
        <v>0.04</v>
      </c>
      <c r="I703">
        <v>0.05078096315549319</v>
      </c>
      <c r="J703" t="s">
        <v>778</v>
      </c>
      <c r="K703" t="s">
        <v>345</v>
      </c>
      <c r="L703">
        <v>2</v>
      </c>
      <c r="M703">
        <v>2</v>
      </c>
      <c r="N703">
        <v>1</v>
      </c>
      <c r="O703">
        <v>5</v>
      </c>
      <c r="P703">
        <v>0</v>
      </c>
      <c r="Q703">
        <v>0.337669318903742</v>
      </c>
      <c r="R703" t="s">
        <v>780</v>
      </c>
      <c r="S703" t="s">
        <v>793</v>
      </c>
      <c r="T703">
        <v>16571.509089</v>
      </c>
      <c r="U703" s="2">
        <v>44512</v>
      </c>
      <c r="V703" t="s">
        <v>803</v>
      </c>
    </row>
    <row r="704" spans="1:22">
      <c r="A704" s="1" t="s">
        <v>724</v>
      </c>
      <c r="B704">
        <f>HYPERLINK("https://www.suredividend.com/sure-analysis-SJT/","San Juan Basin Royalty Trust")</f>
        <v>0</v>
      </c>
      <c r="C704">
        <v>6.12</v>
      </c>
      <c r="D704">
        <v>4.8</v>
      </c>
      <c r="E704">
        <v>1.275</v>
      </c>
      <c r="F704">
        <v>0.09803921568627451</v>
      </c>
      <c r="G704">
        <v>-0.04742766796683173</v>
      </c>
      <c r="H704">
        <v>0</v>
      </c>
      <c r="I704">
        <v>0.04970831195077574</v>
      </c>
      <c r="J704" t="s">
        <v>778</v>
      </c>
      <c r="K704" t="s">
        <v>345</v>
      </c>
      <c r="L704">
        <v>0.6</v>
      </c>
      <c r="M704">
        <v>0.6</v>
      </c>
      <c r="N704">
        <v>1</v>
      </c>
      <c r="O704">
        <v>1</v>
      </c>
      <c r="P704">
        <v>0</v>
      </c>
      <c r="Q704">
        <v>1.323638244539052</v>
      </c>
      <c r="R704" t="s">
        <v>780</v>
      </c>
      <c r="S704" t="s">
        <v>793</v>
      </c>
      <c r="T704">
        <v>272.195369</v>
      </c>
      <c r="U704" s="2">
        <v>44519</v>
      </c>
      <c r="V704" t="s">
        <v>803</v>
      </c>
    </row>
    <row r="705" spans="1:22">
      <c r="A705" s="1" t="s">
        <v>725</v>
      </c>
      <c r="B705">
        <f>HYPERLINK("https://www.suredividend.com/sure-analysis-GWRS/","Global Water Resources Inc")</f>
        <v>0</v>
      </c>
      <c r="C705">
        <v>16.96</v>
      </c>
      <c r="D705">
        <v>15</v>
      </c>
      <c r="E705">
        <v>1.130666666666667</v>
      </c>
      <c r="F705">
        <v>0.01709905660377358</v>
      </c>
      <c r="G705">
        <v>-0.02426230698970866</v>
      </c>
      <c r="H705">
        <v>0.06</v>
      </c>
      <c r="I705">
        <v>0.04967447451225149</v>
      </c>
      <c r="J705" t="s">
        <v>778</v>
      </c>
      <c r="K705" t="s">
        <v>778</v>
      </c>
      <c r="L705">
        <v>0.4</v>
      </c>
      <c r="M705">
        <v>0.29</v>
      </c>
      <c r="N705">
        <v>0.7249999999999999</v>
      </c>
      <c r="O705">
        <v>6</v>
      </c>
      <c r="P705">
        <v>0.01988310171094443</v>
      </c>
      <c r="Q705">
        <v>0.187757923623185</v>
      </c>
      <c r="R705" t="s">
        <v>780</v>
      </c>
      <c r="S705" t="s">
        <v>792</v>
      </c>
      <c r="T705">
        <v>385.262654</v>
      </c>
      <c r="U705" s="2">
        <v>44513</v>
      </c>
      <c r="V705" t="s">
        <v>796</v>
      </c>
    </row>
    <row r="706" spans="1:22">
      <c r="A706" s="1" t="s">
        <v>726</v>
      </c>
      <c r="B706">
        <f>HYPERLINK("https://www.suredividend.com/sure-analysis-BX/","Blackstone Inc")</f>
        <v>0</v>
      </c>
      <c r="C706">
        <v>135.1</v>
      </c>
      <c r="D706">
        <v>92</v>
      </c>
      <c r="E706">
        <v>1.468478260869565</v>
      </c>
      <c r="F706">
        <v>0.03227239082161362</v>
      </c>
      <c r="G706">
        <v>-0.07396693125270104</v>
      </c>
      <c r="H706">
        <v>0.1</v>
      </c>
      <c r="I706">
        <v>0.04947668463484778</v>
      </c>
      <c r="J706" t="s">
        <v>778</v>
      </c>
      <c r="K706" t="s">
        <v>523</v>
      </c>
      <c r="L706">
        <v>4.6</v>
      </c>
      <c r="M706">
        <v>4.36</v>
      </c>
      <c r="N706">
        <v>0.9478260869565219</v>
      </c>
      <c r="O706">
        <v>0</v>
      </c>
      <c r="P706">
        <v>0.02981918386499416</v>
      </c>
      <c r="Q706">
        <v>1.154866246653971</v>
      </c>
      <c r="R706" t="s">
        <v>780</v>
      </c>
      <c r="S706" t="s">
        <v>789</v>
      </c>
      <c r="T706">
        <v>92727.694755</v>
      </c>
      <c r="U706" s="2">
        <v>44494</v>
      </c>
      <c r="V706" t="s">
        <v>796</v>
      </c>
    </row>
    <row r="707" spans="1:22">
      <c r="A707" s="1" t="s">
        <v>727</v>
      </c>
      <c r="B707">
        <f>HYPERLINK("https://www.suredividend.com/sure-analysis-HTA/","Healthcare Trust of America Inc")</f>
        <v>0</v>
      </c>
      <c r="C707">
        <v>33.53</v>
      </c>
      <c r="D707">
        <v>31</v>
      </c>
      <c r="E707">
        <v>1.081612903225806</v>
      </c>
      <c r="F707">
        <v>0.03847300924545183</v>
      </c>
      <c r="G707">
        <v>-0.01556821393274987</v>
      </c>
      <c r="H707">
        <v>0.03</v>
      </c>
      <c r="I707">
        <v>0.04946352676088583</v>
      </c>
      <c r="J707" t="s">
        <v>778</v>
      </c>
      <c r="K707" t="s">
        <v>523</v>
      </c>
      <c r="L707">
        <v>1.76</v>
      </c>
      <c r="M707">
        <v>1.29</v>
      </c>
      <c r="N707">
        <v>0.7329545454545455</v>
      </c>
      <c r="O707">
        <v>8</v>
      </c>
      <c r="P707">
        <v>0.01504434962783696</v>
      </c>
      <c r="Q707">
        <v>0.267337752181154</v>
      </c>
      <c r="R707" t="s">
        <v>782</v>
      </c>
      <c r="S707" t="s">
        <v>794</v>
      </c>
      <c r="T707">
        <v>7342.866892</v>
      </c>
      <c r="U707" s="2">
        <v>44526</v>
      </c>
      <c r="V707" t="s">
        <v>799</v>
      </c>
    </row>
    <row r="708" spans="1:22">
      <c r="A708" s="1" t="s">
        <v>728</v>
      </c>
      <c r="B708">
        <f>HYPERLINK("https://www.suredividend.com/sure-analysis-HTGC/","Hercules Capital Inc")</f>
        <v>0</v>
      </c>
      <c r="C708">
        <v>16.57</v>
      </c>
      <c r="D708">
        <v>13.7</v>
      </c>
      <c r="E708">
        <v>1.209489051094891</v>
      </c>
      <c r="F708">
        <v>0.07966203983101992</v>
      </c>
      <c r="G708">
        <v>-0.03732518151772246</v>
      </c>
      <c r="H708">
        <v>0.001</v>
      </c>
      <c r="I708">
        <v>0.04605574467146201</v>
      </c>
      <c r="J708" t="s">
        <v>778</v>
      </c>
      <c r="K708" t="s">
        <v>345</v>
      </c>
      <c r="L708">
        <v>1.28</v>
      </c>
      <c r="M708">
        <v>1.32</v>
      </c>
      <c r="N708">
        <v>1.03125</v>
      </c>
      <c r="O708">
        <v>0</v>
      </c>
      <c r="P708">
        <v>0.01896393794917839</v>
      </c>
      <c r="Q708">
        <v>0.241292147510645</v>
      </c>
      <c r="R708" t="s">
        <v>783</v>
      </c>
      <c r="S708" t="s">
        <v>789</v>
      </c>
      <c r="T708">
        <v>1912.340463</v>
      </c>
      <c r="U708" s="2">
        <v>44506</v>
      </c>
      <c r="V708" t="s">
        <v>805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4.14</v>
      </c>
      <c r="D709">
        <v>3.4</v>
      </c>
      <c r="E709">
        <v>1.217647058823529</v>
      </c>
      <c r="F709">
        <v>0.1014492753623188</v>
      </c>
      <c r="G709">
        <v>-0.03861860071878265</v>
      </c>
      <c r="H709">
        <v>0</v>
      </c>
      <c r="I709">
        <v>0.04489732957556347</v>
      </c>
      <c r="J709" t="s">
        <v>778</v>
      </c>
      <c r="K709" t="s">
        <v>345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0.466465387103731</v>
      </c>
      <c r="R709" t="s">
        <v>783</v>
      </c>
      <c r="S709" t="s">
        <v>789</v>
      </c>
      <c r="T709">
        <v>202.593522</v>
      </c>
      <c r="U709" s="2">
        <v>44502</v>
      </c>
      <c r="V709" t="s">
        <v>796</v>
      </c>
    </row>
    <row r="710" spans="1:22">
      <c r="A710" s="1" t="s">
        <v>730</v>
      </c>
      <c r="B710">
        <f>HYPERLINK("https://www.suredividend.com/sure-analysis-MNR/","Monmouth Real Estate Investment Corp.")</f>
        <v>0</v>
      </c>
      <c r="C710">
        <v>21.04</v>
      </c>
      <c r="D710">
        <v>19.11</v>
      </c>
      <c r="E710">
        <v>1.100994243851387</v>
      </c>
      <c r="F710">
        <v>0.03422053231939164</v>
      </c>
      <c r="G710">
        <v>-0.01905876652279825</v>
      </c>
      <c r="H710">
        <v>0.03</v>
      </c>
      <c r="I710">
        <v>0.04293098774506454</v>
      </c>
      <c r="J710" t="s">
        <v>778</v>
      </c>
      <c r="K710" t="s">
        <v>523</v>
      </c>
      <c r="L710">
        <v>0.91</v>
      </c>
      <c r="M710">
        <v>0.72</v>
      </c>
      <c r="N710">
        <v>0.7912087912087912</v>
      </c>
      <c r="O710">
        <v>1</v>
      </c>
      <c r="P710">
        <v>0.01872958559274807</v>
      </c>
      <c r="Q710">
        <v>0.251365044128967</v>
      </c>
      <c r="R710" t="s">
        <v>782</v>
      </c>
      <c r="S710" t="s">
        <v>794</v>
      </c>
      <c r="T710">
        <v>2062.177554</v>
      </c>
      <c r="U710" s="2">
        <v>44520</v>
      </c>
      <c r="V710" t="s">
        <v>796</v>
      </c>
    </row>
    <row r="711" spans="1:22">
      <c r="A711" s="1" t="s">
        <v>731</v>
      </c>
      <c r="B711">
        <f>HYPERLINK("https://www.suredividend.com/sure-analysis-NSA/","National Storage Affiliates Trust")</f>
        <v>0</v>
      </c>
      <c r="C711">
        <v>67.88</v>
      </c>
      <c r="D711">
        <v>49</v>
      </c>
      <c r="E711">
        <v>1.38530612244898</v>
      </c>
      <c r="F711">
        <v>0.02651738361814968</v>
      </c>
      <c r="G711">
        <v>-0.06310515520881621</v>
      </c>
      <c r="H711">
        <v>0.08</v>
      </c>
      <c r="I711">
        <v>0.04119097873023514</v>
      </c>
      <c r="J711" t="s">
        <v>778</v>
      </c>
      <c r="K711" t="s">
        <v>778</v>
      </c>
      <c r="L711">
        <v>2.21</v>
      </c>
      <c r="M711">
        <v>1.8</v>
      </c>
      <c r="N711">
        <v>0.8144796380090498</v>
      </c>
      <c r="O711">
        <v>6</v>
      </c>
      <c r="P711">
        <v>0.06961037572506878</v>
      </c>
      <c r="Q711">
        <v>0.9344886248954761</v>
      </c>
      <c r="R711" t="s">
        <v>782</v>
      </c>
      <c r="S711" t="s">
        <v>794</v>
      </c>
      <c r="T711">
        <v>5975.610428</v>
      </c>
      <c r="U711" s="2">
        <v>44505</v>
      </c>
      <c r="V711" t="s">
        <v>796</v>
      </c>
    </row>
    <row r="712" spans="1:22">
      <c r="A712" s="1" t="s">
        <v>732</v>
      </c>
      <c r="B712">
        <f>HYPERLINK("https://www.suredividend.com/sure-analysis-BGS/","B&amp;G Foods, Inc")</f>
        <v>0</v>
      </c>
      <c r="C712">
        <v>31.58</v>
      </c>
      <c r="D712">
        <v>25</v>
      </c>
      <c r="E712">
        <v>1.2632</v>
      </c>
      <c r="F712">
        <v>0.06016466117796074</v>
      </c>
      <c r="G712">
        <v>-0.04565461740671439</v>
      </c>
      <c r="H712">
        <v>0.03</v>
      </c>
      <c r="I712">
        <v>0.04032435902065723</v>
      </c>
      <c r="J712" t="s">
        <v>778</v>
      </c>
      <c r="K712" t="s">
        <v>523</v>
      </c>
      <c r="L712">
        <v>1.9</v>
      </c>
      <c r="M712">
        <v>1.9</v>
      </c>
      <c r="N712">
        <v>1</v>
      </c>
      <c r="O712">
        <v>0</v>
      </c>
      <c r="P712">
        <v>0</v>
      </c>
      <c r="Q712">
        <v>0.08832016058211001</v>
      </c>
      <c r="R712" t="s">
        <v>780</v>
      </c>
      <c r="S712" t="s">
        <v>791</v>
      </c>
      <c r="T712">
        <v>2026.730468</v>
      </c>
      <c r="U712" s="2">
        <v>44511</v>
      </c>
      <c r="V712" t="s">
        <v>800</v>
      </c>
    </row>
    <row r="713" spans="1:22">
      <c r="A713" s="1" t="s">
        <v>733</v>
      </c>
      <c r="B713">
        <f>HYPERLINK("https://www.suredividend.com/sure-analysis-CODI/","Compass Diversified Holdings")</f>
        <v>0</v>
      </c>
      <c r="C713">
        <v>29.93</v>
      </c>
      <c r="D713">
        <v>24</v>
      </c>
      <c r="E713">
        <v>1.247083333333333</v>
      </c>
      <c r="F713">
        <v>0.04811226194453725</v>
      </c>
      <c r="G713">
        <v>-0.04320057648863029</v>
      </c>
      <c r="H713">
        <v>0.04</v>
      </c>
      <c r="I713">
        <v>0.03991572423380907</v>
      </c>
      <c r="J713" t="s">
        <v>778</v>
      </c>
      <c r="K713" t="s">
        <v>345</v>
      </c>
      <c r="L713">
        <v>2.4</v>
      </c>
      <c r="M713">
        <v>1.44</v>
      </c>
      <c r="N713">
        <v>0.6</v>
      </c>
      <c r="O713">
        <v>0</v>
      </c>
      <c r="P713">
        <v>0</v>
      </c>
      <c r="Q713">
        <v>0.6508568441889171</v>
      </c>
      <c r="R713" t="s">
        <v>780</v>
      </c>
      <c r="S713" t="s">
        <v>786</v>
      </c>
      <c r="T713">
        <v>1958.076135</v>
      </c>
      <c r="U713" s="2">
        <v>44504</v>
      </c>
      <c r="V713" t="s">
        <v>798</v>
      </c>
    </row>
    <row r="714" spans="1:22">
      <c r="A714" s="1" t="s">
        <v>734</v>
      </c>
      <c r="B714">
        <f>HYPERLINK("https://www.suredividend.com/sure-analysis-PRT/","PermRock Royalty Trust")</f>
        <v>0</v>
      </c>
      <c r="C714">
        <v>7</v>
      </c>
      <c r="D714">
        <v>4.13</v>
      </c>
      <c r="E714">
        <v>1.694915254237288</v>
      </c>
      <c r="F714">
        <v>0.07857142857142858</v>
      </c>
      <c r="G714">
        <v>-0.1001494170783752</v>
      </c>
      <c r="H714">
        <v>0.05</v>
      </c>
      <c r="I714">
        <v>0.0385309012222097</v>
      </c>
      <c r="J714" t="s">
        <v>778</v>
      </c>
      <c r="K714" t="s">
        <v>345</v>
      </c>
      <c r="L714">
        <v>0.55</v>
      </c>
      <c r="M714">
        <v>0.55</v>
      </c>
      <c r="N714">
        <v>1</v>
      </c>
      <c r="O714">
        <v>0</v>
      </c>
      <c r="P714">
        <v>0.04941452284458392</v>
      </c>
      <c r="Q714">
        <v>1.316312974759001</v>
      </c>
      <c r="R714" t="s">
        <v>780</v>
      </c>
      <c r="S714" t="s">
        <v>793</v>
      </c>
      <c r="T714">
        <v>82.726978</v>
      </c>
      <c r="U714" s="2">
        <v>44516</v>
      </c>
      <c r="V714" t="s">
        <v>795</v>
      </c>
    </row>
    <row r="715" spans="1:22">
      <c r="A715" s="1" t="s">
        <v>735</v>
      </c>
      <c r="B715">
        <f>HYPERLINK("https://www.suredividend.com/sure-analysis-XRX/","Xerox Holdings Corp")</f>
        <v>0</v>
      </c>
      <c r="C715">
        <v>22.72</v>
      </c>
      <c r="D715">
        <v>16</v>
      </c>
      <c r="E715">
        <v>1.42</v>
      </c>
      <c r="F715">
        <v>0.04401408450704226</v>
      </c>
      <c r="G715">
        <v>-0.0677286646547306</v>
      </c>
      <c r="H715">
        <v>0.07000000000000001</v>
      </c>
      <c r="I715">
        <v>0.03847913685945681</v>
      </c>
      <c r="J715" t="s">
        <v>778</v>
      </c>
      <c r="K715" t="s">
        <v>345</v>
      </c>
      <c r="L715">
        <v>1.6</v>
      </c>
      <c r="M715">
        <v>1</v>
      </c>
      <c r="N715">
        <v>0.625</v>
      </c>
      <c r="O715">
        <v>0</v>
      </c>
      <c r="P715">
        <v>0</v>
      </c>
      <c r="Q715">
        <v>0.03875072296124901</v>
      </c>
      <c r="R715" t="s">
        <v>780</v>
      </c>
      <c r="S715" t="s">
        <v>787</v>
      </c>
      <c r="T715">
        <v>4007.595657</v>
      </c>
      <c r="U715" s="2">
        <v>44512</v>
      </c>
      <c r="V715" t="s">
        <v>802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41.44</v>
      </c>
      <c r="D716">
        <v>32</v>
      </c>
      <c r="E716">
        <v>1.295</v>
      </c>
      <c r="F716">
        <v>0.07601351351351351</v>
      </c>
      <c r="G716">
        <v>-0.0503883230233092</v>
      </c>
      <c r="H716">
        <v>0.01</v>
      </c>
      <c r="I716">
        <v>0.03768377472956042</v>
      </c>
      <c r="J716" t="s">
        <v>778</v>
      </c>
      <c r="K716" t="s">
        <v>345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0.5393371402553541</v>
      </c>
      <c r="R716" t="s">
        <v>780</v>
      </c>
      <c r="S716" t="s">
        <v>793</v>
      </c>
      <c r="T716">
        <v>591.484027</v>
      </c>
      <c r="U716" s="2">
        <v>44519</v>
      </c>
      <c r="V716" t="s">
        <v>803</v>
      </c>
    </row>
    <row r="717" spans="1:22">
      <c r="A717" s="1" t="s">
        <v>737</v>
      </c>
      <c r="B717">
        <f>HYPERLINK("https://www.suredividend.com/sure-analysis-GOOD/","Gladstone Commercial Corp")</f>
        <v>0</v>
      </c>
      <c r="C717">
        <v>24.82</v>
      </c>
      <c r="D717">
        <v>19</v>
      </c>
      <c r="E717">
        <v>1.306315789473684</v>
      </c>
      <c r="F717">
        <v>0.0604351329572925</v>
      </c>
      <c r="G717">
        <v>-0.05203923064660043</v>
      </c>
      <c r="H717">
        <v>0.03</v>
      </c>
      <c r="I717">
        <v>0.03533567230568169</v>
      </c>
      <c r="J717" t="s">
        <v>778</v>
      </c>
      <c r="K717" t="s">
        <v>345</v>
      </c>
      <c r="L717">
        <v>1.56</v>
      </c>
      <c r="M717">
        <v>1.5</v>
      </c>
      <c r="N717">
        <v>0.9615384615384615</v>
      </c>
      <c r="O717">
        <v>0</v>
      </c>
      <c r="P717">
        <v>0</v>
      </c>
      <c r="Q717">
        <v>0.466052617395001</v>
      </c>
      <c r="R717" t="s">
        <v>782</v>
      </c>
      <c r="S717" t="s">
        <v>794</v>
      </c>
      <c r="T717">
        <v>912.330824</v>
      </c>
      <c r="U717" s="2">
        <v>44526</v>
      </c>
      <c r="V717" t="s">
        <v>802</v>
      </c>
    </row>
    <row r="718" spans="1:22">
      <c r="A718" s="1" t="s">
        <v>738</v>
      </c>
      <c r="B718">
        <f>HYPERLINK("https://www.suredividend.com/sure-analysis-IRT/","Independence Realty Trust Inc")</f>
        <v>0</v>
      </c>
      <c r="C718">
        <v>23.73</v>
      </c>
      <c r="D718">
        <v>18.7</v>
      </c>
      <c r="E718">
        <v>1.268983957219251</v>
      </c>
      <c r="F718">
        <v>0.0202275600505689</v>
      </c>
      <c r="G718">
        <v>-0.04652617834142025</v>
      </c>
      <c r="H718">
        <v>0.059</v>
      </c>
      <c r="I718">
        <v>0.03513298774299423</v>
      </c>
      <c r="J718" t="s">
        <v>778</v>
      </c>
      <c r="K718" t="s">
        <v>778</v>
      </c>
      <c r="L718">
        <v>0.79</v>
      </c>
      <c r="M718">
        <v>0.48</v>
      </c>
      <c r="N718">
        <v>0.6075949367088607</v>
      </c>
      <c r="O718">
        <v>0</v>
      </c>
      <c r="P718">
        <v>0.1075663432482901</v>
      </c>
      <c r="Q718">
        <v>0.7857954976123701</v>
      </c>
      <c r="R718" t="s">
        <v>782</v>
      </c>
      <c r="S718" t="s">
        <v>794</v>
      </c>
      <c r="T718">
        <v>2476.437377</v>
      </c>
      <c r="U718" s="2">
        <v>44503</v>
      </c>
      <c r="V718" t="s">
        <v>805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31.62</v>
      </c>
      <c r="D719">
        <v>24.3</v>
      </c>
      <c r="E719">
        <v>1.301234567901234</v>
      </c>
      <c r="F719">
        <v>0.07843137254901961</v>
      </c>
      <c r="G719">
        <v>-0.05130004146166012</v>
      </c>
      <c r="H719">
        <v>0.004</v>
      </c>
      <c r="I719">
        <v>0.03298172286223955</v>
      </c>
      <c r="J719" t="s">
        <v>778</v>
      </c>
      <c r="K719" t="s">
        <v>345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0.200309806599796</v>
      </c>
      <c r="R719" t="s">
        <v>782</v>
      </c>
      <c r="S719" t="s">
        <v>794</v>
      </c>
      <c r="T719">
        <v>5265.707224</v>
      </c>
      <c r="U719" s="2">
        <v>44503</v>
      </c>
      <c r="V719" t="s">
        <v>805</v>
      </c>
    </row>
    <row r="720" spans="1:22">
      <c r="A720" s="1" t="s">
        <v>740</v>
      </c>
      <c r="B720">
        <f>HYPERLINK("https://www.suredividend.com/sure-analysis-BCE/","BCE Inc")</f>
        <v>0</v>
      </c>
      <c r="C720">
        <v>51.76</v>
      </c>
      <c r="D720">
        <v>40</v>
      </c>
      <c r="E720">
        <v>1.294</v>
      </c>
      <c r="F720">
        <v>0.05428902627511592</v>
      </c>
      <c r="G720">
        <v>-0.05024159686102314</v>
      </c>
      <c r="H720">
        <v>0.03</v>
      </c>
      <c r="I720">
        <v>0.03214105391910183</v>
      </c>
      <c r="J720" t="s">
        <v>778</v>
      </c>
      <c r="K720" t="s">
        <v>523</v>
      </c>
      <c r="L720">
        <v>2.56</v>
      </c>
      <c r="M720">
        <v>2.81</v>
      </c>
      <c r="N720">
        <v>1.09765625</v>
      </c>
      <c r="O720">
        <v>12</v>
      </c>
      <c r="P720">
        <v>0.00493329096672368</v>
      </c>
      <c r="Q720">
        <v>0.269092042570245</v>
      </c>
      <c r="R720" t="s">
        <v>780</v>
      </c>
      <c r="S720" t="s">
        <v>784</v>
      </c>
      <c r="T720">
        <v>46623.990739</v>
      </c>
      <c r="U720" s="2">
        <v>44517</v>
      </c>
      <c r="V720" t="s">
        <v>804</v>
      </c>
    </row>
    <row r="721" spans="1:22">
      <c r="A721" s="1" t="s">
        <v>741</v>
      </c>
      <c r="B721">
        <f>HYPERLINK("https://www.suredividend.com/sure-analysis-PSEC/","Prospect Capital Corp")</f>
        <v>0</v>
      </c>
      <c r="C721">
        <v>8.56</v>
      </c>
      <c r="D721">
        <v>6.3</v>
      </c>
      <c r="E721">
        <v>1.358730158730159</v>
      </c>
      <c r="F721">
        <v>0.08411214953271028</v>
      </c>
      <c r="G721">
        <v>-0.05946847495578578</v>
      </c>
      <c r="H721">
        <v>0</v>
      </c>
      <c r="I721">
        <v>0.02951406915219956</v>
      </c>
      <c r="J721" t="s">
        <v>778</v>
      </c>
      <c r="K721" t="s">
        <v>345</v>
      </c>
      <c r="L721">
        <v>0.74</v>
      </c>
      <c r="M721">
        <v>0.72</v>
      </c>
      <c r="N721">
        <v>0.9729729729729729</v>
      </c>
      <c r="O721">
        <v>0</v>
      </c>
      <c r="P721">
        <v>0</v>
      </c>
      <c r="Q721">
        <v>0.694744883599372</v>
      </c>
      <c r="R721" t="s">
        <v>783</v>
      </c>
      <c r="S721" t="s">
        <v>789</v>
      </c>
      <c r="T721">
        <v>3286.574595</v>
      </c>
      <c r="U721" s="2">
        <v>44541</v>
      </c>
      <c r="V721" t="s">
        <v>802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8.300000000000001</v>
      </c>
      <c r="D722">
        <v>7</v>
      </c>
      <c r="E722">
        <v>1.185714285714286</v>
      </c>
      <c r="F722">
        <v>0.03253012048192771</v>
      </c>
      <c r="G722">
        <v>-0.03349525719473356</v>
      </c>
      <c r="H722">
        <v>0.03</v>
      </c>
      <c r="I722">
        <v>0.02661535919125702</v>
      </c>
      <c r="J722" t="s">
        <v>778</v>
      </c>
      <c r="K722" t="s">
        <v>523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-0.08759733966110701</v>
      </c>
      <c r="R722" t="s">
        <v>780</v>
      </c>
      <c r="S722" t="s">
        <v>784</v>
      </c>
      <c r="T722">
        <v>6198.064596</v>
      </c>
      <c r="U722" s="2">
        <v>44502</v>
      </c>
      <c r="V722" t="s">
        <v>798</v>
      </c>
    </row>
    <row r="723" spans="1:22">
      <c r="A723" s="1" t="s">
        <v>743</v>
      </c>
      <c r="B723">
        <f>HYPERLINK("https://www.suredividend.com/sure-analysis-ACC/","American Campus Communities Inc.")</f>
        <v>0</v>
      </c>
      <c r="C723">
        <v>56.46</v>
      </c>
      <c r="D723">
        <v>40</v>
      </c>
      <c r="E723">
        <v>1.4115</v>
      </c>
      <c r="F723">
        <v>0.03329791002479631</v>
      </c>
      <c r="G723">
        <v>-0.06660853896162888</v>
      </c>
      <c r="H723">
        <v>0.06</v>
      </c>
      <c r="I723">
        <v>0.02431628395617857</v>
      </c>
      <c r="J723" t="s">
        <v>778</v>
      </c>
      <c r="K723" t="s">
        <v>523</v>
      </c>
      <c r="L723">
        <v>2.1</v>
      </c>
      <c r="M723">
        <v>1.88</v>
      </c>
      <c r="N723">
        <v>0.8952380952380952</v>
      </c>
      <c r="O723">
        <v>8</v>
      </c>
      <c r="P723">
        <v>0.02528440313403202</v>
      </c>
      <c r="Q723">
        <v>0.333161065571809</v>
      </c>
      <c r="R723" t="s">
        <v>782</v>
      </c>
      <c r="S723" t="s">
        <v>794</v>
      </c>
      <c r="T723">
        <v>7753.809708</v>
      </c>
      <c r="U723" s="2">
        <v>44498</v>
      </c>
      <c r="V723" t="s">
        <v>796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24.62</v>
      </c>
      <c r="D724">
        <v>13</v>
      </c>
      <c r="E724">
        <v>1.893846153846154</v>
      </c>
      <c r="F724">
        <v>0.02924451665312754</v>
      </c>
      <c r="G724">
        <v>-0.1199019459487475</v>
      </c>
      <c r="H724">
        <v>0.13</v>
      </c>
      <c r="I724">
        <v>0.0227557644598082</v>
      </c>
      <c r="J724" t="s">
        <v>778</v>
      </c>
      <c r="K724" t="s">
        <v>778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0.189073484937747</v>
      </c>
      <c r="R724" t="s">
        <v>780</v>
      </c>
      <c r="S724" t="s">
        <v>793</v>
      </c>
      <c r="T724">
        <v>25073.5128</v>
      </c>
      <c r="U724" s="2">
        <v>44491</v>
      </c>
      <c r="V724" t="s">
        <v>803</v>
      </c>
    </row>
    <row r="725" spans="1:22">
      <c r="A725" s="1" t="s">
        <v>745</v>
      </c>
      <c r="B725">
        <f>HYPERLINK("https://www.suredividend.com/sure-analysis-LADR/","Ladder Capital Corp")</f>
        <v>0</v>
      </c>
      <c r="C725">
        <v>12.18</v>
      </c>
      <c r="D725">
        <v>8.5</v>
      </c>
      <c r="E725">
        <v>1.432941176470588</v>
      </c>
      <c r="F725">
        <v>0.06568144499178982</v>
      </c>
      <c r="G725">
        <v>-0.06941868643301874</v>
      </c>
      <c r="H725">
        <v>0.02</v>
      </c>
      <c r="I725">
        <v>0.02085115615412958</v>
      </c>
      <c r="J725" t="s">
        <v>778</v>
      </c>
      <c r="K725" t="s">
        <v>523</v>
      </c>
      <c r="L725">
        <v>0.4</v>
      </c>
      <c r="M725">
        <v>0.8</v>
      </c>
      <c r="N725">
        <v>2</v>
      </c>
      <c r="O725">
        <v>0</v>
      </c>
      <c r="P725">
        <v>0.009805797673485328</v>
      </c>
      <c r="Q725">
        <v>0.3396729880198091</v>
      </c>
      <c r="R725" t="s">
        <v>782</v>
      </c>
      <c r="S725" t="s">
        <v>794</v>
      </c>
      <c r="T725">
        <v>1530.62503</v>
      </c>
      <c r="U725" s="2">
        <v>44513</v>
      </c>
      <c r="V725" t="s">
        <v>795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34.72</v>
      </c>
      <c r="D726">
        <v>25</v>
      </c>
      <c r="E726">
        <v>1.3888</v>
      </c>
      <c r="F726">
        <v>0.05184331797235023</v>
      </c>
      <c r="G726">
        <v>-0.0635770294698772</v>
      </c>
      <c r="H726">
        <v>0.03</v>
      </c>
      <c r="I726">
        <v>0.01955477138270978</v>
      </c>
      <c r="J726" t="s">
        <v>778</v>
      </c>
      <c r="K726" t="s">
        <v>523</v>
      </c>
      <c r="L726">
        <v>1.9</v>
      </c>
      <c r="M726">
        <v>1.8</v>
      </c>
      <c r="N726">
        <v>0.9473684210526316</v>
      </c>
      <c r="O726">
        <v>0</v>
      </c>
      <c r="P726">
        <v>0.009805797673485328</v>
      </c>
      <c r="Q726">
        <v>0.863465915603661</v>
      </c>
      <c r="R726" t="s">
        <v>782</v>
      </c>
      <c r="S726" t="s">
        <v>794</v>
      </c>
      <c r="T726">
        <v>713.907788</v>
      </c>
      <c r="U726" s="2">
        <v>44513</v>
      </c>
      <c r="V726" t="s">
        <v>795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72.06</v>
      </c>
      <c r="D727">
        <v>45</v>
      </c>
      <c r="E727">
        <v>1.601333333333333</v>
      </c>
      <c r="F727">
        <v>0.04662781015820149</v>
      </c>
      <c r="G727">
        <v>-0.0898695363600297</v>
      </c>
      <c r="H727">
        <v>0.055</v>
      </c>
      <c r="I727">
        <v>0.01830235994821328</v>
      </c>
      <c r="J727" t="s">
        <v>778</v>
      </c>
      <c r="K727" t="s">
        <v>523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0.6634128756490021</v>
      </c>
      <c r="R727" t="s">
        <v>780</v>
      </c>
      <c r="S727" t="s">
        <v>790</v>
      </c>
      <c r="T727">
        <v>4336.289477</v>
      </c>
      <c r="U727" s="2">
        <v>44512</v>
      </c>
      <c r="V727" t="s">
        <v>795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29.99</v>
      </c>
      <c r="D728">
        <v>22</v>
      </c>
      <c r="E728">
        <v>1.363181818181818</v>
      </c>
      <c r="F728">
        <v>0.0320106702234078</v>
      </c>
      <c r="G728">
        <v>-0.06008356619794042</v>
      </c>
      <c r="H728">
        <v>0.045</v>
      </c>
      <c r="I728">
        <v>0.01572960561674197</v>
      </c>
      <c r="J728" t="s">
        <v>778</v>
      </c>
      <c r="K728" t="s">
        <v>523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0.766717212261766</v>
      </c>
      <c r="R728" t="s">
        <v>780</v>
      </c>
      <c r="S728" t="s">
        <v>784</v>
      </c>
      <c r="T728">
        <v>14160.032444</v>
      </c>
      <c r="U728" s="2">
        <v>44514</v>
      </c>
      <c r="V728" t="s">
        <v>795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89.38</v>
      </c>
      <c r="D729">
        <v>65</v>
      </c>
      <c r="E729">
        <v>1.375076923076923</v>
      </c>
      <c r="F729">
        <v>0.02707540836876259</v>
      </c>
      <c r="G729">
        <v>-0.06171537207657074</v>
      </c>
      <c r="H729">
        <v>0.048</v>
      </c>
      <c r="I729">
        <v>0.01431130357052046</v>
      </c>
      <c r="J729" t="s">
        <v>778</v>
      </c>
      <c r="K729" t="s">
        <v>778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0.567053839264135</v>
      </c>
      <c r="R729" t="s">
        <v>782</v>
      </c>
      <c r="S729" t="s">
        <v>794</v>
      </c>
      <c r="T729">
        <v>33068.930456</v>
      </c>
      <c r="U729" s="2">
        <v>44496</v>
      </c>
      <c r="V729" t="s">
        <v>805</v>
      </c>
    </row>
    <row r="730" spans="1:22">
      <c r="A730" s="1" t="s">
        <v>750</v>
      </c>
      <c r="B730">
        <f>HYPERLINK("https://www.suredividend.com/sure-analysis-APTS/","Preferred Apartment Communities Inc")</f>
        <v>0</v>
      </c>
      <c r="C730">
        <v>16.67</v>
      </c>
      <c r="D730">
        <v>12.3</v>
      </c>
      <c r="E730">
        <v>1.355284552845529</v>
      </c>
      <c r="F730">
        <v>0.04199160167966406</v>
      </c>
      <c r="G730">
        <v>-0.05899072873310973</v>
      </c>
      <c r="H730">
        <v>0.02</v>
      </c>
      <c r="I730">
        <v>0.0116063908747841</v>
      </c>
      <c r="J730" t="s">
        <v>778</v>
      </c>
      <c r="K730" t="s">
        <v>523</v>
      </c>
      <c r="L730">
        <v>1.04</v>
      </c>
      <c r="M730">
        <v>0.7</v>
      </c>
      <c r="N730">
        <v>0.673076923076923</v>
      </c>
      <c r="O730">
        <v>0</v>
      </c>
      <c r="P730">
        <v>0.05154749679728043</v>
      </c>
      <c r="Q730">
        <v>1.372720200535914</v>
      </c>
      <c r="R730" t="s">
        <v>782</v>
      </c>
      <c r="S730" t="s">
        <v>794</v>
      </c>
      <c r="T730">
        <v>872.02314</v>
      </c>
      <c r="U730" s="2">
        <v>44515</v>
      </c>
      <c r="V730" t="s">
        <v>803</v>
      </c>
    </row>
    <row r="731" spans="1:22">
      <c r="A731" s="1" t="s">
        <v>751</v>
      </c>
      <c r="B731">
        <f>HYPERLINK("https://www.suredividend.com/sure-analysis-GLAD/","Gladstone Capital Corp.")</f>
        <v>0</v>
      </c>
      <c r="C731">
        <v>11.26</v>
      </c>
      <c r="D731">
        <v>8</v>
      </c>
      <c r="E731">
        <v>1.4075</v>
      </c>
      <c r="F731">
        <v>0.06927175843694494</v>
      </c>
      <c r="G731">
        <v>-0.06607861656430725</v>
      </c>
      <c r="H731">
        <v>0</v>
      </c>
      <c r="I731">
        <v>0.01111770286380742</v>
      </c>
      <c r="J731" t="s">
        <v>778</v>
      </c>
      <c r="K731" t="s">
        <v>345</v>
      </c>
      <c r="L731">
        <v>0.8</v>
      </c>
      <c r="M731">
        <v>0.78</v>
      </c>
      <c r="N731">
        <v>0.975</v>
      </c>
      <c r="O731">
        <v>0</v>
      </c>
      <c r="P731">
        <v>0</v>
      </c>
      <c r="Q731">
        <v>0.370654472144367</v>
      </c>
      <c r="R731" t="s">
        <v>780</v>
      </c>
      <c r="S731" t="s">
        <v>789</v>
      </c>
      <c r="T731">
        <v>382.493737</v>
      </c>
      <c r="U731" s="2">
        <v>44520</v>
      </c>
      <c r="V731" t="s">
        <v>802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16.74</v>
      </c>
      <c r="D732">
        <v>11</v>
      </c>
      <c r="E732">
        <v>1.521818181818182</v>
      </c>
      <c r="F732">
        <v>0.05376344086021506</v>
      </c>
      <c r="G732">
        <v>-0.08055142023407313</v>
      </c>
      <c r="H732">
        <v>0.03</v>
      </c>
      <c r="I732">
        <v>0.009133701217542978</v>
      </c>
      <c r="J732" t="s">
        <v>778</v>
      </c>
      <c r="K732" t="s">
        <v>523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0.754943390631122</v>
      </c>
      <c r="R732" t="s">
        <v>783</v>
      </c>
      <c r="S732" t="s">
        <v>789</v>
      </c>
      <c r="T732">
        <v>550.207231</v>
      </c>
      <c r="U732" s="2">
        <v>44512</v>
      </c>
      <c r="V732" t="s">
        <v>798</v>
      </c>
    </row>
    <row r="733" spans="1:22">
      <c r="A733" s="1" t="s">
        <v>753</v>
      </c>
      <c r="B733">
        <f>HYPERLINK("https://www.suredividend.com/sure-analysis-PLYM/","Plymouth Industrial Reit Inc")</f>
        <v>0</v>
      </c>
      <c r="C733">
        <v>30.98</v>
      </c>
      <c r="D733">
        <v>20</v>
      </c>
      <c r="E733">
        <v>1.549</v>
      </c>
      <c r="F733">
        <v>0.02711426726920594</v>
      </c>
      <c r="G733">
        <v>-0.08380120457998474</v>
      </c>
      <c r="H733">
        <v>0.07000000000000001</v>
      </c>
      <c r="I733">
        <v>0.00881849619800712</v>
      </c>
      <c r="J733" t="s">
        <v>778</v>
      </c>
      <c r="K733" t="s">
        <v>523</v>
      </c>
      <c r="L733">
        <v>1.39</v>
      </c>
      <c r="M733">
        <v>0.84</v>
      </c>
      <c r="N733">
        <v>0.6043165467625899</v>
      </c>
      <c r="O733">
        <v>0</v>
      </c>
      <c r="P733">
        <v>0.009347419909568888</v>
      </c>
      <c r="Q733">
        <v>1.128124515374096</v>
      </c>
      <c r="R733" t="s">
        <v>782</v>
      </c>
      <c r="S733" t="s">
        <v>794</v>
      </c>
      <c r="T733">
        <v>1044.738807</v>
      </c>
      <c r="U733" s="2">
        <v>44513</v>
      </c>
      <c r="V733" t="s">
        <v>795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222.19</v>
      </c>
      <c r="D734">
        <v>145</v>
      </c>
      <c r="E734">
        <v>1.532344827586207</v>
      </c>
      <c r="F734">
        <v>0.01980287141635537</v>
      </c>
      <c r="G734">
        <v>-0.08181816061111757</v>
      </c>
      <c r="H734">
        <v>0.075</v>
      </c>
      <c r="I734">
        <v>0.00874827753362406</v>
      </c>
      <c r="J734" t="s">
        <v>778</v>
      </c>
      <c r="K734" t="s">
        <v>778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0.617338945268743</v>
      </c>
      <c r="R734" t="s">
        <v>782</v>
      </c>
      <c r="S734" t="s">
        <v>794</v>
      </c>
      <c r="T734">
        <v>8840.692523</v>
      </c>
      <c r="U734" s="2">
        <v>44500</v>
      </c>
      <c r="V734" t="s">
        <v>796</v>
      </c>
    </row>
    <row r="735" spans="1:22">
      <c r="A735" s="1" t="s">
        <v>755</v>
      </c>
      <c r="B735">
        <f>HYPERLINK("https://www.suredividend.com/sure-analysis-ABR/","Arbor Realty Trust Inc.")</f>
        <v>0</v>
      </c>
      <c r="C735">
        <v>18.25</v>
      </c>
      <c r="D735">
        <v>11.5</v>
      </c>
      <c r="E735">
        <v>1.58695652173913</v>
      </c>
      <c r="F735">
        <v>0.07890410958904109</v>
      </c>
      <c r="G735">
        <v>-0.08822643974601174</v>
      </c>
      <c r="H735">
        <v>0.008</v>
      </c>
      <c r="I735">
        <v>0.00858521722830563</v>
      </c>
      <c r="J735" t="s">
        <v>778</v>
      </c>
      <c r="K735" t="s">
        <v>345</v>
      </c>
      <c r="L735">
        <v>1.6</v>
      </c>
      <c r="M735">
        <v>1.44</v>
      </c>
      <c r="N735">
        <v>0.8999999999999999</v>
      </c>
      <c r="O735">
        <v>9</v>
      </c>
      <c r="P735">
        <v>-0.005618333193698977</v>
      </c>
      <c r="Q735">
        <v>0.391758516072045</v>
      </c>
      <c r="R735" t="s">
        <v>782</v>
      </c>
      <c r="S735" t="s">
        <v>794</v>
      </c>
      <c r="T735">
        <v>2591.280661</v>
      </c>
      <c r="U735" s="2">
        <v>44506</v>
      </c>
      <c r="V735" t="s">
        <v>805</v>
      </c>
    </row>
    <row r="736" spans="1:22">
      <c r="A736" s="1" t="s">
        <v>756</v>
      </c>
      <c r="B736">
        <f>HYPERLINK("https://www.suredividend.com/sure-analysis-LSI/","Life Storage Inc")</f>
        <v>0</v>
      </c>
      <c r="C736">
        <v>149.45</v>
      </c>
      <c r="D736">
        <v>88</v>
      </c>
      <c r="E736">
        <v>1.698295454545454</v>
      </c>
      <c r="F736">
        <v>0.02301773168283707</v>
      </c>
      <c r="G736">
        <v>-0.100507905903546</v>
      </c>
      <c r="H736">
        <v>0.09</v>
      </c>
      <c r="I736">
        <v>0.008543657340560173</v>
      </c>
      <c r="J736" t="s">
        <v>778</v>
      </c>
      <c r="K736" t="s">
        <v>778</v>
      </c>
      <c r="L736">
        <v>4.85</v>
      </c>
      <c r="M736">
        <v>3.44</v>
      </c>
      <c r="N736">
        <v>0.709278350515464</v>
      </c>
      <c r="O736">
        <v>3</v>
      </c>
      <c r="P736">
        <v>0.05983895403096029</v>
      </c>
      <c r="Q736">
        <v>0.9033301148918801</v>
      </c>
      <c r="R736" t="s">
        <v>782</v>
      </c>
      <c r="S736" t="s">
        <v>794</v>
      </c>
      <c r="T736">
        <v>12044.911321</v>
      </c>
      <c r="U736" s="2">
        <v>44518</v>
      </c>
      <c r="V736" t="s">
        <v>803</v>
      </c>
    </row>
    <row r="737" spans="1:22">
      <c r="A737" s="1" t="s">
        <v>757</v>
      </c>
      <c r="B737">
        <f>HYPERLINK("https://www.suredividend.com/sure-analysis-PEAK/","Healthpeak Properties Inc")</f>
        <v>0</v>
      </c>
      <c r="C737">
        <v>35.7</v>
      </c>
      <c r="D737">
        <v>24</v>
      </c>
      <c r="E737">
        <v>1.4875</v>
      </c>
      <c r="F737">
        <v>0.03361344537815126</v>
      </c>
      <c r="G737">
        <v>-0.07634751049207245</v>
      </c>
      <c r="H737">
        <v>0.05</v>
      </c>
      <c r="I737">
        <v>0.008365475452793314</v>
      </c>
      <c r="J737" t="s">
        <v>778</v>
      </c>
      <c r="K737" t="s">
        <v>523</v>
      </c>
      <c r="L737">
        <v>1.6</v>
      </c>
      <c r="M737">
        <v>1.2</v>
      </c>
      <c r="N737">
        <v>0.7499999999999999</v>
      </c>
      <c r="O737">
        <v>0</v>
      </c>
      <c r="P737">
        <v>0.03131030647754507</v>
      </c>
      <c r="Q737">
        <v>0.225564459675481</v>
      </c>
      <c r="R737" t="s">
        <v>782</v>
      </c>
      <c r="S737" t="s">
        <v>794</v>
      </c>
      <c r="T737">
        <v>18969.951527</v>
      </c>
      <c r="U737" s="2">
        <v>44515</v>
      </c>
      <c r="V737" t="s">
        <v>803</v>
      </c>
    </row>
    <row r="738" spans="1:22">
      <c r="A738" s="1" t="s">
        <v>758</v>
      </c>
      <c r="B738">
        <f>HYPERLINK("https://www.suredividend.com/sure-analysis-GROW/","U.S. Global Investors, Inc.")</f>
        <v>0</v>
      </c>
      <c r="C738">
        <v>4.4</v>
      </c>
      <c r="D738">
        <v>7</v>
      </c>
      <c r="E738">
        <v>0.6285714285714287</v>
      </c>
      <c r="F738">
        <v>0.02045454545454545</v>
      </c>
      <c r="G738">
        <v>0.09730933214999515</v>
      </c>
      <c r="H738">
        <v>-0.099</v>
      </c>
      <c r="I738">
        <v>0.007873824165907317</v>
      </c>
      <c r="J738" t="s">
        <v>778</v>
      </c>
      <c r="K738" t="s">
        <v>778</v>
      </c>
      <c r="L738">
        <v>0.06</v>
      </c>
      <c r="M738">
        <v>0.09</v>
      </c>
      <c r="N738">
        <v>1.5</v>
      </c>
      <c r="O738">
        <v>0</v>
      </c>
      <c r="P738">
        <v>-0.02328131613882611</v>
      </c>
      <c r="Q738">
        <v>-0.004724822819144</v>
      </c>
      <c r="R738" t="s">
        <v>780</v>
      </c>
      <c r="S738" t="s">
        <v>789</v>
      </c>
      <c r="T738">
        <v>58.935518</v>
      </c>
      <c r="U738" s="2">
        <v>44542</v>
      </c>
      <c r="V738" t="s">
        <v>805</v>
      </c>
    </row>
    <row r="739" spans="1:22">
      <c r="A739" s="1" t="s">
        <v>759</v>
      </c>
      <c r="B739">
        <f>HYPERLINK("https://www.suredividend.com/sure-analysis-UDR/","UDR Inc")</f>
        <v>0</v>
      </c>
      <c r="C739">
        <v>59.43</v>
      </c>
      <c r="D739">
        <v>40</v>
      </c>
      <c r="E739">
        <v>1.48575</v>
      </c>
      <c r="F739">
        <v>0.02439845196028942</v>
      </c>
      <c r="G739">
        <v>-0.07613002695265325</v>
      </c>
      <c r="H739">
        <v>0.055</v>
      </c>
      <c r="I739">
        <v>0.004202988965925414</v>
      </c>
      <c r="J739" t="s">
        <v>778</v>
      </c>
      <c r="K739" t="s">
        <v>778</v>
      </c>
      <c r="L739">
        <v>1.82</v>
      </c>
      <c r="M739">
        <v>1.45</v>
      </c>
      <c r="N739">
        <v>0.7967032967032966</v>
      </c>
      <c r="O739">
        <v>11</v>
      </c>
      <c r="P739">
        <v>0.0499309672496191</v>
      </c>
      <c r="Q739">
        <v>0.622886348173838</v>
      </c>
      <c r="R739" t="s">
        <v>782</v>
      </c>
      <c r="S739" t="s">
        <v>794</v>
      </c>
      <c r="T739">
        <v>18143.05672</v>
      </c>
      <c r="U739" s="2">
        <v>44512</v>
      </c>
      <c r="V739" t="s">
        <v>795</v>
      </c>
    </row>
    <row r="740" spans="1:22">
      <c r="A740" s="1" t="s">
        <v>760</v>
      </c>
      <c r="B740">
        <f>HYPERLINK("https://www.suredividend.com/sure-analysis-IRM/","Iron Mountain Inc.")</f>
        <v>0</v>
      </c>
      <c r="C740">
        <v>52.49</v>
      </c>
      <c r="D740">
        <v>37</v>
      </c>
      <c r="E740">
        <v>1.418648648648649</v>
      </c>
      <c r="F740">
        <v>0.0470565822061345</v>
      </c>
      <c r="G740">
        <v>-0.06755112296686916</v>
      </c>
      <c r="H740">
        <v>0.02</v>
      </c>
      <c r="I740">
        <v>0.004150290083648756</v>
      </c>
      <c r="J740" t="s">
        <v>778</v>
      </c>
      <c r="K740" t="s">
        <v>345</v>
      </c>
      <c r="L740">
        <v>3.39</v>
      </c>
      <c r="M740">
        <v>2.47</v>
      </c>
      <c r="N740">
        <v>0.728613569321534</v>
      </c>
      <c r="O740">
        <v>10</v>
      </c>
      <c r="P740">
        <v>0.01031145931793609</v>
      </c>
      <c r="Q740">
        <v>0.8367544227113071</v>
      </c>
      <c r="R740" t="s">
        <v>782</v>
      </c>
      <c r="S740" t="s">
        <v>794</v>
      </c>
      <c r="T740">
        <v>14853.889247</v>
      </c>
      <c r="U740" s="2">
        <v>44511</v>
      </c>
      <c r="V740" t="s">
        <v>798</v>
      </c>
    </row>
    <row r="741" spans="1:22">
      <c r="A741" s="1" t="s">
        <v>761</v>
      </c>
      <c r="B741">
        <f>HYPERLINK("https://www.suredividend.com/sure-analysis-STAG/","STAG Industrial Inc")</f>
        <v>0</v>
      </c>
      <c r="C741">
        <v>46.56</v>
      </c>
      <c r="D741">
        <v>31</v>
      </c>
      <c r="E741">
        <v>1.501935483870968</v>
      </c>
      <c r="F741">
        <v>0.03114261168384879</v>
      </c>
      <c r="G741">
        <v>-0.0781298677947363</v>
      </c>
      <c r="H741">
        <v>0.05</v>
      </c>
      <c r="I741">
        <v>0.001729618253506926</v>
      </c>
      <c r="J741" t="s">
        <v>778</v>
      </c>
      <c r="K741" t="s">
        <v>523</v>
      </c>
      <c r="L741">
        <v>2.04</v>
      </c>
      <c r="M741">
        <v>1.45</v>
      </c>
      <c r="N741">
        <v>0.7107843137254901</v>
      </c>
      <c r="O741">
        <v>10</v>
      </c>
      <c r="P741">
        <v>0.006803348678863008</v>
      </c>
      <c r="Q741">
        <v>0.5263253339781171</v>
      </c>
      <c r="R741" t="s">
        <v>782</v>
      </c>
      <c r="S741" t="s">
        <v>794</v>
      </c>
      <c r="T741">
        <v>7716.103903</v>
      </c>
      <c r="U741" s="2">
        <v>44516</v>
      </c>
      <c r="V741" t="s">
        <v>803</v>
      </c>
    </row>
    <row r="742" spans="1:22">
      <c r="A742" s="1" t="s">
        <v>762</v>
      </c>
      <c r="B742">
        <f>HYPERLINK("https://www.suredividend.com/sure-analysis-LXP/","LXP Industrial Trust")</f>
        <v>0</v>
      </c>
      <c r="C742">
        <v>15.49</v>
      </c>
      <c r="D742">
        <v>11</v>
      </c>
      <c r="E742">
        <v>1.408181818181818</v>
      </c>
      <c r="F742">
        <v>0.03098773402194964</v>
      </c>
      <c r="G742">
        <v>-0.06616907192050525</v>
      </c>
      <c r="H742">
        <v>0.035</v>
      </c>
      <c r="I742">
        <v>0.0004414795558473905</v>
      </c>
      <c r="J742" t="s">
        <v>778</v>
      </c>
      <c r="K742" t="s">
        <v>523</v>
      </c>
      <c r="L742">
        <v>0.76</v>
      </c>
      <c r="M742">
        <v>0.48</v>
      </c>
      <c r="N742">
        <v>0.631578947368421</v>
      </c>
      <c r="O742">
        <v>2</v>
      </c>
      <c r="P742">
        <v>0.008197818497166498</v>
      </c>
      <c r="Q742">
        <v>0.467624511836459</v>
      </c>
      <c r="R742" t="s">
        <v>782</v>
      </c>
      <c r="S742" t="s">
        <v>794</v>
      </c>
      <c r="T742">
        <v>4304.481315</v>
      </c>
      <c r="U742" s="2">
        <v>44513</v>
      </c>
      <c r="V742" t="s">
        <v>795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64.08</v>
      </c>
      <c r="D743">
        <v>49</v>
      </c>
      <c r="E743">
        <v>1.307755102040816</v>
      </c>
      <c r="F743">
        <v>0.03620474406991261</v>
      </c>
      <c r="G743">
        <v>-0.05224798730308089</v>
      </c>
      <c r="H743">
        <v>0.01</v>
      </c>
      <c r="I743">
        <v>-0.00195182447858866</v>
      </c>
      <c r="J743" t="s">
        <v>778</v>
      </c>
      <c r="K743" t="s">
        <v>523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0.57358454771925</v>
      </c>
      <c r="R743" t="s">
        <v>780</v>
      </c>
      <c r="S743" t="s">
        <v>793</v>
      </c>
      <c r="T743">
        <v>38806.64741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HYPERLINK("https://www.suredividend.com/sure-analysis-HP/","Helmerich &amp; Payne, Inc.")</f>
        <v>0</v>
      </c>
      <c r="C744">
        <v>25.14</v>
      </c>
      <c r="D744">
        <v>9</v>
      </c>
      <c r="E744">
        <v>2.793333333333333</v>
      </c>
      <c r="F744">
        <v>0.03977724741447892</v>
      </c>
      <c r="G744">
        <v>-0.1857168514841141</v>
      </c>
      <c r="H744">
        <v>0.17</v>
      </c>
      <c r="I744">
        <v>-0.003266841145415644</v>
      </c>
      <c r="J744" t="s">
        <v>778</v>
      </c>
      <c r="K744" t="s">
        <v>523</v>
      </c>
      <c r="L744">
        <v>0.55</v>
      </c>
      <c r="M744">
        <v>1</v>
      </c>
      <c r="N744">
        <v>1.818181818181818</v>
      </c>
      <c r="O744">
        <v>0</v>
      </c>
      <c r="P744">
        <v>0</v>
      </c>
      <c r="Q744">
        <v>0.061288897846119</v>
      </c>
      <c r="R744" t="s">
        <v>780</v>
      </c>
      <c r="S744" t="s">
        <v>793</v>
      </c>
      <c r="T744">
        <v>2673.056009</v>
      </c>
      <c r="U744" s="2">
        <v>44524</v>
      </c>
      <c r="V744" t="s">
        <v>803</v>
      </c>
    </row>
    <row r="745" spans="1:22">
      <c r="A745" s="1" t="s">
        <v>765</v>
      </c>
      <c r="B745">
        <f>HYPERLINK("https://www.suredividend.com/sure-analysis-DRETF/","Dream Office Real Estate Investment Trust")</f>
        <v>0</v>
      </c>
      <c r="C745">
        <v>18</v>
      </c>
      <c r="D745">
        <v>11.2</v>
      </c>
      <c r="E745">
        <v>1.607142857142857</v>
      </c>
      <c r="F745">
        <v>0.04500000000000001</v>
      </c>
      <c r="G745">
        <v>-0.09052848045112638</v>
      </c>
      <c r="H745">
        <v>0.039</v>
      </c>
      <c r="I745">
        <v>-0.00469865211335796</v>
      </c>
      <c r="J745" t="s">
        <v>778</v>
      </c>
      <c r="K745" t="s">
        <v>345</v>
      </c>
      <c r="L745">
        <v>1.24</v>
      </c>
      <c r="M745">
        <v>0.8100000000000001</v>
      </c>
      <c r="N745">
        <v>0.653225806451613</v>
      </c>
      <c r="O745">
        <v>0</v>
      </c>
      <c r="P745">
        <v>-0.002481420174103466</v>
      </c>
      <c r="Q745">
        <v>0.176485715020443</v>
      </c>
      <c r="R745" t="s">
        <v>780</v>
      </c>
      <c r="S745" t="s">
        <v>789</v>
      </c>
      <c r="T745">
        <v>909.523359</v>
      </c>
      <c r="U745" s="2">
        <v>44509</v>
      </c>
      <c r="V745" t="s">
        <v>805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11.73</v>
      </c>
      <c r="D746">
        <v>6.7</v>
      </c>
      <c r="E746">
        <v>1.750746268656716</v>
      </c>
      <c r="F746">
        <v>0.05029838022165387</v>
      </c>
      <c r="G746">
        <v>-0.1059632768056664</v>
      </c>
      <c r="H746">
        <v>0.049</v>
      </c>
      <c r="I746">
        <v>-0.005688064710383078</v>
      </c>
      <c r="J746" t="s">
        <v>778</v>
      </c>
      <c r="K746" t="s">
        <v>523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0.151523523839596</v>
      </c>
      <c r="R746" t="s">
        <v>782</v>
      </c>
      <c r="S746" t="s">
        <v>789</v>
      </c>
      <c r="T746">
        <v>3822.108441</v>
      </c>
      <c r="U746" s="2">
        <v>44509</v>
      </c>
      <c r="V746" t="s">
        <v>805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20.91</v>
      </c>
      <c r="D747">
        <v>15.4</v>
      </c>
      <c r="E747">
        <v>1.357792207792208</v>
      </c>
      <c r="F747">
        <v>0.04543280726924916</v>
      </c>
      <c r="G747">
        <v>-0.05933856866184439</v>
      </c>
      <c r="H747">
        <v>-0.005</v>
      </c>
      <c r="I747">
        <v>-0.00678648875600385</v>
      </c>
      <c r="J747" t="s">
        <v>778</v>
      </c>
      <c r="K747" t="s">
        <v>345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0.540009916450206</v>
      </c>
      <c r="R747" t="s">
        <v>782</v>
      </c>
      <c r="S747" t="s">
        <v>794</v>
      </c>
      <c r="T747">
        <v>823.138178</v>
      </c>
      <c r="U747" s="2">
        <v>44551</v>
      </c>
      <c r="V747" t="s">
        <v>805</v>
      </c>
    </row>
    <row r="748" spans="1:22">
      <c r="A748" s="1" t="s">
        <v>768</v>
      </c>
      <c r="B748">
        <f>HYPERLINK("https://www.suredividend.com/sure-analysis-DREUF/","Dream Industrial Real Estate Investment Trust")</f>
        <v>0</v>
      </c>
      <c r="C748">
        <v>14.5</v>
      </c>
      <c r="D748">
        <v>9</v>
      </c>
      <c r="E748">
        <v>1.611111111111111</v>
      </c>
      <c r="F748">
        <v>0.03999999999999999</v>
      </c>
      <c r="G748">
        <v>-0.09097693802603957</v>
      </c>
      <c r="H748">
        <v>0.035</v>
      </c>
      <c r="I748">
        <v>-0.01245672765498618</v>
      </c>
      <c r="J748" t="s">
        <v>778</v>
      </c>
      <c r="K748" t="s">
        <v>523</v>
      </c>
      <c r="L748">
        <v>0.65</v>
      </c>
      <c r="M748">
        <v>0.58</v>
      </c>
      <c r="N748">
        <v>0.8923076923076922</v>
      </c>
      <c r="O748">
        <v>0</v>
      </c>
      <c r="P748">
        <v>0.003424737731033467</v>
      </c>
      <c r="Q748">
        <v>0.282694304578672</v>
      </c>
      <c r="R748" t="s">
        <v>782</v>
      </c>
      <c r="S748" t="s">
        <v>789</v>
      </c>
      <c r="T748">
        <v>3008.051911</v>
      </c>
      <c r="U748" s="2">
        <v>44513</v>
      </c>
      <c r="V748" t="s">
        <v>795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48.77</v>
      </c>
      <c r="D749">
        <v>35.5</v>
      </c>
      <c r="E749">
        <v>1.373802816901408</v>
      </c>
      <c r="F749">
        <v>0.07340578224318228</v>
      </c>
      <c r="G749">
        <v>-0.06154139791038049</v>
      </c>
      <c r="H749">
        <v>-0.053</v>
      </c>
      <c r="I749">
        <v>-0.0241564578977117</v>
      </c>
      <c r="J749" t="s">
        <v>778</v>
      </c>
      <c r="K749" t="s">
        <v>345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0.585672283601227</v>
      </c>
      <c r="R749" t="s">
        <v>780</v>
      </c>
      <c r="S749" t="s">
        <v>789</v>
      </c>
      <c r="T749">
        <v>4835.990628</v>
      </c>
      <c r="U749" s="2">
        <v>44504</v>
      </c>
      <c r="V749" t="s">
        <v>805</v>
      </c>
    </row>
    <row r="750" spans="1:22">
      <c r="A750" s="1" t="s">
        <v>770</v>
      </c>
      <c r="B750">
        <f>HYPERLINK("https://www.suredividend.com/sure-analysis-WELL/","Welltower Inc")</f>
        <v>0</v>
      </c>
      <c r="C750">
        <v>84.04000000000001</v>
      </c>
      <c r="D750">
        <v>56</v>
      </c>
      <c r="E750">
        <v>1.500714285714286</v>
      </c>
      <c r="F750">
        <v>0.02903379343169919</v>
      </c>
      <c r="G750">
        <v>-0.07797988323675276</v>
      </c>
      <c r="H750">
        <v>0.012</v>
      </c>
      <c r="I750">
        <v>-0.02621606567173473</v>
      </c>
      <c r="J750" t="s">
        <v>778</v>
      </c>
      <c r="K750" t="s">
        <v>523</v>
      </c>
      <c r="L750">
        <v>3.19</v>
      </c>
      <c r="M750">
        <v>2.44</v>
      </c>
      <c r="N750">
        <v>0.7648902821316614</v>
      </c>
      <c r="O750">
        <v>0</v>
      </c>
      <c r="P750">
        <v>0.04972154879615531</v>
      </c>
      <c r="Q750">
        <v>0.345135561523826</v>
      </c>
      <c r="R750" t="s">
        <v>782</v>
      </c>
      <c r="S750" t="s">
        <v>794</v>
      </c>
      <c r="T750">
        <v>36036.378173</v>
      </c>
      <c r="U750" s="2">
        <v>44505</v>
      </c>
      <c r="V750" t="s">
        <v>804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119.9</v>
      </c>
      <c r="D751">
        <v>78</v>
      </c>
      <c r="E751">
        <v>1.537179487179487</v>
      </c>
      <c r="F751">
        <v>0.03336113427856547</v>
      </c>
      <c r="G751">
        <v>-0.08239645246143346</v>
      </c>
      <c r="H751">
        <v>0.001</v>
      </c>
      <c r="I751">
        <v>-0.03877060182932046</v>
      </c>
      <c r="J751" t="s">
        <v>778</v>
      </c>
      <c r="K751" t="s">
        <v>523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0.495759717761151</v>
      </c>
      <c r="R751" t="s">
        <v>782</v>
      </c>
      <c r="S751" t="s">
        <v>794</v>
      </c>
      <c r="T751">
        <v>10273.33901</v>
      </c>
      <c r="U751" s="2">
        <v>44509</v>
      </c>
      <c r="V751" t="s">
        <v>805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9.220000000000001</v>
      </c>
      <c r="D752">
        <v>2.7</v>
      </c>
      <c r="E752">
        <v>3.414814814814815</v>
      </c>
      <c r="F752">
        <v>0.0227765726681128</v>
      </c>
      <c r="G752">
        <v>-0.2177842277564568</v>
      </c>
      <c r="H752">
        <v>0.13</v>
      </c>
      <c r="I752">
        <v>-0.06694488380906172</v>
      </c>
      <c r="J752" t="s">
        <v>778</v>
      </c>
      <c r="K752" t="s">
        <v>778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1.774382791493522</v>
      </c>
      <c r="R752" t="s">
        <v>780</v>
      </c>
      <c r="S752" t="s">
        <v>793</v>
      </c>
      <c r="T752">
        <v>423.207868</v>
      </c>
      <c r="U752" s="2">
        <v>44519</v>
      </c>
      <c r="V752" t="s">
        <v>803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32.7</v>
      </c>
      <c r="D753">
        <v>15</v>
      </c>
      <c r="E753">
        <v>2.18</v>
      </c>
      <c r="F753">
        <v>0.01651376146788991</v>
      </c>
      <c r="G753">
        <v>-0.1443252802579934</v>
      </c>
      <c r="H753">
        <v>0.06</v>
      </c>
      <c r="I753">
        <v>-0.06765040199099481</v>
      </c>
      <c r="J753" t="s">
        <v>778</v>
      </c>
      <c r="K753" t="s">
        <v>778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1.260472092275827</v>
      </c>
      <c r="R753" t="s">
        <v>782</v>
      </c>
      <c r="S753" t="s">
        <v>794</v>
      </c>
      <c r="T753">
        <v>1082.746911</v>
      </c>
      <c r="U753" s="2">
        <v>44527</v>
      </c>
      <c r="V753" t="s">
        <v>802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29.53</v>
      </c>
      <c r="D754">
        <v>11</v>
      </c>
      <c r="E754">
        <v>2.684545454545455</v>
      </c>
      <c r="F754">
        <v>0.056214019641043</v>
      </c>
      <c r="G754">
        <v>-0.1792217345174595</v>
      </c>
      <c r="H754">
        <v>0.02</v>
      </c>
      <c r="I754">
        <v>-0.0989243148014296</v>
      </c>
      <c r="J754" t="s">
        <v>778</v>
      </c>
      <c r="K754" t="s">
        <v>345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0.15858244956307</v>
      </c>
      <c r="R754" t="s">
        <v>780</v>
      </c>
      <c r="S754" t="s">
        <v>792</v>
      </c>
      <c r="T754">
        <v>22641.803372</v>
      </c>
      <c r="U754" s="2">
        <v>44506</v>
      </c>
      <c r="V754" t="s">
        <v>797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32.46</v>
      </c>
      <c r="D755">
        <v>39</v>
      </c>
      <c r="E755">
        <v>0.8323076923076923</v>
      </c>
      <c r="F755">
        <v>0</v>
      </c>
      <c r="G755">
        <v>0.03739277336551639</v>
      </c>
      <c r="H755">
        <v>0.03</v>
      </c>
      <c r="I755">
        <v>0.0876677122987688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0.277120904494605</v>
      </c>
      <c r="R755" t="s">
        <v>780</v>
      </c>
      <c r="S755" t="s">
        <v>793</v>
      </c>
      <c r="T755">
        <v>5212.879219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496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705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351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656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671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650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627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648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675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633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693</v>
      </c>
      <c r="B293">
        <v>43826</v>
      </c>
    </row>
    <row r="294" spans="1:2">
      <c r="A294" s="1" t="s">
        <v>491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580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732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550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741</v>
      </c>
      <c r="B341">
        <v>43853</v>
      </c>
    </row>
    <row r="342" spans="1:2">
      <c r="A342" s="1" t="s">
        <v>713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624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356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545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707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719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701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710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689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640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681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718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606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584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716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354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687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636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683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551</v>
      </c>
      <c r="B561">
        <v>43845</v>
      </c>
    </row>
    <row r="562" spans="1:2">
      <c r="A562" s="1" t="s">
        <v>720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666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558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678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634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755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677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449</v>
      </c>
      <c r="B629">
        <v>43845</v>
      </c>
    </row>
    <row r="630" spans="1:2">
      <c r="A630" s="1" t="s">
        <v>679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753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751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750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760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734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697</v>
      </c>
      <c r="B744">
        <v>43833</v>
      </c>
    </row>
    <row r="745" spans="1:2">
      <c r="A745" s="1" t="s">
        <v>745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698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360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403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237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692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694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680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359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495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663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639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563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363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737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711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521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201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629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764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347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328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508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653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185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691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435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637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339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722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576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649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206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631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733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547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366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715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499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568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278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593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378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263</v>
      </c>
      <c r="B1556">
        <v>43864</v>
      </c>
    </row>
    <row r="1557" spans="1:2">
      <c r="A1557" s="1" t="s">
        <v>342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358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332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362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596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392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571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740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660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642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505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538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561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738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597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559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518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388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503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723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386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215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509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573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761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527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659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586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696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430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730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523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575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390</v>
      </c>
      <c r="B2047">
        <v>43819</v>
      </c>
    </row>
    <row r="2048" spans="1:2">
      <c r="A2048" s="1" t="s">
        <v>770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552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695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202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384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494</v>
      </c>
      <c r="B2124" t="s">
        <v>779</v>
      </c>
    </row>
    <row r="2125" spans="1:2">
      <c r="A2125" s="1" t="s">
        <v>598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502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668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553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583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530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422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727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394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380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520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189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434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236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709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82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608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743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685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200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731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198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532</v>
      </c>
      <c r="B2359">
        <v>43809</v>
      </c>
    </row>
    <row r="2360" spans="1:2">
      <c r="A2360" s="1" t="s">
        <v>197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381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217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437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669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223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490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599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427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762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258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564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221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712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404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419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191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548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226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408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756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717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684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47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708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399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30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444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515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411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594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662</v>
      </c>
      <c r="B2602">
        <v>43798</v>
      </c>
    </row>
    <row r="2603" spans="1:2">
      <c r="A2603" s="1" t="s">
        <v>364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257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736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219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638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410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492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546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726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348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401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514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372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665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246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224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232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706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377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267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357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251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49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557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566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676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288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36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238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699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37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265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361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123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212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588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382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256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330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273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33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617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654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700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261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405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371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512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579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511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759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578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402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611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81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507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420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549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389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211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313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577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55</v>
      </c>
      <c r="B3280">
        <v>43831</v>
      </c>
    </row>
    <row r="3281" spans="1:2">
      <c r="A3281" s="1" t="s">
        <v>387</v>
      </c>
      <c r="B3281">
        <v>43800</v>
      </c>
    </row>
    <row r="3282" spans="1:2">
      <c r="A3282" s="1" t="s">
        <v>107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416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556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24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204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337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243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284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567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94</v>
      </c>
      <c r="B3364">
        <v>43818</v>
      </c>
    </row>
    <row r="3365" spans="1:2">
      <c r="A3365" s="1" t="s">
        <v>292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290</v>
      </c>
      <c r="B3374">
        <v>43763</v>
      </c>
    </row>
    <row r="3375" spans="1:2">
      <c r="A3375" s="1" t="s">
        <v>110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69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113</v>
      </c>
      <c r="B3400">
        <v>43845</v>
      </c>
    </row>
    <row r="3401" spans="1:2">
      <c r="A3401" s="1" t="s">
        <v>379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214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417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493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230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498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607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203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66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218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628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735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52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657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86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271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62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353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543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714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65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500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396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233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345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60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274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235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289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227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210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241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125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296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264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409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27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262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344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395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758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560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327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504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28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725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308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59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122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613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282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187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426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299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98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436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39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524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75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368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168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302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239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216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240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688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56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303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285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77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108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673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84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298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467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376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208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423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124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85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106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519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255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442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229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68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350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293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91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569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447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295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497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32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266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300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57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228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253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148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43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127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222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152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99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41</v>
      </c>
      <c r="B4809">
        <v>43816</v>
      </c>
    </row>
    <row r="4810" spans="1:2">
      <c r="A4810" s="1" t="s">
        <v>592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151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304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205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525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391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433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153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184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544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26</v>
      </c>
      <c r="B4969">
        <v>43823</v>
      </c>
    </row>
    <row r="4970" spans="1:2">
      <c r="A4970" s="1" t="s">
        <v>287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252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462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114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40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565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418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147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29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105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179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349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482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167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135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116</v>
      </c>
      <c r="B5207">
        <v>43871</v>
      </c>
    </row>
    <row r="5208" spans="1:2">
      <c r="A5208" s="1" t="s">
        <v>721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134</v>
      </c>
      <c r="B5274">
        <v>43801</v>
      </c>
    </row>
    <row r="5275" spans="1:2">
      <c r="A5275" s="1" t="s">
        <v>340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154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443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283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145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129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220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643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207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398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369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67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486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48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44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413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161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115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83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309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155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64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190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54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146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35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463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461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270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142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365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587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670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128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188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126</v>
      </c>
      <c r="B5933">
        <v>43811</v>
      </c>
    </row>
    <row r="5934" spans="1:2">
      <c r="A5934" s="1" t="s">
        <v>728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121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51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375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477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460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186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74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71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383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529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421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554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158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590</v>
      </c>
      <c r="B6348">
        <v>43755</v>
      </c>
    </row>
    <row r="6349" spans="1:2">
      <c r="A6349" s="1" t="s">
        <v>169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400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412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80</v>
      </c>
      <c r="B6480">
        <v>43845</v>
      </c>
    </row>
    <row r="6481" spans="1:2">
      <c r="A6481" s="1" t="s">
        <v>23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111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275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536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464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213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540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341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562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2021-12-28T07:13:42Z</dcterms:created>
  <dcterms:modified xsi:type="dcterms:W3CDTF">2021-12-28T07:13:42Z</dcterms:modified>
</cp:coreProperties>
</file>