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<sst xmlns="http://schemas.openxmlformats.org/spreadsheetml/2006/main" count="20801" uniqueCount="10144">
  <si>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</si>
  <si>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</si>
  <si>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</si>
  <si>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</si>
  <si>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</si>
  <si>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</si>
  <si>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</si>
  <si>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</si>
  <si>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</si>
  <si>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</si>
  <si>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</si>
  <si>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</si>
  <si>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</si>
  <si>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</si>
  <si>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</si>
  <si>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</si>
  <si>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</si>
  <si>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</si>
  <si>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</si>
  <si>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</si>
  <si>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</si>
  <si>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</si>
  <si>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</si>
  <si>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</si>
  <si>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</si>
  <si>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</si>
  <si>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</si>
  <si>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BBY</t>
  </si>
  <si>
    <t>DCI</t>
  </si>
  <si>
    <t>UNM</t>
  </si>
  <si>
    <t>SLGN</t>
  </si>
  <si>
    <t>FDX</t>
  </si>
  <si>
    <t>LEG</t>
  </si>
  <si>
    <t>ADM</t>
  </si>
  <si>
    <t>RGLD</t>
  </si>
  <si>
    <t>CINF</t>
  </si>
  <si>
    <t>BDX</t>
  </si>
  <si>
    <t>WBA</t>
  </si>
  <si>
    <t>EFSI</t>
  </si>
  <si>
    <t>PH</t>
  </si>
  <si>
    <t>SWK</t>
  </si>
  <si>
    <t>LHX</t>
  </si>
  <si>
    <t>NOC</t>
  </si>
  <si>
    <t>TNC</t>
  </si>
  <si>
    <t>INTU</t>
  </si>
  <si>
    <t>BANF</t>
  </si>
  <si>
    <t>MDU</t>
  </si>
  <si>
    <t>CAH</t>
  </si>
  <si>
    <t>MMM</t>
  </si>
  <si>
    <t>SYK</t>
  </si>
  <si>
    <t>FMS</t>
  </si>
  <si>
    <t>JW.A</t>
  </si>
  <si>
    <t>ATO</t>
  </si>
  <si>
    <t>CP</t>
  </si>
  <si>
    <t>WSM</t>
  </si>
  <si>
    <t>UGI</t>
  </si>
  <si>
    <t>MATW</t>
  </si>
  <si>
    <t>WMT</t>
  </si>
  <si>
    <t>CTBI</t>
  </si>
  <si>
    <t>SEIC</t>
  </si>
  <si>
    <t>LOW</t>
  </si>
  <si>
    <t>MET</t>
  </si>
  <si>
    <t>JNJ</t>
  </si>
  <si>
    <t>SON</t>
  </si>
  <si>
    <t>MCK</t>
  </si>
  <si>
    <t>SKM</t>
  </si>
  <si>
    <t>EMR</t>
  </si>
  <si>
    <t>NIDB</t>
  </si>
  <si>
    <t>ROP</t>
  </si>
  <si>
    <t>BKH</t>
  </si>
  <si>
    <t>AFL</t>
  </si>
  <si>
    <t>BRC</t>
  </si>
  <si>
    <t>AIZ</t>
  </si>
  <si>
    <t>V</t>
  </si>
  <si>
    <t>FMCB</t>
  </si>
  <si>
    <t>SYY</t>
  </si>
  <si>
    <t>MDT</t>
  </si>
  <si>
    <t>TGT</t>
  </si>
  <si>
    <t>WHR</t>
  </si>
  <si>
    <t>TMO</t>
  </si>
  <si>
    <t>VFC</t>
  </si>
  <si>
    <t>BEN</t>
  </si>
  <si>
    <t>ABC</t>
  </si>
  <si>
    <t>CPKF</t>
  </si>
  <si>
    <t>KO</t>
  </si>
  <si>
    <t>ANTM</t>
  </si>
  <si>
    <t>TRV</t>
  </si>
  <si>
    <t>NWN</t>
  </si>
  <si>
    <t>ABBV</t>
  </si>
  <si>
    <t>DG</t>
  </si>
  <si>
    <t>NFG</t>
  </si>
  <si>
    <t>QCOM</t>
  </si>
  <si>
    <t>EXPD</t>
  </si>
  <si>
    <t>RNR</t>
  </si>
  <si>
    <t>ORCL</t>
  </si>
  <si>
    <t>CBSH</t>
  </si>
  <si>
    <t>LANC</t>
  </si>
  <si>
    <t>AMP</t>
  </si>
  <si>
    <t>PNR</t>
  </si>
  <si>
    <t>ADP</t>
  </si>
  <si>
    <t>TSN</t>
  </si>
  <si>
    <t>SCL</t>
  </si>
  <si>
    <t>GD</t>
  </si>
  <si>
    <t>KR</t>
  </si>
  <si>
    <t>CL</t>
  </si>
  <si>
    <t>GPC</t>
  </si>
  <si>
    <t>PSBQ</t>
  </si>
  <si>
    <t>LECO</t>
  </si>
  <si>
    <t>TXT</t>
  </si>
  <si>
    <t>AROW</t>
  </si>
  <si>
    <t>EBTC</t>
  </si>
  <si>
    <t>CAT</t>
  </si>
  <si>
    <t>HRL</t>
  </si>
  <si>
    <t>PPG</t>
  </si>
  <si>
    <t>FFMR</t>
  </si>
  <si>
    <t>MKC</t>
  </si>
  <si>
    <t>CSX</t>
  </si>
  <si>
    <t>JKHY</t>
  </si>
  <si>
    <t>AXP</t>
  </si>
  <si>
    <t>RE</t>
  </si>
  <si>
    <t>COST</t>
  </si>
  <si>
    <t>OZK</t>
  </si>
  <si>
    <t>SPGI</t>
  </si>
  <si>
    <t>DOV</t>
  </si>
  <si>
    <t>THFF</t>
  </si>
  <si>
    <t>TROW</t>
  </si>
  <si>
    <t>BRO</t>
  </si>
  <si>
    <t>CSL</t>
  </si>
  <si>
    <t>MCO</t>
  </si>
  <si>
    <t>CSVI</t>
  </si>
  <si>
    <t>AMAT</t>
  </si>
  <si>
    <t>FUL</t>
  </si>
  <si>
    <t>SRCE</t>
  </si>
  <si>
    <t>CB</t>
  </si>
  <si>
    <t>GRC</t>
  </si>
  <si>
    <t>CHD</t>
  </si>
  <si>
    <t>MCD</t>
  </si>
  <si>
    <t>UBSI</t>
  </si>
  <si>
    <t>CTAS</t>
  </si>
  <si>
    <t>ITW</t>
  </si>
  <si>
    <t>FELE</t>
  </si>
  <si>
    <t>RPM</t>
  </si>
  <si>
    <t>NDSN</t>
  </si>
  <si>
    <t>PG</t>
  </si>
  <si>
    <t>ATR</t>
  </si>
  <si>
    <t>SJW</t>
  </si>
  <si>
    <t>NKE</t>
  </si>
  <si>
    <t>GWW</t>
  </si>
  <si>
    <t>AOS</t>
  </si>
  <si>
    <t>TSCO</t>
  </si>
  <si>
    <t>ABT</t>
  </si>
  <si>
    <t>MGEE</t>
  </si>
  <si>
    <t>MSFT</t>
  </si>
  <si>
    <t>LIN</t>
  </si>
  <si>
    <t>EBAY</t>
  </si>
  <si>
    <t>TR</t>
  </si>
  <si>
    <t>TMP</t>
  </si>
  <si>
    <t>ECL</t>
  </si>
  <si>
    <t>MSA</t>
  </si>
  <si>
    <t>UNF</t>
  </si>
  <si>
    <t>AAPL</t>
  </si>
  <si>
    <t>BF.B</t>
  </si>
  <si>
    <t>SHW</t>
  </si>
  <si>
    <t>CWT</t>
  </si>
  <si>
    <t>RLI</t>
  </si>
  <si>
    <t>BAM</t>
  </si>
  <si>
    <t>MORN</t>
  </si>
  <si>
    <t>ALB</t>
  </si>
  <si>
    <t>AWR</t>
  </si>
  <si>
    <t>NUE</t>
  </si>
  <si>
    <t>WST</t>
  </si>
  <si>
    <t>BMI</t>
  </si>
  <si>
    <t>MSEX</t>
  </si>
  <si>
    <t>CI</t>
  </si>
  <si>
    <t>LAD</t>
  </si>
  <si>
    <t>CMCSA</t>
  </si>
  <si>
    <t>LAZ</t>
  </si>
  <si>
    <t>T</t>
  </si>
  <si>
    <t>OGN</t>
  </si>
  <si>
    <t>VZ</t>
  </si>
  <si>
    <t>PNGAY</t>
  </si>
  <si>
    <t>SAP</t>
  </si>
  <si>
    <t>ENB</t>
  </si>
  <si>
    <t>AMGN</t>
  </si>
  <si>
    <t>NC</t>
  </si>
  <si>
    <t>DDS</t>
  </si>
  <si>
    <t>IPG</t>
  </si>
  <si>
    <t>INTC</t>
  </si>
  <si>
    <t>WU</t>
  </si>
  <si>
    <t>EPD</t>
  </si>
  <si>
    <t>GEF</t>
  </si>
  <si>
    <t>FLIC</t>
  </si>
  <si>
    <t>TTE</t>
  </si>
  <si>
    <t>OMC</t>
  </si>
  <si>
    <t>SUN</t>
  </si>
  <si>
    <t>SRE</t>
  </si>
  <si>
    <t>FNV</t>
  </si>
  <si>
    <t>HBI</t>
  </si>
  <si>
    <t>RY</t>
  </si>
  <si>
    <t>MURGF</t>
  </si>
  <si>
    <t>NTIOF</t>
  </si>
  <si>
    <t>BMO</t>
  </si>
  <si>
    <t>MRK</t>
  </si>
  <si>
    <t>HII</t>
  </si>
  <si>
    <t>HRB</t>
  </si>
  <si>
    <t>MO</t>
  </si>
  <si>
    <t>NVS</t>
  </si>
  <si>
    <t>RDEIY</t>
  </si>
  <si>
    <t>TTC</t>
  </si>
  <si>
    <t>BLK</t>
  </si>
  <si>
    <t>SWX</t>
  </si>
  <si>
    <t>LMT</t>
  </si>
  <si>
    <t>EVRG</t>
  </si>
  <si>
    <t>CMI</t>
  </si>
  <si>
    <t>BNS</t>
  </si>
  <si>
    <t>NJR</t>
  </si>
  <si>
    <t>SLF</t>
  </si>
  <si>
    <t>TD</t>
  </si>
  <si>
    <t>YUM</t>
  </si>
  <si>
    <t>BIP</t>
  </si>
  <si>
    <t>KDP</t>
  </si>
  <si>
    <t>FOXA</t>
  </si>
  <si>
    <t>ORI</t>
  </si>
  <si>
    <t>BR</t>
  </si>
  <si>
    <t>TDS</t>
  </si>
  <si>
    <t>MSM</t>
  </si>
  <si>
    <t>SNA</t>
  </si>
  <si>
    <t>GILD</t>
  </si>
  <si>
    <t>CDUAF</t>
  </si>
  <si>
    <t>CM</t>
  </si>
  <si>
    <t>RBA</t>
  </si>
  <si>
    <t>PB</t>
  </si>
  <si>
    <t>POR</t>
  </si>
  <si>
    <t>IMO</t>
  </si>
  <si>
    <t>CHRW</t>
  </si>
  <si>
    <t>FTS</t>
  </si>
  <si>
    <t>PBCT</t>
  </si>
  <si>
    <t>BAH</t>
  </si>
  <si>
    <t>CIO</t>
  </si>
  <si>
    <t>EMN</t>
  </si>
  <si>
    <t>TXN</t>
  </si>
  <si>
    <t>HD</t>
  </si>
  <si>
    <t>RBGLY</t>
  </si>
  <si>
    <t>MDLZ</t>
  </si>
  <si>
    <t>XOM</t>
  </si>
  <si>
    <t>UHT</t>
  </si>
  <si>
    <t>AXS</t>
  </si>
  <si>
    <t>FLO</t>
  </si>
  <si>
    <t>UNH</t>
  </si>
  <si>
    <t>LNT</t>
  </si>
  <si>
    <t>EQIX</t>
  </si>
  <si>
    <t>K</t>
  </si>
  <si>
    <t>IBM</t>
  </si>
  <si>
    <t>YORW</t>
  </si>
  <si>
    <t>EIX</t>
  </si>
  <si>
    <t>RELX</t>
  </si>
  <si>
    <t>SBUX</t>
  </si>
  <si>
    <t>WEYS</t>
  </si>
  <si>
    <t>DTE</t>
  </si>
  <si>
    <t>CVX</t>
  </si>
  <si>
    <t>ICE</t>
  </si>
  <si>
    <t>NEP</t>
  </si>
  <si>
    <t>UPS</t>
  </si>
  <si>
    <t>KMB</t>
  </si>
  <si>
    <t>WABC</t>
  </si>
  <si>
    <t>UVV</t>
  </si>
  <si>
    <t>SIEGY</t>
  </si>
  <si>
    <t>DPZ</t>
  </si>
  <si>
    <t>DE</t>
  </si>
  <si>
    <t>RSG</t>
  </si>
  <si>
    <t>SJM</t>
  </si>
  <si>
    <t>RTX</t>
  </si>
  <si>
    <t>CSCO</t>
  </si>
  <si>
    <t>SPTN</t>
  </si>
  <si>
    <t>AAP</t>
  </si>
  <si>
    <t>MTB</t>
  </si>
  <si>
    <t>CONE</t>
  </si>
  <si>
    <t>CVS</t>
  </si>
  <si>
    <t>OTTR</t>
  </si>
  <si>
    <t>ARTNA</t>
  </si>
  <si>
    <t>ETR</t>
  </si>
  <si>
    <t>SBSI</t>
  </si>
  <si>
    <t>CTSH</t>
  </si>
  <si>
    <t>AMX</t>
  </si>
  <si>
    <t>LRLCF</t>
  </si>
  <si>
    <t>CLX</t>
  </si>
  <si>
    <t>HON</t>
  </si>
  <si>
    <t>PEG</t>
  </si>
  <si>
    <t>PRGO</t>
  </si>
  <si>
    <t>ED</t>
  </si>
  <si>
    <t>NSC</t>
  </si>
  <si>
    <t>INGR</t>
  </si>
  <si>
    <t>XEL</t>
  </si>
  <si>
    <t>AJG</t>
  </si>
  <si>
    <t>SBAC</t>
  </si>
  <si>
    <t>PEP</t>
  </si>
  <si>
    <t>MWA</t>
  </si>
  <si>
    <t>IFF</t>
  </si>
  <si>
    <t>CARR</t>
  </si>
  <si>
    <t>RHHBY</t>
  </si>
  <si>
    <t>RMD</t>
  </si>
  <si>
    <t>UNP</t>
  </si>
  <si>
    <t>MGRC</t>
  </si>
  <si>
    <t>HSY</t>
  </si>
  <si>
    <t>NEE</t>
  </si>
  <si>
    <t>AWK</t>
  </si>
  <si>
    <t>APD</t>
  </si>
  <si>
    <t>NVO</t>
  </si>
  <si>
    <t>CNI</t>
  </si>
  <si>
    <t>ERIE</t>
  </si>
  <si>
    <t>ROK</t>
  </si>
  <si>
    <t>UMBF</t>
  </si>
  <si>
    <t>CFR</t>
  </si>
  <si>
    <t>WTRG</t>
  </si>
  <si>
    <t>OTIS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</si>
  <si>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</si>
  <si>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</si>
  <si>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</si>
  <si>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</si>
  <si>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</si>
  <si>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</si>
  <si>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</si>
  <si>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</si>
  <si>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</si>
  <si>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</si>
  <si>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</si>
  <si>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</si>
  <si>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DKS</t>
  </si>
  <si>
    <t>MMP</t>
  </si>
  <si>
    <t>FL</t>
  </si>
  <si>
    <t>TRTN</t>
  </si>
  <si>
    <t>MDC</t>
  </si>
  <si>
    <t>LYB</t>
  </si>
  <si>
    <t>ALLY</t>
  </si>
  <si>
    <t>TFC</t>
  </si>
  <si>
    <t>TYCB</t>
  </si>
  <si>
    <t>THO</t>
  </si>
  <si>
    <t>DHI</t>
  </si>
  <si>
    <t>SVC</t>
  </si>
  <si>
    <t>BTI</t>
  </si>
  <si>
    <t>GWLIF</t>
  </si>
  <si>
    <t>FNF</t>
  </si>
  <si>
    <t>TX</t>
  </si>
  <si>
    <t>MCHP</t>
  </si>
  <si>
    <t>SNY</t>
  </si>
  <si>
    <t>C</t>
  </si>
  <si>
    <t>SYF</t>
  </si>
  <si>
    <t>ALL</t>
  </si>
  <si>
    <t>DDAIF</t>
  </si>
  <si>
    <t>PNW</t>
  </si>
  <si>
    <t>M</t>
  </si>
  <si>
    <t>LNC</t>
  </si>
  <si>
    <t>DFS</t>
  </si>
  <si>
    <t>GLOP</t>
  </si>
  <si>
    <t>MPLX</t>
  </si>
  <si>
    <t>SMG</t>
  </si>
  <si>
    <t>BASFY</t>
  </si>
  <si>
    <t>AEG</t>
  </si>
  <si>
    <t>NHI</t>
  </si>
  <si>
    <t>EQNR</t>
  </si>
  <si>
    <t>ROST</t>
  </si>
  <si>
    <t>CC</t>
  </si>
  <si>
    <t>UL</t>
  </si>
  <si>
    <t>RLJ</t>
  </si>
  <si>
    <t>IVZ</t>
  </si>
  <si>
    <t>SJI</t>
  </si>
  <si>
    <t>PHM</t>
  </si>
  <si>
    <t>STN</t>
  </si>
  <si>
    <t>GPS</t>
  </si>
  <si>
    <t>OGS</t>
  </si>
  <si>
    <t>JBL</t>
  </si>
  <si>
    <t>SR</t>
  </si>
  <si>
    <t>CE</t>
  </si>
  <si>
    <t>OGE</t>
  </si>
  <si>
    <t>DGX</t>
  </si>
  <si>
    <t>FAF</t>
  </si>
  <si>
    <t>HPQ</t>
  </si>
  <si>
    <t>PM</t>
  </si>
  <si>
    <t>PFG</t>
  </si>
  <si>
    <t>PDCO</t>
  </si>
  <si>
    <t>PGR</t>
  </si>
  <si>
    <t>WRK</t>
  </si>
  <si>
    <t>VIAC</t>
  </si>
  <si>
    <t>PRU</t>
  </si>
  <si>
    <t>OKE</t>
  </si>
  <si>
    <t>HPE</t>
  </si>
  <si>
    <t>RCI</t>
  </si>
  <si>
    <t>LRCX</t>
  </si>
  <si>
    <t>ALE</t>
  </si>
  <si>
    <t>KSS</t>
  </si>
  <si>
    <t>CPB</t>
  </si>
  <si>
    <t>R</t>
  </si>
  <si>
    <t>HUN</t>
  </si>
  <si>
    <t>COLD</t>
  </si>
  <si>
    <t>SAXPY</t>
  </si>
  <si>
    <t>NAVI</t>
  </si>
  <si>
    <t>MGA</t>
  </si>
  <si>
    <t>NLSN</t>
  </si>
  <si>
    <t>WFC</t>
  </si>
  <si>
    <t>CFG</t>
  </si>
  <si>
    <t>GE</t>
  </si>
  <si>
    <t>O</t>
  </si>
  <si>
    <t>AEP</t>
  </si>
  <si>
    <t>PFE</t>
  </si>
  <si>
    <t>APLE</t>
  </si>
  <si>
    <t>BMWYY</t>
  </si>
  <si>
    <t>JPM</t>
  </si>
  <si>
    <t>KEY</t>
  </si>
  <si>
    <t>BK</t>
  </si>
  <si>
    <t>AON</t>
  </si>
  <si>
    <t>ESRT</t>
  </si>
  <si>
    <t>ASML</t>
  </si>
  <si>
    <t>KLAC</t>
  </si>
  <si>
    <t>GIS</t>
  </si>
  <si>
    <t>PNC</t>
  </si>
  <si>
    <t>BWA</t>
  </si>
  <si>
    <t>HAL</t>
  </si>
  <si>
    <t>PKX</t>
  </si>
  <si>
    <t>USB</t>
  </si>
  <si>
    <t>GOLD</t>
  </si>
  <si>
    <t>SO</t>
  </si>
  <si>
    <t>COP</t>
  </si>
  <si>
    <t>MA</t>
  </si>
  <si>
    <t>CUBE</t>
  </si>
  <si>
    <t>AGM</t>
  </si>
  <si>
    <t>PSB</t>
  </si>
  <si>
    <t>WY</t>
  </si>
  <si>
    <t>BUD</t>
  </si>
  <si>
    <t>HOG</t>
  </si>
  <si>
    <t>WEC</t>
  </si>
  <si>
    <t>BAC</t>
  </si>
  <si>
    <t>WPC</t>
  </si>
  <si>
    <t>GNTX</t>
  </si>
  <si>
    <t>PACW</t>
  </si>
  <si>
    <t>NNN</t>
  </si>
  <si>
    <t>GS</t>
  </si>
  <si>
    <t>DUK</t>
  </si>
  <si>
    <t>MMC</t>
  </si>
  <si>
    <t>FITB</t>
  </si>
  <si>
    <t>AMT</t>
  </si>
  <si>
    <t>EAF</t>
  </si>
  <si>
    <t>PAYX</t>
  </si>
  <si>
    <t>OSK</t>
  </si>
  <si>
    <t>CMA</t>
  </si>
  <si>
    <t>STZ</t>
  </si>
  <si>
    <t>AUY</t>
  </si>
  <si>
    <t>KLIC</t>
  </si>
  <si>
    <t>OXY</t>
  </si>
  <si>
    <t>OLN</t>
  </si>
  <si>
    <t>LOGI</t>
  </si>
  <si>
    <t>DLR</t>
  </si>
  <si>
    <t>NSRGY</t>
  </si>
  <si>
    <t>ABB</t>
  </si>
  <si>
    <t>DEO</t>
  </si>
  <si>
    <t>PSA</t>
  </si>
  <si>
    <t>AVB</t>
  </si>
  <si>
    <t>HNI</t>
  </si>
  <si>
    <t>FAST</t>
  </si>
  <si>
    <t>STLD</t>
  </si>
  <si>
    <t>KSU</t>
  </si>
  <si>
    <t>APA</t>
  </si>
  <si>
    <t>RACE</t>
  </si>
  <si>
    <t>MT</t>
  </si>
  <si>
    <t>MRVL</t>
  </si>
  <si>
    <t>FCX</t>
  </si>
  <si>
    <t>INFY</t>
  </si>
  <si>
    <t>KKR</t>
  </si>
  <si>
    <t>TER</t>
  </si>
  <si>
    <t>TRI</t>
  </si>
  <si>
    <t>DHC</t>
  </si>
  <si>
    <t>SONY</t>
  </si>
  <si>
    <t>NVDA</t>
  </si>
  <si>
    <t>VMC</t>
  </si>
  <si>
    <t>ERF</t>
  </si>
  <si>
    <t>SHLX</t>
  </si>
  <si>
    <t>SPH</t>
  </si>
  <si>
    <t>PAA</t>
  </si>
  <si>
    <t>HEP</t>
  </si>
  <si>
    <t>PBR</t>
  </si>
  <si>
    <t>GORO</t>
  </si>
  <si>
    <t>SNP</t>
  </si>
  <si>
    <t>EOG</t>
  </si>
  <si>
    <t>AVAL</t>
  </si>
  <si>
    <t>PHG</t>
  </si>
  <si>
    <t>TPR</t>
  </si>
  <si>
    <t>ET</t>
  </si>
  <si>
    <t>KRC</t>
  </si>
  <si>
    <t>ERIC</t>
  </si>
  <si>
    <t>PSX</t>
  </si>
  <si>
    <t>SLG</t>
  </si>
  <si>
    <t>LUMN</t>
  </si>
  <si>
    <t>PTR</t>
  </si>
  <si>
    <t>UNIT</t>
  </si>
  <si>
    <t>ARLP</t>
  </si>
  <si>
    <t>BAYRY</t>
  </si>
  <si>
    <t>SMFG</t>
  </si>
  <si>
    <t>AZN</t>
  </si>
  <si>
    <t>MS</t>
  </si>
  <si>
    <t>NYCB</t>
  </si>
  <si>
    <t>HAS</t>
  </si>
  <si>
    <t>OPI</t>
  </si>
  <si>
    <t>MFC</t>
  </si>
  <si>
    <t>TS</t>
  </si>
  <si>
    <t>DOW</t>
  </si>
  <si>
    <t>TAP</t>
  </si>
  <si>
    <t>TGP</t>
  </si>
  <si>
    <t>HSBC</t>
  </si>
  <si>
    <t>MED</t>
  </si>
  <si>
    <t>BP</t>
  </si>
  <si>
    <t>PGRE</t>
  </si>
  <si>
    <t>WSBC</t>
  </si>
  <si>
    <t>RF</t>
  </si>
  <si>
    <t>TRST</t>
  </si>
  <si>
    <t>ITUB</t>
  </si>
  <si>
    <t>DRI</t>
  </si>
  <si>
    <t>NTR</t>
  </si>
  <si>
    <t>RDS.B</t>
  </si>
  <si>
    <t>IMBBY</t>
  </si>
  <si>
    <t>DD</t>
  </si>
  <si>
    <t>BDN</t>
  </si>
  <si>
    <t>WMB</t>
  </si>
  <si>
    <t>KMI</t>
  </si>
  <si>
    <t>WEN</t>
  </si>
  <si>
    <t>PETS</t>
  </si>
  <si>
    <t>HASI</t>
  </si>
  <si>
    <t>SAFE</t>
  </si>
  <si>
    <t>D</t>
  </si>
  <si>
    <t>SPG</t>
  </si>
  <si>
    <t>WASH</t>
  </si>
  <si>
    <t>AMCR</t>
  </si>
  <si>
    <t>SUUIF</t>
  </si>
  <si>
    <t>MKTX</t>
  </si>
  <si>
    <t>VALE</t>
  </si>
  <si>
    <t>IP</t>
  </si>
  <si>
    <t>HIW</t>
  </si>
  <si>
    <t>CAG</t>
  </si>
  <si>
    <t>PDM</t>
  </si>
  <si>
    <t>CNA</t>
  </si>
  <si>
    <t>NWL</t>
  </si>
  <si>
    <t>ABEV</t>
  </si>
  <si>
    <t>RIO</t>
  </si>
  <si>
    <t>DTEGY</t>
  </si>
  <si>
    <t>GEL</t>
  </si>
  <si>
    <t>REG</t>
  </si>
  <si>
    <t>DEI</t>
  </si>
  <si>
    <t>PCAR</t>
  </si>
  <si>
    <t>ING</t>
  </si>
  <si>
    <t>OFC</t>
  </si>
  <si>
    <t>CUZ</t>
  </si>
  <si>
    <t>BHP</t>
  </si>
  <si>
    <t>NXRT</t>
  </si>
  <si>
    <t>BBD</t>
  </si>
  <si>
    <t>FRFHF</t>
  </si>
  <si>
    <t>AGNC</t>
  </si>
  <si>
    <t>WSR</t>
  </si>
  <si>
    <t>AKR</t>
  </si>
  <si>
    <t>ADC</t>
  </si>
  <si>
    <t>EMRAF</t>
  </si>
  <si>
    <t>CNP</t>
  </si>
  <si>
    <t>MCY</t>
  </si>
  <si>
    <t>GRMN</t>
  </si>
  <si>
    <t>KHC</t>
  </si>
  <si>
    <t>LMRK</t>
  </si>
  <si>
    <t>HBAN</t>
  </si>
  <si>
    <t>KRG</t>
  </si>
  <si>
    <t>TJX</t>
  </si>
  <si>
    <t>GLW</t>
  </si>
  <si>
    <t>KTB</t>
  </si>
  <si>
    <t>INVH</t>
  </si>
  <si>
    <t>SBS</t>
  </si>
  <si>
    <t>NGG</t>
  </si>
  <si>
    <t>NSP</t>
  </si>
  <si>
    <t>MPW</t>
  </si>
  <si>
    <t>NTAP</t>
  </si>
  <si>
    <t>UE</t>
  </si>
  <si>
    <t>BXP</t>
  </si>
  <si>
    <t>DEA</t>
  </si>
  <si>
    <t>RPT</t>
  </si>
  <si>
    <t>ALV</t>
  </si>
  <si>
    <t>AES</t>
  </si>
  <si>
    <t>WPP</t>
  </si>
  <si>
    <t>MAC</t>
  </si>
  <si>
    <t>HMC</t>
  </si>
  <si>
    <t>MPWR</t>
  </si>
  <si>
    <t>DOC</t>
  </si>
  <si>
    <t>SKT</t>
  </si>
  <si>
    <t>JNPR</t>
  </si>
  <si>
    <t>TU</t>
  </si>
  <si>
    <t>APO</t>
  </si>
  <si>
    <t>CAJ</t>
  </si>
  <si>
    <t>TSM</t>
  </si>
  <si>
    <t>CCI</t>
  </si>
  <si>
    <t>UBS</t>
  </si>
  <si>
    <t>CNQ</t>
  </si>
  <si>
    <t>RGA</t>
  </si>
  <si>
    <t>TM</t>
  </si>
  <si>
    <t>STX</t>
  </si>
  <si>
    <t>BRX</t>
  </si>
  <si>
    <t>SLB</t>
  </si>
  <si>
    <t>AVGO</t>
  </si>
  <si>
    <t>PLD</t>
  </si>
  <si>
    <t>EXPO</t>
  </si>
  <si>
    <t>ARE</t>
  </si>
  <si>
    <t>JCI</t>
  </si>
  <si>
    <t>ELS</t>
  </si>
  <si>
    <t>TRGP</t>
  </si>
  <si>
    <t>DRE</t>
  </si>
  <si>
    <t>COR</t>
  </si>
  <si>
    <t>OGZPY</t>
  </si>
  <si>
    <t>CWEN</t>
  </si>
  <si>
    <t>TRSWF</t>
  </si>
  <si>
    <t>EXC</t>
  </si>
  <si>
    <t>FR</t>
  </si>
  <si>
    <t>WPM</t>
  </si>
  <si>
    <t>CMP</t>
  </si>
  <si>
    <t>CME</t>
  </si>
  <si>
    <t>AMH</t>
  </si>
  <si>
    <t>MAA</t>
  </si>
  <si>
    <t>ETN</t>
  </si>
  <si>
    <t>KIM</t>
  </si>
  <si>
    <t>CPT</t>
  </si>
  <si>
    <t>ACN</t>
  </si>
  <si>
    <t>CF</t>
  </si>
  <si>
    <t>SCHL</t>
  </si>
  <si>
    <t>IIPR</t>
  </si>
  <si>
    <t>KNOP</t>
  </si>
  <si>
    <t>ORAN</t>
  </si>
  <si>
    <t>OHI</t>
  </si>
  <si>
    <t>DHT</t>
  </si>
  <si>
    <t>GECC</t>
  </si>
  <si>
    <t>SCCO</t>
  </si>
  <si>
    <t>PSXP</t>
  </si>
  <si>
    <t>IEP</t>
  </si>
  <si>
    <t>APAM</t>
  </si>
  <si>
    <t>NEWT</t>
  </si>
  <si>
    <t>SU</t>
  </si>
  <si>
    <t>SBRA</t>
  </si>
  <si>
    <t>EIFZF</t>
  </si>
  <si>
    <t>CLPR</t>
  </si>
  <si>
    <t>TEF</t>
  </si>
  <si>
    <t>CORR</t>
  </si>
  <si>
    <t>VICI</t>
  </si>
  <si>
    <t>PINE</t>
  </si>
  <si>
    <t>SFL</t>
  </si>
  <si>
    <t>LTC</t>
  </si>
  <si>
    <t>TWO</t>
  </si>
  <si>
    <t>EFC</t>
  </si>
  <si>
    <t>TRP</t>
  </si>
  <si>
    <t>USAC</t>
  </si>
  <si>
    <t>EPR</t>
  </si>
  <si>
    <t>CQP</t>
  </si>
  <si>
    <t>NYMT</t>
  </si>
  <si>
    <t>QSR</t>
  </si>
  <si>
    <t>ORC</t>
  </si>
  <si>
    <t>MGP</t>
  </si>
  <si>
    <t>VGR</t>
  </si>
  <si>
    <t>AAT</t>
  </si>
  <si>
    <t>SRC</t>
  </si>
  <si>
    <t>GNL</t>
  </si>
  <si>
    <t>HR</t>
  </si>
  <si>
    <t>NTST</t>
  </si>
  <si>
    <t>EPRT</t>
  </si>
  <si>
    <t>CWCO</t>
  </si>
  <si>
    <t>VOD</t>
  </si>
  <si>
    <t>ORCC</t>
  </si>
  <si>
    <t>FCPT</t>
  </si>
  <si>
    <t>WSO</t>
  </si>
  <si>
    <t>PMT</t>
  </si>
  <si>
    <t>GSBD</t>
  </si>
  <si>
    <t>CTRE</t>
  </si>
  <si>
    <t>AQN</t>
  </si>
  <si>
    <t>ACRE</t>
  </si>
  <si>
    <t>CTO</t>
  </si>
  <si>
    <t>IDEXY</t>
  </si>
  <si>
    <t>NLY</t>
  </si>
  <si>
    <t>CBRL</t>
  </si>
  <si>
    <t>MRCC</t>
  </si>
  <si>
    <t>KREF</t>
  </si>
  <si>
    <t>AFIN</t>
  </si>
  <si>
    <t>NRZ</t>
  </si>
  <si>
    <t>HRZN</t>
  </si>
  <si>
    <t>CHCT</t>
  </si>
  <si>
    <t>E</t>
  </si>
  <si>
    <t>CSWC</t>
  </si>
  <si>
    <t>EIC</t>
  </si>
  <si>
    <t>ILPT</t>
  </si>
  <si>
    <t>VNO</t>
  </si>
  <si>
    <t>SSREY</t>
  </si>
  <si>
    <t>NMFC</t>
  </si>
  <si>
    <t>VST</t>
  </si>
  <si>
    <t>VTR</t>
  </si>
  <si>
    <t>PFLT</t>
  </si>
  <si>
    <t>UMH</t>
  </si>
  <si>
    <t>TSLX</t>
  </si>
  <si>
    <t>ARR</t>
  </si>
  <si>
    <t>GBDC</t>
  </si>
  <si>
    <t>BEP</t>
  </si>
  <si>
    <t>STWD</t>
  </si>
  <si>
    <t>VIA</t>
  </si>
  <si>
    <t>BRMK</t>
  </si>
  <si>
    <t>SUNS</t>
  </si>
  <si>
    <t>AM</t>
  </si>
  <si>
    <t>EXR</t>
  </si>
  <si>
    <t>FE</t>
  </si>
  <si>
    <t>FDUS</t>
  </si>
  <si>
    <t>DX</t>
  </si>
  <si>
    <t>VLO</t>
  </si>
  <si>
    <t>TPVG</t>
  </si>
  <si>
    <t>LWSCF</t>
  </si>
  <si>
    <t>SACH</t>
  </si>
  <si>
    <t>BFS</t>
  </si>
  <si>
    <t>GLPI</t>
  </si>
  <si>
    <t>DANOY</t>
  </si>
  <si>
    <t>SJT</t>
  </si>
  <si>
    <t>STOR</t>
  </si>
  <si>
    <t>GSK</t>
  </si>
  <si>
    <t>CRT</t>
  </si>
  <si>
    <t>ARI</t>
  </si>
  <si>
    <t>MAIN</t>
  </si>
  <si>
    <t>SCM</t>
  </si>
  <si>
    <t>CIM</t>
  </si>
  <si>
    <t>GMRE</t>
  </si>
  <si>
    <t>PBA</t>
  </si>
  <si>
    <t>NEM</t>
  </si>
  <si>
    <t>ARCC</t>
  </si>
  <si>
    <t>HTA</t>
  </si>
  <si>
    <t>BX</t>
  </si>
  <si>
    <t>GWRS</t>
  </si>
  <si>
    <t>OXSQ</t>
  </si>
  <si>
    <t>HTGC</t>
  </si>
  <si>
    <t>PRT</t>
  </si>
  <si>
    <t>NSA</t>
  </si>
  <si>
    <t>MNR</t>
  </si>
  <si>
    <t>BGS</t>
  </si>
  <si>
    <t>SBR</t>
  </si>
  <si>
    <t>CODI</t>
  </si>
  <si>
    <t>XRX</t>
  </si>
  <si>
    <t>GOOD</t>
  </si>
  <si>
    <t>IRT</t>
  </si>
  <si>
    <t>BXMT</t>
  </si>
  <si>
    <t>BCE</t>
  </si>
  <si>
    <t>PSEC</t>
  </si>
  <si>
    <t>PSO</t>
  </si>
  <si>
    <t>ACC</t>
  </si>
  <si>
    <t>BKR</t>
  </si>
  <si>
    <t>OLP</t>
  </si>
  <si>
    <t>EVA</t>
  </si>
  <si>
    <t>LADR</t>
  </si>
  <si>
    <t>SJR</t>
  </si>
  <si>
    <t>EQR</t>
  </si>
  <si>
    <t>APTS</t>
  </si>
  <si>
    <t>PLYM</t>
  </si>
  <si>
    <t>EGP</t>
  </si>
  <si>
    <t>GLAD</t>
  </si>
  <si>
    <t>LSI</t>
  </si>
  <si>
    <t>PEAK</t>
  </si>
  <si>
    <t>GAIN</t>
  </si>
  <si>
    <t>ABR</t>
  </si>
  <si>
    <t>IRM</t>
  </si>
  <si>
    <t>DREUF</t>
  </si>
  <si>
    <t>UDR</t>
  </si>
  <si>
    <t>STAG</t>
  </si>
  <si>
    <t>LXP</t>
  </si>
  <si>
    <t>MPC</t>
  </si>
  <si>
    <t>GROW</t>
  </si>
  <si>
    <t>HP</t>
  </si>
  <si>
    <t>PPRQF</t>
  </si>
  <si>
    <t>UBA</t>
  </si>
  <si>
    <t>DRETF</t>
  </si>
  <si>
    <t>WELL</t>
  </si>
  <si>
    <t>AB</t>
  </si>
  <si>
    <t>LAMR</t>
  </si>
  <si>
    <t>LAND</t>
  </si>
  <si>
    <t>PBT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</si>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</sst>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60.26</v>
      </c>
      <c r="D2">
        <v>70</v>
      </c>
      <c r="E2">
        <v>0.8608571428571429</v>
      </c>
      <c r="F2">
        <v>0.00448058413541321</v>
      </c>
      <c r="G2">
        <v>0.03041882073853652</v>
      </c>
      <c r="H2">
        <v>0.15</v>
      </c>
      <c r="I2">
        <v>0.1890452308025035</v>
      </c>
      <c r="J2" t="s">
        <v>776</v>
      </c>
      <c r="K2" t="s">
        <v>345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-0.181805838424983</v>
      </c>
      <c r="R2" t="s">
        <v>780</v>
      </c>
      <c r="S2" t="s">
        <v>784</v>
      </c>
      <c r="T2">
        <v>578725.222592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62.05</v>
      </c>
      <c r="D3">
        <v>101</v>
      </c>
      <c r="E3">
        <v>0.6143564356435643</v>
      </c>
      <c r="F3">
        <v>0.03481063658340049</v>
      </c>
      <c r="G3">
        <v>0.1023408906331282</v>
      </c>
      <c r="H3">
        <v>0.03</v>
      </c>
      <c r="I3">
        <v>0.1574262732091489</v>
      </c>
      <c r="J3" t="s">
        <v>776</v>
      </c>
      <c r="K3" t="s">
        <v>776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0.049441284563488</v>
      </c>
      <c r="R3" t="s">
        <v>780</v>
      </c>
      <c r="S3" t="s">
        <v>785</v>
      </c>
      <c r="T3">
        <v>137728.968217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41.53</v>
      </c>
      <c r="D4">
        <v>61</v>
      </c>
      <c r="E4">
        <v>0.6808196721311476</v>
      </c>
      <c r="F4">
        <v>0.01878160366000482</v>
      </c>
      <c r="G4">
        <v>0.07992496439036256</v>
      </c>
      <c r="H4">
        <v>0.05</v>
      </c>
      <c r="I4">
        <v>0.145886454380177</v>
      </c>
      <c r="J4" t="s">
        <v>776</v>
      </c>
      <c r="K4" t="s">
        <v>777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0.105859484216272</v>
      </c>
      <c r="R4" t="s">
        <v>780</v>
      </c>
      <c r="S4" t="s">
        <v>786</v>
      </c>
      <c r="T4">
        <v>2795.715668</v>
      </c>
      <c r="U4" s="2">
        <v>44453</v>
      </c>
      <c r="V4" t="s">
        <v>797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153.42</v>
      </c>
      <c r="D5">
        <v>174</v>
      </c>
      <c r="E5">
        <v>0.8817241379310344</v>
      </c>
      <c r="F5">
        <v>0.01460044322774084</v>
      </c>
      <c r="G5">
        <v>0.02549477981462656</v>
      </c>
      <c r="H5">
        <v>0.1</v>
      </c>
      <c r="I5">
        <v>0.1395776969764078</v>
      </c>
      <c r="J5" t="s">
        <v>776</v>
      </c>
      <c r="K5" t="s">
        <v>345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0.030300588282698</v>
      </c>
      <c r="R5" t="s">
        <v>780</v>
      </c>
      <c r="S5" t="s">
        <v>787</v>
      </c>
      <c r="T5">
        <v>25373.712355</v>
      </c>
      <c r="U5" s="2">
        <v>44507</v>
      </c>
      <c r="V5" t="s">
        <v>798</v>
      </c>
    </row>
    <row r="6" spans="1:22">
      <c r="A6" s="1" t="s">
        <v>26</v>
      </c>
      <c r="B6">
        <f>HYPERLINK("https://www.suredividend.com/sure-analysis-PII/","Polaris Inc")</f>
        <v>0</v>
      </c>
      <c r="C6">
        <v>106.27</v>
      </c>
      <c r="D6">
        <v>144</v>
      </c>
      <c r="E6">
        <v>0.7379861111111111</v>
      </c>
      <c r="F6">
        <v>0.02371318340077162</v>
      </c>
      <c r="G6">
        <v>0.06265028321296384</v>
      </c>
      <c r="H6">
        <v>0.05</v>
      </c>
      <c r="I6">
        <v>0.1337407184278587</v>
      </c>
      <c r="J6" t="s">
        <v>776</v>
      </c>
      <c r="K6" t="s">
        <v>777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0.08954754095671401</v>
      </c>
      <c r="R6" t="s">
        <v>780</v>
      </c>
      <c r="S6" t="s">
        <v>788</v>
      </c>
      <c r="T6">
        <v>6448.650741</v>
      </c>
      <c r="U6" s="2">
        <v>44496</v>
      </c>
      <c r="V6" t="s">
        <v>799</v>
      </c>
    </row>
    <row r="7" spans="1:22">
      <c r="A7" s="1" t="s">
        <v>27</v>
      </c>
      <c r="B7">
        <f>HYPERLINK("https://www.suredividend.com/sure-analysis-BBY/","Best Buy Co. Inc.")</f>
        <v>0</v>
      </c>
      <c r="C7">
        <v>98.08</v>
      </c>
      <c r="D7">
        <v>121</v>
      </c>
      <c r="E7">
        <v>0.8105785123966942</v>
      </c>
      <c r="F7">
        <v>0.02854812398042414</v>
      </c>
      <c r="G7">
        <v>0.04289595411561176</v>
      </c>
      <c r="H7">
        <v>0.06</v>
      </c>
      <c r="I7">
        <v>0.1286820598928098</v>
      </c>
      <c r="J7" t="s">
        <v>776</v>
      </c>
      <c r="K7" t="s">
        <v>776</v>
      </c>
      <c r="L7">
        <v>10.05</v>
      </c>
      <c r="M7">
        <v>2.8</v>
      </c>
      <c r="N7">
        <v>0.2786069651741293</v>
      </c>
      <c r="O7">
        <v>18</v>
      </c>
      <c r="P7">
        <v>0.07978367728709435</v>
      </c>
      <c r="Q7">
        <v>-0.016912355050201</v>
      </c>
      <c r="R7" t="s">
        <v>780</v>
      </c>
      <c r="S7" t="s">
        <v>788</v>
      </c>
      <c r="T7">
        <v>23594.212876</v>
      </c>
      <c r="U7" s="2">
        <v>44551</v>
      </c>
      <c r="V7" t="s">
        <v>800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57.64</v>
      </c>
      <c r="D8">
        <v>64</v>
      </c>
      <c r="E8">
        <v>0.900625</v>
      </c>
      <c r="F8">
        <v>0.01526717557251908</v>
      </c>
      <c r="G8">
        <v>0.0211539000495351</v>
      </c>
      <c r="H8">
        <v>0.09</v>
      </c>
      <c r="I8">
        <v>0.1253684738996084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0.026497673283813</v>
      </c>
      <c r="R8" t="s">
        <v>780</v>
      </c>
      <c r="S8" t="s">
        <v>786</v>
      </c>
      <c r="T8">
        <v>7120.38667</v>
      </c>
      <c r="U8" s="2">
        <v>44541</v>
      </c>
      <c r="V8" t="s">
        <v>801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24.47</v>
      </c>
      <c r="D9">
        <v>32</v>
      </c>
      <c r="E9">
        <v>0.7646875</v>
      </c>
      <c r="F9">
        <v>0.04903964037597058</v>
      </c>
      <c r="G9">
        <v>0.05512327144001716</v>
      </c>
      <c r="H9">
        <v>0.02</v>
      </c>
      <c r="I9">
        <v>0.1124263693903693</v>
      </c>
      <c r="J9" t="s">
        <v>776</v>
      </c>
      <c r="K9" t="s">
        <v>776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0.166037663921927</v>
      </c>
      <c r="R9" t="s">
        <v>780</v>
      </c>
      <c r="S9" t="s">
        <v>789</v>
      </c>
      <c r="T9">
        <v>5002.972422</v>
      </c>
      <c r="U9" s="2">
        <v>44503</v>
      </c>
      <c r="V9" t="s">
        <v>799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41.13</v>
      </c>
      <c r="D10">
        <v>43</v>
      </c>
      <c r="E10">
        <v>0.9565116279069769</v>
      </c>
      <c r="F10">
        <v>0.01361536591295891</v>
      </c>
      <c r="G10">
        <v>0.008932122129899689</v>
      </c>
      <c r="H10">
        <v>0.09</v>
      </c>
      <c r="I10">
        <v>0.1119474451904312</v>
      </c>
      <c r="J10" t="s">
        <v>776</v>
      </c>
      <c r="K10" t="s">
        <v>345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0.142065380674576</v>
      </c>
      <c r="R10" t="s">
        <v>780</v>
      </c>
      <c r="S10" t="s">
        <v>790</v>
      </c>
      <c r="T10">
        <v>4541.172719</v>
      </c>
      <c r="U10" s="2">
        <v>44500</v>
      </c>
      <c r="V10" t="s">
        <v>795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253.82</v>
      </c>
      <c r="D11">
        <v>305</v>
      </c>
      <c r="E11">
        <v>0.8321967213114754</v>
      </c>
      <c r="F11">
        <v>0.01181939957450162</v>
      </c>
      <c r="G11">
        <v>0.03742043854772126</v>
      </c>
      <c r="H11">
        <v>0.06</v>
      </c>
      <c r="I11">
        <v>0.1091527949622024</v>
      </c>
      <c r="J11" t="s">
        <v>776</v>
      </c>
      <c r="K11" t="s">
        <v>345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-0.05205871544283001</v>
      </c>
      <c r="R11" t="s">
        <v>780</v>
      </c>
      <c r="S11" t="s">
        <v>786</v>
      </c>
      <c r="T11">
        <v>67254.518386</v>
      </c>
      <c r="U11" s="2">
        <v>44548</v>
      </c>
      <c r="V11" t="s">
        <v>795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39.57</v>
      </c>
      <c r="D12">
        <v>44</v>
      </c>
      <c r="E12">
        <v>0.8993181818181818</v>
      </c>
      <c r="F12">
        <v>0.04245640636846095</v>
      </c>
      <c r="G12">
        <v>0.02145049974725199</v>
      </c>
      <c r="H12">
        <v>0.05</v>
      </c>
      <c r="I12">
        <v>0.1064167541369623</v>
      </c>
      <c r="J12" t="s">
        <v>776</v>
      </c>
      <c r="K12" t="s">
        <v>776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-0.021498835294292</v>
      </c>
      <c r="R12" t="s">
        <v>780</v>
      </c>
      <c r="S12" t="s">
        <v>788</v>
      </c>
      <c r="T12">
        <v>5277.735725</v>
      </c>
      <c r="U12" s="2">
        <v>44506</v>
      </c>
      <c r="V12" t="s">
        <v>797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65.44</v>
      </c>
      <c r="D13">
        <v>74</v>
      </c>
      <c r="E13">
        <v>0.8843243243243243</v>
      </c>
      <c r="F13">
        <v>0.0226161369193154</v>
      </c>
      <c r="G13">
        <v>0.02489101507577063</v>
      </c>
      <c r="H13">
        <v>0.06</v>
      </c>
      <c r="I13">
        <v>0.1036135546287658</v>
      </c>
      <c r="J13" t="s">
        <v>776</v>
      </c>
      <c r="K13" t="s">
        <v>777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0.358129997779341</v>
      </c>
      <c r="R13" t="s">
        <v>780</v>
      </c>
      <c r="S13" t="s">
        <v>791</v>
      </c>
      <c r="T13">
        <v>36609.836054</v>
      </c>
      <c r="U13" s="2">
        <v>44507</v>
      </c>
      <c r="V13" t="s">
        <v>798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103.63</v>
      </c>
      <c r="D14">
        <v>128</v>
      </c>
      <c r="E14">
        <v>0.809609375</v>
      </c>
      <c r="F14">
        <v>0.01350960146675673</v>
      </c>
      <c r="G14">
        <v>0.04314551295307623</v>
      </c>
      <c r="H14">
        <v>0.045</v>
      </c>
      <c r="I14">
        <v>0.1022786930770823</v>
      </c>
      <c r="J14" t="s">
        <v>776</v>
      </c>
      <c r="K14" t="s">
        <v>345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-0.036266259461339</v>
      </c>
      <c r="R14" t="s">
        <v>780</v>
      </c>
      <c r="S14" t="s">
        <v>790</v>
      </c>
      <c r="T14">
        <v>6801.992466</v>
      </c>
      <c r="U14" s="2">
        <v>44508</v>
      </c>
      <c r="V14" t="s">
        <v>802</v>
      </c>
    </row>
    <row r="15" spans="1:22">
      <c r="A15" s="1" t="s">
        <v>35</v>
      </c>
      <c r="B15">
        <f>HYPERLINK("https://www.suredividend.com/sure-analysis-CINF/","Cincinnati Financial Corp.")</f>
        <v>0</v>
      </c>
      <c r="C15">
        <v>112.34</v>
      </c>
      <c r="D15">
        <v>112.03</v>
      </c>
      <c r="E15">
        <v>1.002767115951084</v>
      </c>
      <c r="F15">
        <v>0.0224319031511483</v>
      </c>
      <c r="G15">
        <v>-0.0005525062189267738</v>
      </c>
      <c r="H15">
        <v>0.08</v>
      </c>
      <c r="I15">
        <v>0.09794410147529731</v>
      </c>
      <c r="J15" t="s">
        <v>776</v>
      </c>
      <c r="K15" t="s">
        <v>777</v>
      </c>
      <c r="L15">
        <v>5.58</v>
      </c>
      <c r="M15">
        <v>2.52</v>
      </c>
      <c r="N15">
        <v>0.4516129032258064</v>
      </c>
      <c r="O15">
        <v>60</v>
      </c>
      <c r="P15">
        <v>0.05024607263868264</v>
      </c>
      <c r="Q15">
        <v>0.339613641783925</v>
      </c>
      <c r="R15" t="s">
        <v>780</v>
      </c>
      <c r="S15" t="s">
        <v>789</v>
      </c>
      <c r="T15">
        <v>18102.579715</v>
      </c>
      <c r="U15" s="2">
        <v>44499</v>
      </c>
      <c r="V15" t="s">
        <v>798</v>
      </c>
    </row>
    <row r="16" spans="1:22">
      <c r="A16" s="1" t="s">
        <v>36</v>
      </c>
      <c r="B16">
        <f>HYPERLINK("https://www.suredividend.com/sure-analysis-BDX/","Becton, Dickinson And Co.")</f>
        <v>0</v>
      </c>
      <c r="C16">
        <v>248.91</v>
      </c>
      <c r="D16">
        <v>231</v>
      </c>
      <c r="E16">
        <v>1.077532467532468</v>
      </c>
      <c r="F16">
        <v>0.01398095697239966</v>
      </c>
      <c r="G16">
        <v>-0.01482376493312965</v>
      </c>
      <c r="H16">
        <v>0.1</v>
      </c>
      <c r="I16">
        <v>0.0969726002520177</v>
      </c>
      <c r="J16" t="s">
        <v>776</v>
      </c>
      <c r="K16" t="s">
        <v>777</v>
      </c>
      <c r="L16">
        <v>12.4</v>
      </c>
      <c r="M16">
        <v>3.48</v>
      </c>
      <c r="N16">
        <v>0.2806451612903226</v>
      </c>
      <c r="O16">
        <v>50</v>
      </c>
      <c r="P16">
        <v>0.09982036375468772</v>
      </c>
      <c r="Q16">
        <v>0.033043188103007</v>
      </c>
      <c r="R16" t="s">
        <v>780</v>
      </c>
      <c r="S16" t="s">
        <v>785</v>
      </c>
      <c r="T16">
        <v>70950.145227</v>
      </c>
      <c r="U16" s="2">
        <v>44507</v>
      </c>
      <c r="V16" t="s">
        <v>796</v>
      </c>
    </row>
    <row r="17" spans="1:22">
      <c r="A17" s="1" t="s">
        <v>37</v>
      </c>
      <c r="B17">
        <f>HYPERLINK("https://www.suredividend.com/sure-analysis-WBA/","Walgreens Boots Alliance Inc")</f>
        <v>0</v>
      </c>
      <c r="C17">
        <v>50.48</v>
      </c>
      <c r="D17">
        <v>54</v>
      </c>
      <c r="E17">
        <v>0.9348148148148148</v>
      </c>
      <c r="F17">
        <v>0.03783676703645008</v>
      </c>
      <c r="G17">
        <v>0.01357264902322108</v>
      </c>
      <c r="H17">
        <v>0.05</v>
      </c>
      <c r="I17">
        <v>0.09648349231575937</v>
      </c>
      <c r="J17" t="s">
        <v>776</v>
      </c>
      <c r="K17" t="s">
        <v>776</v>
      </c>
      <c r="L17">
        <v>5.35</v>
      </c>
      <c r="M17">
        <v>1.91</v>
      </c>
      <c r="N17">
        <v>0.3570093457943925</v>
      </c>
      <c r="O17">
        <v>46</v>
      </c>
      <c r="P17">
        <v>0.0501982537579746</v>
      </c>
      <c r="Q17">
        <v>0.314415608424966</v>
      </c>
      <c r="R17" t="s">
        <v>780</v>
      </c>
      <c r="S17" t="s">
        <v>785</v>
      </c>
      <c r="T17">
        <v>43696.111832</v>
      </c>
      <c r="U17" s="2">
        <v>44483</v>
      </c>
      <c r="V17" t="s">
        <v>799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34.61</v>
      </c>
      <c r="D18">
        <v>37</v>
      </c>
      <c r="E18">
        <v>0.9354054054054054</v>
      </c>
      <c r="F18">
        <v>0.03236058942502167</v>
      </c>
      <c r="G18">
        <v>0.01344462801734769</v>
      </c>
      <c r="H18">
        <v>0.055</v>
      </c>
      <c r="I18">
        <v>0.09615576370766421</v>
      </c>
      <c r="J18" t="s">
        <v>776</v>
      </c>
      <c r="K18" t="s">
        <v>776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0.213415232726099</v>
      </c>
      <c r="R18" t="s">
        <v>780</v>
      </c>
      <c r="S18" t="s">
        <v>789</v>
      </c>
      <c r="T18">
        <v>119.54737</v>
      </c>
      <c r="U18" s="2">
        <v>44505</v>
      </c>
      <c r="V18" t="s">
        <v>797</v>
      </c>
    </row>
    <row r="19" spans="1:22">
      <c r="A19" s="1" t="s">
        <v>39</v>
      </c>
      <c r="B19">
        <f>HYPERLINK("https://www.suredividend.com/sure-analysis-PH/","Parker-Hannifin Corp.")</f>
        <v>0</v>
      </c>
      <c r="C19">
        <v>311.89</v>
      </c>
      <c r="D19">
        <v>289</v>
      </c>
      <c r="E19">
        <v>1.079204152249135</v>
      </c>
      <c r="F19">
        <v>0.01320978550129854</v>
      </c>
      <c r="G19">
        <v>-0.01512916135355202</v>
      </c>
      <c r="H19">
        <v>0.1</v>
      </c>
      <c r="I19">
        <v>0.09594791980564432</v>
      </c>
      <c r="J19" t="s">
        <v>776</v>
      </c>
      <c r="K19" t="s">
        <v>777</v>
      </c>
      <c r="L19">
        <v>17.5</v>
      </c>
      <c r="M19">
        <v>4.12</v>
      </c>
      <c r="N19">
        <v>0.2354285714285714</v>
      </c>
      <c r="O19">
        <v>65</v>
      </c>
      <c r="P19">
        <v>0.10015574926841</v>
      </c>
      <c r="Q19">
        <v>0.172823466547136</v>
      </c>
      <c r="R19" t="s">
        <v>780</v>
      </c>
      <c r="S19" t="s">
        <v>786</v>
      </c>
      <c r="T19">
        <v>40082.528691</v>
      </c>
      <c r="U19" s="2">
        <v>44508</v>
      </c>
      <c r="V19" t="s">
        <v>803</v>
      </c>
    </row>
    <row r="20" spans="1:22">
      <c r="A20" s="1" t="s">
        <v>40</v>
      </c>
      <c r="B20">
        <f>HYPERLINK("https://www.suredividend.com/sure-analysis-SWK/","Stanley Black &amp; Decker Inc")</f>
        <v>0</v>
      </c>
      <c r="C20">
        <v>182.2</v>
      </c>
      <c r="D20">
        <v>182</v>
      </c>
      <c r="E20">
        <v>1.001098901098901</v>
      </c>
      <c r="F20">
        <v>0.01734357848518112</v>
      </c>
      <c r="G20">
        <v>-0.0002196354264198952</v>
      </c>
      <c r="H20">
        <v>0.08</v>
      </c>
      <c r="I20">
        <v>0.09546122428595161</v>
      </c>
      <c r="J20" t="s">
        <v>776</v>
      </c>
      <c r="K20" t="s">
        <v>777</v>
      </c>
      <c r="L20">
        <v>11</v>
      </c>
      <c r="M20">
        <v>3.16</v>
      </c>
      <c r="N20">
        <v>0.2872727272727273</v>
      </c>
      <c r="O20">
        <v>54</v>
      </c>
      <c r="P20">
        <v>0.07985683020954282</v>
      </c>
      <c r="Q20">
        <v>0.040146099994462</v>
      </c>
      <c r="R20" t="s">
        <v>780</v>
      </c>
      <c r="S20" t="s">
        <v>786</v>
      </c>
      <c r="T20">
        <v>29704.651044</v>
      </c>
      <c r="U20" s="2">
        <v>44500</v>
      </c>
      <c r="V20" t="s">
        <v>796</v>
      </c>
    </row>
    <row r="21" spans="1:22">
      <c r="A21" s="1" t="s">
        <v>41</v>
      </c>
      <c r="B21">
        <f>HYPERLINK("https://www.suredividend.com/sure-analysis-LHX/","L3Harris Technologies Inc")</f>
        <v>0</v>
      </c>
      <c r="C21">
        <v>208.26</v>
      </c>
      <c r="D21">
        <v>206</v>
      </c>
      <c r="E21">
        <v>1.010970873786408</v>
      </c>
      <c r="F21">
        <v>0.01959089599539038</v>
      </c>
      <c r="G21">
        <v>-0.002179846738195823</v>
      </c>
      <c r="H21">
        <v>0.08</v>
      </c>
      <c r="I21">
        <v>0.09544585111084802</v>
      </c>
      <c r="J21" t="s">
        <v>776</v>
      </c>
      <c r="K21" t="s">
        <v>777</v>
      </c>
      <c r="L21">
        <v>12.9</v>
      </c>
      <c r="M21">
        <v>4.08</v>
      </c>
      <c r="N21">
        <v>0.3162790697674419</v>
      </c>
      <c r="O21">
        <v>20</v>
      </c>
      <c r="P21">
        <v>0.07982488529298792</v>
      </c>
      <c r="Q21">
        <v>0.142121957960961</v>
      </c>
      <c r="R21" t="s">
        <v>780</v>
      </c>
      <c r="S21" t="s">
        <v>786</v>
      </c>
      <c r="T21">
        <v>40865.916174</v>
      </c>
      <c r="U21" s="2">
        <v>44509</v>
      </c>
      <c r="V21" t="s">
        <v>800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381.17</v>
      </c>
      <c r="D22">
        <v>381</v>
      </c>
      <c r="E22">
        <v>1.000446194225722</v>
      </c>
      <c r="F22">
        <v>0.0164755883201721</v>
      </c>
      <c r="G22">
        <v>-8.921496224434389e-05</v>
      </c>
      <c r="H22">
        <v>0.08</v>
      </c>
      <c r="I22">
        <v>0.09483870055711008</v>
      </c>
      <c r="J22" t="s">
        <v>776</v>
      </c>
      <c r="K22" t="s">
        <v>777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0.284817866441232</v>
      </c>
      <c r="R22" t="s">
        <v>780</v>
      </c>
      <c r="S22" t="s">
        <v>786</v>
      </c>
      <c r="T22">
        <v>60429.793382</v>
      </c>
      <c r="U22" s="2">
        <v>44504</v>
      </c>
      <c r="V22" t="s">
        <v>800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80.36</v>
      </c>
      <c r="D23">
        <v>82</v>
      </c>
      <c r="E23">
        <v>0.98</v>
      </c>
      <c r="F23">
        <v>0.01244400199104032</v>
      </c>
      <c r="G23">
        <v>0.004048715456574481</v>
      </c>
      <c r="H23">
        <v>0.08</v>
      </c>
      <c r="I23">
        <v>0.09463874499544001</v>
      </c>
      <c r="J23" t="s">
        <v>776</v>
      </c>
      <c r="K23" t="s">
        <v>777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0.165587043359954</v>
      </c>
      <c r="R23" t="s">
        <v>780</v>
      </c>
      <c r="S23" t="s">
        <v>786</v>
      </c>
      <c r="T23">
        <v>1489.570237</v>
      </c>
      <c r="U23" s="2">
        <v>44510</v>
      </c>
      <c r="V23" t="s">
        <v>797</v>
      </c>
    </row>
    <row r="24" spans="1:22">
      <c r="A24" s="1" t="s">
        <v>44</v>
      </c>
      <c r="B24">
        <f>HYPERLINK("https://www.suredividend.com/sure-analysis-INTU/","Intuit Inc")</f>
        <v>0</v>
      </c>
      <c r="C24">
        <v>635.71</v>
      </c>
      <c r="D24">
        <v>462</v>
      </c>
      <c r="E24">
        <v>1.375995670995671</v>
      </c>
      <c r="F24">
        <v>0.004278680530430542</v>
      </c>
      <c r="G24">
        <v>-0.06184070348479798</v>
      </c>
      <c r="H24">
        <v>0.16</v>
      </c>
      <c r="I24">
        <v>0.09308727422620233</v>
      </c>
      <c r="J24" t="s">
        <v>776</v>
      </c>
      <c r="K24" t="s">
        <v>526</v>
      </c>
      <c r="L24">
        <v>11.56</v>
      </c>
      <c r="M24">
        <v>2.72</v>
      </c>
      <c r="N24">
        <v>0.2352941176470588</v>
      </c>
      <c r="O24">
        <v>10</v>
      </c>
      <c r="P24">
        <v>0.1598810174248351</v>
      </c>
      <c r="Q24">
        <v>0.695853454103303</v>
      </c>
      <c r="R24" t="s">
        <v>780</v>
      </c>
      <c r="S24" t="s">
        <v>787</v>
      </c>
      <c r="T24">
        <v>174213.141864</v>
      </c>
      <c r="U24" s="2">
        <v>44520</v>
      </c>
      <c r="V24" t="s">
        <v>795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69.09999999999999</v>
      </c>
      <c r="D25">
        <v>74</v>
      </c>
      <c r="E25">
        <v>0.9337837837837837</v>
      </c>
      <c r="F25">
        <v>0.02083936324167873</v>
      </c>
      <c r="G25">
        <v>0.01379637610740803</v>
      </c>
      <c r="H25">
        <v>0.06</v>
      </c>
      <c r="I25">
        <v>0.0926982237583267</v>
      </c>
      <c r="J25" t="s">
        <v>776</v>
      </c>
      <c r="K25" t="s">
        <v>777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0.212391305873518</v>
      </c>
      <c r="R25" t="s">
        <v>780</v>
      </c>
      <c r="S25" t="s">
        <v>789</v>
      </c>
      <c r="T25">
        <v>2250.740195</v>
      </c>
      <c r="U25" s="2">
        <v>44492</v>
      </c>
      <c r="V25" t="s">
        <v>798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29.49</v>
      </c>
      <c r="D26">
        <v>32</v>
      </c>
      <c r="E26">
        <v>0.9215625</v>
      </c>
      <c r="F26">
        <v>0.02950152594099695</v>
      </c>
      <c r="G26">
        <v>0.0164711134201827</v>
      </c>
      <c r="H26">
        <v>0.05</v>
      </c>
      <c r="I26">
        <v>0.09068020080987171</v>
      </c>
      <c r="J26" t="s">
        <v>776</v>
      </c>
      <c r="K26" t="s">
        <v>776</v>
      </c>
      <c r="L26">
        <v>2</v>
      </c>
      <c r="M26">
        <v>0.87</v>
      </c>
      <c r="N26">
        <v>0.435</v>
      </c>
      <c r="O26">
        <v>30</v>
      </c>
      <c r="P26">
        <v>0.02409763832975087</v>
      </c>
      <c r="Q26">
        <v>0.181078710545603</v>
      </c>
      <c r="R26" t="s">
        <v>780</v>
      </c>
      <c r="S26" t="s">
        <v>790</v>
      </c>
      <c r="T26">
        <v>5969.688126</v>
      </c>
      <c r="U26" s="2">
        <v>44524</v>
      </c>
      <c r="V26" t="s">
        <v>801</v>
      </c>
    </row>
    <row r="27" spans="1:22">
      <c r="A27" s="1" t="s">
        <v>47</v>
      </c>
      <c r="B27">
        <f>HYPERLINK("https://www.suredividend.com/sure-analysis-CAH/","Cardinal Health, Inc.")</f>
        <v>0</v>
      </c>
      <c r="C27">
        <v>50.75</v>
      </c>
      <c r="D27">
        <v>58</v>
      </c>
      <c r="E27">
        <v>0.875</v>
      </c>
      <c r="F27">
        <v>0.03862068965517242</v>
      </c>
      <c r="G27">
        <v>0.02706608708935176</v>
      </c>
      <c r="H27">
        <v>0.03</v>
      </c>
      <c r="I27">
        <v>0.09050243803052593</v>
      </c>
      <c r="J27" t="s">
        <v>776</v>
      </c>
      <c r="K27" t="s">
        <v>776</v>
      </c>
      <c r="L27">
        <v>5.75</v>
      </c>
      <c r="M27">
        <v>1.96</v>
      </c>
      <c r="N27">
        <v>0.3408695652173913</v>
      </c>
      <c r="O27">
        <v>34</v>
      </c>
      <c r="P27">
        <v>0.03959498820755258</v>
      </c>
      <c r="Q27">
        <v>-0.024077873778174</v>
      </c>
      <c r="R27" t="s">
        <v>780</v>
      </c>
      <c r="S27" t="s">
        <v>785</v>
      </c>
      <c r="T27">
        <v>14300.741102</v>
      </c>
      <c r="U27" s="2">
        <v>44511</v>
      </c>
      <c r="V27" t="s">
        <v>799</v>
      </c>
    </row>
    <row r="28" spans="1:22">
      <c r="A28" s="1" t="s">
        <v>48</v>
      </c>
      <c r="B28">
        <f>HYPERLINK("https://www.suredividend.com/sure-analysis-MMM/","3M Co.")</f>
        <v>0</v>
      </c>
      <c r="C28">
        <v>174.97</v>
      </c>
      <c r="D28">
        <v>186</v>
      </c>
      <c r="E28">
        <v>0.9406989247311828</v>
      </c>
      <c r="F28">
        <v>0.03383437160656112</v>
      </c>
      <c r="G28">
        <v>0.01230147693540484</v>
      </c>
      <c r="H28">
        <v>0.05</v>
      </c>
      <c r="I28">
        <v>0.08968452672550797</v>
      </c>
      <c r="J28" t="s">
        <v>776</v>
      </c>
      <c r="K28" t="s">
        <v>776</v>
      </c>
      <c r="L28">
        <v>9.800000000000001</v>
      </c>
      <c r="M28">
        <v>5.92</v>
      </c>
      <c r="N28">
        <v>0.6040816326530611</v>
      </c>
      <c r="O28">
        <v>63</v>
      </c>
      <c r="P28">
        <v>0.02011987338221144</v>
      </c>
      <c r="Q28">
        <v>0.037552805668025</v>
      </c>
      <c r="R28" t="s">
        <v>780</v>
      </c>
      <c r="S28" t="s">
        <v>786</v>
      </c>
      <c r="T28">
        <v>101244.335127</v>
      </c>
      <c r="U28" s="2">
        <v>44496</v>
      </c>
      <c r="V28" t="s">
        <v>796</v>
      </c>
    </row>
    <row r="29" spans="1:22">
      <c r="A29" s="1" t="s">
        <v>49</v>
      </c>
      <c r="B29">
        <f>HYPERLINK("https://www.suredividend.com/sure-analysis-SYK/","Stryker Corp.")</f>
        <v>0</v>
      </c>
      <c r="C29">
        <v>268.25</v>
      </c>
      <c r="D29">
        <v>223</v>
      </c>
      <c r="E29">
        <v>1.202914798206278</v>
      </c>
      <c r="F29">
        <v>0.01036346691519105</v>
      </c>
      <c r="G29">
        <v>-0.03627521898899866</v>
      </c>
      <c r="H29">
        <v>0.12</v>
      </c>
      <c r="I29">
        <v>0.08938482206647436</v>
      </c>
      <c r="J29" t="s">
        <v>776</v>
      </c>
      <c r="K29" t="s">
        <v>345</v>
      </c>
      <c r="L29">
        <v>9.119999999999999</v>
      </c>
      <c r="M29">
        <v>2.78</v>
      </c>
      <c r="N29">
        <v>0.3048245614035088</v>
      </c>
      <c r="O29">
        <v>28</v>
      </c>
      <c r="P29">
        <v>0.09816509304403764</v>
      </c>
      <c r="Q29">
        <v>0.146476779624724</v>
      </c>
      <c r="R29" t="s">
        <v>780</v>
      </c>
      <c r="S29" t="s">
        <v>785</v>
      </c>
      <c r="T29">
        <v>101156.074964</v>
      </c>
      <c r="U29" s="2">
        <v>44500</v>
      </c>
      <c r="V29" t="s">
        <v>796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32.07</v>
      </c>
      <c r="D30">
        <v>33</v>
      </c>
      <c r="E30">
        <v>0.9718181818181818</v>
      </c>
      <c r="F30">
        <v>0.02556906766448394</v>
      </c>
      <c r="G30">
        <v>0.005733684558661079</v>
      </c>
      <c r="H30">
        <v>0.06</v>
      </c>
      <c r="I30">
        <v>0.08878198683186489</v>
      </c>
      <c r="J30" t="s">
        <v>776</v>
      </c>
      <c r="K30" t="s">
        <v>777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-0.209931167685765</v>
      </c>
      <c r="R30" t="s">
        <v>780</v>
      </c>
      <c r="S30" t="s">
        <v>785</v>
      </c>
      <c r="T30">
        <v>18792.648565</v>
      </c>
      <c r="U30" s="2">
        <v>44503</v>
      </c>
      <c r="V30" t="s">
        <v>796</v>
      </c>
    </row>
    <row r="31" spans="1:22">
      <c r="A31" s="1" t="s">
        <v>51</v>
      </c>
      <c r="B31">
        <f>HYPERLINK("https://www.suredividend.com/sure-analysis-JW.A/","John Wiley &amp; Sons Inc.")</f>
        <v>0</v>
      </c>
      <c r="C31">
        <v>55.43</v>
      </c>
      <c r="D31">
        <v>62</v>
      </c>
      <c r="E31">
        <v>0.8940322580645161</v>
      </c>
      <c r="F31">
        <v>0.02489626556016597</v>
      </c>
      <c r="G31">
        <v>0.0226555089083218</v>
      </c>
      <c r="H31">
        <v>0.045</v>
      </c>
      <c r="I31">
        <v>0.08878144620322814</v>
      </c>
      <c r="J31" t="s">
        <v>776</v>
      </c>
      <c r="K31" t="s">
        <v>777</v>
      </c>
      <c r="L31">
        <v>4.12</v>
      </c>
      <c r="M31">
        <v>1.38</v>
      </c>
      <c r="N31">
        <v>0.3349514563106796</v>
      </c>
      <c r="O31">
        <v>28</v>
      </c>
      <c r="P31">
        <v>0.03002598081465924</v>
      </c>
      <c r="Q31">
        <v>0.265308451749129</v>
      </c>
      <c r="R31" t="s">
        <v>780</v>
      </c>
      <c r="S31" t="s">
        <v>784</v>
      </c>
      <c r="T31">
        <v>3089.16426</v>
      </c>
      <c r="U31" s="2">
        <v>44545</v>
      </c>
      <c r="V31" t="s">
        <v>797</v>
      </c>
    </row>
    <row r="32" spans="1:22">
      <c r="A32" s="1" t="s">
        <v>52</v>
      </c>
      <c r="B32">
        <f>HYPERLINK("https://www.suredividend.com/sure-analysis-ATO/","Atmos Energy Corp.")</f>
        <v>0</v>
      </c>
      <c r="C32">
        <v>102.73</v>
      </c>
      <c r="D32">
        <v>104</v>
      </c>
      <c r="E32">
        <v>0.9877884615384616</v>
      </c>
      <c r="F32">
        <v>0.02647717317239365</v>
      </c>
      <c r="G32">
        <v>0.002460364123076264</v>
      </c>
      <c r="H32">
        <v>0.06</v>
      </c>
      <c r="I32">
        <v>0.087722645460653</v>
      </c>
      <c r="J32" t="s">
        <v>776</v>
      </c>
      <c r="K32" t="s">
        <v>777</v>
      </c>
      <c r="L32">
        <v>5.45</v>
      </c>
      <c r="M32">
        <v>2.72</v>
      </c>
      <c r="N32">
        <v>0.4990825688073395</v>
      </c>
      <c r="O32">
        <v>38</v>
      </c>
      <c r="P32">
        <v>0.0801851873035635</v>
      </c>
      <c r="Q32">
        <v>0.138164002862859</v>
      </c>
      <c r="R32" t="s">
        <v>780</v>
      </c>
      <c r="S32" t="s">
        <v>792</v>
      </c>
      <c r="T32">
        <v>13632.808997</v>
      </c>
      <c r="U32" s="2">
        <v>44524</v>
      </c>
      <c r="V32" t="s">
        <v>801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71.25</v>
      </c>
      <c r="D33">
        <v>64</v>
      </c>
      <c r="E33">
        <v>1.11328125</v>
      </c>
      <c r="F33">
        <v>0.00856140350877193</v>
      </c>
      <c r="G33">
        <v>-0.02123366989049902</v>
      </c>
      <c r="H33">
        <v>0.1</v>
      </c>
      <c r="I33">
        <v>0.08636303805751733</v>
      </c>
      <c r="J33" t="s">
        <v>776</v>
      </c>
      <c r="K33" t="s">
        <v>526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0.053389474680213</v>
      </c>
      <c r="R33" t="s">
        <v>780</v>
      </c>
      <c r="S33" t="s">
        <v>786</v>
      </c>
      <c r="T33">
        <v>66232.104251</v>
      </c>
      <c r="U33" s="2">
        <v>44491</v>
      </c>
      <c r="V33" t="s">
        <v>804</v>
      </c>
    </row>
    <row r="34" spans="1:22">
      <c r="A34" s="1" t="s">
        <v>54</v>
      </c>
      <c r="B34">
        <f>HYPERLINK("https://www.suredividend.com/sure-analysis-WSM/","Williams-Sonoma, Inc.")</f>
        <v>0</v>
      </c>
      <c r="C34">
        <v>168.96</v>
      </c>
      <c r="D34">
        <v>216</v>
      </c>
      <c r="E34">
        <v>0.7822222222222223</v>
      </c>
      <c r="F34">
        <v>0.01680871212121212</v>
      </c>
      <c r="G34">
        <v>0.05034983139121563</v>
      </c>
      <c r="H34">
        <v>0.02</v>
      </c>
      <c r="I34">
        <v>0.08618632935679682</v>
      </c>
      <c r="J34" t="s">
        <v>776</v>
      </c>
      <c r="K34" t="s">
        <v>777</v>
      </c>
      <c r="L34">
        <v>13.5</v>
      </c>
      <c r="M34">
        <v>2.84</v>
      </c>
      <c r="N34">
        <v>0.2103703703703703</v>
      </c>
      <c r="O34">
        <v>15</v>
      </c>
      <c r="P34">
        <v>0.05996872493653238</v>
      </c>
      <c r="Q34">
        <v>0.5911956852378361</v>
      </c>
      <c r="R34" t="s">
        <v>780</v>
      </c>
      <c r="S34" t="s">
        <v>788</v>
      </c>
      <c r="T34">
        <v>12326.39553</v>
      </c>
      <c r="U34" s="2">
        <v>44520</v>
      </c>
      <c r="V34" t="s">
        <v>799</v>
      </c>
    </row>
    <row r="35" spans="1:22">
      <c r="A35" s="1" t="s">
        <v>55</v>
      </c>
      <c r="B35">
        <f>HYPERLINK("https://www.suredividend.com/sure-analysis-UGI/","UGI Corp.")</f>
        <v>0</v>
      </c>
      <c r="C35">
        <v>45.5</v>
      </c>
      <c r="D35">
        <v>49.9</v>
      </c>
      <c r="E35">
        <v>0.9118236472945892</v>
      </c>
      <c r="F35">
        <v>0.03076923076923077</v>
      </c>
      <c r="G35">
        <v>0.01863320679099889</v>
      </c>
      <c r="H35">
        <v>0.04</v>
      </c>
      <c r="I35">
        <v>0.08617078645752319</v>
      </c>
      <c r="J35" t="s">
        <v>776</v>
      </c>
      <c r="K35" t="s">
        <v>776</v>
      </c>
      <c r="L35">
        <v>3.22</v>
      </c>
      <c r="M35">
        <v>1.4</v>
      </c>
      <c r="N35">
        <v>0.4347826086956521</v>
      </c>
      <c r="O35">
        <v>34</v>
      </c>
      <c r="P35">
        <v>0.04801873431401682</v>
      </c>
      <c r="Q35">
        <v>0.346408787462714</v>
      </c>
      <c r="R35" t="s">
        <v>780</v>
      </c>
      <c r="S35" t="s">
        <v>792</v>
      </c>
      <c r="T35">
        <v>9519.587122999999</v>
      </c>
      <c r="U35" s="2">
        <v>44521</v>
      </c>
      <c r="V35" t="s">
        <v>805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35.73</v>
      </c>
      <c r="D36">
        <v>42</v>
      </c>
      <c r="E36">
        <v>0.8507142857142856</v>
      </c>
      <c r="F36">
        <v>0.02462916316820599</v>
      </c>
      <c r="G36">
        <v>0.03286427180040641</v>
      </c>
      <c r="H36">
        <v>0.03</v>
      </c>
      <c r="I36">
        <v>0.0852451772892755</v>
      </c>
      <c r="J36" t="s">
        <v>776</v>
      </c>
      <c r="K36" t="s">
        <v>777</v>
      </c>
      <c r="L36">
        <v>2.94</v>
      </c>
      <c r="M36">
        <v>0.88</v>
      </c>
      <c r="N36">
        <v>0.2993197278911565</v>
      </c>
      <c r="O36">
        <v>28</v>
      </c>
      <c r="P36">
        <v>0.04941452284458392</v>
      </c>
      <c r="Q36">
        <v>0.309875574651542</v>
      </c>
      <c r="R36" t="s">
        <v>780</v>
      </c>
      <c r="S36" t="s">
        <v>786</v>
      </c>
      <c r="T36">
        <v>1124.427102</v>
      </c>
      <c r="U36" s="2">
        <v>44532</v>
      </c>
      <c r="V36" t="s">
        <v>802</v>
      </c>
    </row>
    <row r="37" spans="1:22">
      <c r="A37" s="1" t="s">
        <v>57</v>
      </c>
      <c r="B37">
        <f>HYPERLINK("https://www.suredividend.com/sure-analysis-WMT/","Walmart Inc")</f>
        <v>0</v>
      </c>
      <c r="C37">
        <v>139.49</v>
      </c>
      <c r="D37">
        <v>154</v>
      </c>
      <c r="E37">
        <v>0.9057792207792208</v>
      </c>
      <c r="F37">
        <v>0.01577173990967095</v>
      </c>
      <c r="G37">
        <v>0.01998909663130832</v>
      </c>
      <c r="H37">
        <v>0.05</v>
      </c>
      <c r="I37">
        <v>0.08455749444084382</v>
      </c>
      <c r="J37" t="s">
        <v>776</v>
      </c>
      <c r="K37" t="s">
        <v>777</v>
      </c>
      <c r="L37">
        <v>6.4</v>
      </c>
      <c r="M37">
        <v>2.2</v>
      </c>
      <c r="N37">
        <v>0.34375</v>
      </c>
      <c r="O37">
        <v>48</v>
      </c>
      <c r="P37">
        <v>0.05016303610438722</v>
      </c>
      <c r="Q37">
        <v>-0.010555540186738</v>
      </c>
      <c r="R37" t="s">
        <v>780</v>
      </c>
      <c r="S37" t="s">
        <v>791</v>
      </c>
      <c r="T37">
        <v>386928.306106</v>
      </c>
      <c r="U37" s="2">
        <v>44534</v>
      </c>
      <c r="V37" t="s">
        <v>801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43.25</v>
      </c>
      <c r="D38">
        <v>48</v>
      </c>
      <c r="E38">
        <v>0.9010416666666666</v>
      </c>
      <c r="F38">
        <v>0.03699421965317919</v>
      </c>
      <c r="G38">
        <v>0.02105944059645459</v>
      </c>
      <c r="H38">
        <v>0.03</v>
      </c>
      <c r="I38">
        <v>0.08310461605090569</v>
      </c>
      <c r="J38" t="s">
        <v>776</v>
      </c>
      <c r="K38" t="s">
        <v>776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0.212819714699935</v>
      </c>
      <c r="R38" t="s">
        <v>780</v>
      </c>
      <c r="S38" t="s">
        <v>789</v>
      </c>
      <c r="T38">
        <v>771.713253</v>
      </c>
      <c r="U38" s="2">
        <v>44490</v>
      </c>
      <c r="V38" t="s">
        <v>803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60.78</v>
      </c>
      <c r="D39">
        <v>64</v>
      </c>
      <c r="E39">
        <v>0.9496875</v>
      </c>
      <c r="F39">
        <v>0.01316222441592629</v>
      </c>
      <c r="G39">
        <v>0.01037794029892347</v>
      </c>
      <c r="H39">
        <v>0.06</v>
      </c>
      <c r="I39">
        <v>0.08282673431545939</v>
      </c>
      <c r="J39" t="s">
        <v>776</v>
      </c>
      <c r="K39" t="s">
        <v>777</v>
      </c>
      <c r="L39">
        <v>3.75</v>
      </c>
      <c r="M39">
        <v>0.8</v>
      </c>
      <c r="N39">
        <v>0.2133333333333333</v>
      </c>
      <c r="O39">
        <v>31</v>
      </c>
      <c r="P39">
        <v>0.06381792112252427</v>
      </c>
      <c r="Q39">
        <v>0.089579262499327</v>
      </c>
      <c r="R39" t="s">
        <v>780</v>
      </c>
      <c r="S39" t="s">
        <v>789</v>
      </c>
      <c r="T39">
        <v>8475.923375</v>
      </c>
      <c r="U39" s="2">
        <v>44493</v>
      </c>
      <c r="V39" t="s">
        <v>801</v>
      </c>
    </row>
    <row r="40" spans="1:22">
      <c r="A40" s="1" t="s">
        <v>60</v>
      </c>
      <c r="B40">
        <f>HYPERLINK("https://www.suredividend.com/sure-analysis-LOW/","Lowe`s Cos., Inc.")</f>
        <v>0</v>
      </c>
      <c r="C40">
        <v>250.09</v>
      </c>
      <c r="D40">
        <v>251</v>
      </c>
      <c r="E40">
        <v>0.9963745019920319</v>
      </c>
      <c r="F40">
        <v>0.01279539365828302</v>
      </c>
      <c r="G40">
        <v>0.000726681115677863</v>
      </c>
      <c r="H40">
        <v>0.07000000000000001</v>
      </c>
      <c r="I40">
        <v>0.08249942214749484</v>
      </c>
      <c r="J40" t="s">
        <v>776</v>
      </c>
      <c r="K40" t="s">
        <v>777</v>
      </c>
      <c r="L40">
        <v>11.94</v>
      </c>
      <c r="M40">
        <v>3.2</v>
      </c>
      <c r="N40">
        <v>0.2680067001675042</v>
      </c>
      <c r="O40">
        <v>59</v>
      </c>
      <c r="P40">
        <v>0.07008745458377241</v>
      </c>
      <c r="Q40">
        <v>0.5562655103834</v>
      </c>
      <c r="R40" t="s">
        <v>780</v>
      </c>
      <c r="S40" t="s">
        <v>788</v>
      </c>
      <c r="T40">
        <v>168497.434497</v>
      </c>
      <c r="U40" s="2">
        <v>44532</v>
      </c>
      <c r="V40" t="s">
        <v>802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61.78</v>
      </c>
      <c r="D41">
        <v>77</v>
      </c>
      <c r="E41">
        <v>0.8023376623376623</v>
      </c>
      <c r="F41">
        <v>0.03107801877630301</v>
      </c>
      <c r="G41">
        <v>0.04502953363871964</v>
      </c>
      <c r="H41">
        <v>0.01</v>
      </c>
      <c r="I41">
        <v>0.08232066886700684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0.3828082332823</v>
      </c>
      <c r="R41" t="s">
        <v>780</v>
      </c>
      <c r="S41" t="s">
        <v>789</v>
      </c>
      <c r="T41">
        <v>51966.876724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168.25</v>
      </c>
      <c r="D42">
        <v>167</v>
      </c>
      <c r="E42">
        <v>1.00748502994012</v>
      </c>
      <c r="F42">
        <v>0.02520059435364042</v>
      </c>
      <c r="G42">
        <v>-0.001490319590780942</v>
      </c>
      <c r="H42">
        <v>0.06</v>
      </c>
      <c r="I42">
        <v>0.08138848435861634</v>
      </c>
      <c r="J42" t="s">
        <v>776</v>
      </c>
      <c r="K42" t="s">
        <v>776</v>
      </c>
      <c r="L42">
        <v>9.800000000000001</v>
      </c>
      <c r="M42">
        <v>4.24</v>
      </c>
      <c r="N42">
        <v>0.4326530612244898</v>
      </c>
      <c r="O42">
        <v>59</v>
      </c>
      <c r="P42">
        <v>0.05984764821935884</v>
      </c>
      <c r="Q42">
        <v>0.135251847103673</v>
      </c>
      <c r="R42" t="s">
        <v>780</v>
      </c>
      <c r="S42" t="s">
        <v>785</v>
      </c>
      <c r="T42">
        <v>442934.440034</v>
      </c>
      <c r="U42" s="2">
        <v>44489</v>
      </c>
      <c r="V42" t="s">
        <v>796</v>
      </c>
    </row>
    <row r="43" spans="1:22">
      <c r="A43" s="1" t="s">
        <v>63</v>
      </c>
      <c r="B43">
        <f>HYPERLINK("https://www.suredividend.com/sure-analysis-SON/","Sonoco Products Co.")</f>
        <v>0</v>
      </c>
      <c r="C43">
        <v>55.48</v>
      </c>
      <c r="D43">
        <v>56</v>
      </c>
      <c r="E43">
        <v>0.9907142857142857</v>
      </c>
      <c r="F43">
        <v>0.03244412400865177</v>
      </c>
      <c r="G43">
        <v>0.001867560781160238</v>
      </c>
      <c r="H43">
        <v>0.05</v>
      </c>
      <c r="I43">
        <v>0.08106961395812617</v>
      </c>
      <c r="J43" t="s">
        <v>776</v>
      </c>
      <c r="K43" t="s">
        <v>776</v>
      </c>
      <c r="L43">
        <v>3.52</v>
      </c>
      <c r="M43">
        <v>1.8</v>
      </c>
      <c r="N43">
        <v>0.5113636363636364</v>
      </c>
      <c r="O43">
        <v>38</v>
      </c>
      <c r="P43">
        <v>0.05024607263868264</v>
      </c>
      <c r="Q43">
        <v>-0.037535758461028</v>
      </c>
      <c r="R43" t="s">
        <v>780</v>
      </c>
      <c r="S43" t="s">
        <v>788</v>
      </c>
      <c r="T43">
        <v>5455.143568</v>
      </c>
      <c r="U43" s="2">
        <v>44491</v>
      </c>
      <c r="V43" t="s">
        <v>796</v>
      </c>
    </row>
    <row r="44" spans="1:22">
      <c r="A44" s="1" t="s">
        <v>64</v>
      </c>
      <c r="B44">
        <f>HYPERLINK("https://www.suredividend.com/sure-analysis-MCK/","Mckesson Corporation")</f>
        <v>0</v>
      </c>
      <c r="C44">
        <v>240.78</v>
      </c>
      <c r="D44">
        <v>269</v>
      </c>
      <c r="E44">
        <v>0.895092936802974</v>
      </c>
      <c r="F44">
        <v>0.007807957471550793</v>
      </c>
      <c r="G44">
        <v>0.0224130260497819</v>
      </c>
      <c r="H44">
        <v>0.05</v>
      </c>
      <c r="I44">
        <v>0.08067802135770075</v>
      </c>
      <c r="J44" t="s">
        <v>776</v>
      </c>
      <c r="K44" t="s">
        <v>345</v>
      </c>
      <c r="L44">
        <v>22.45</v>
      </c>
      <c r="M44">
        <v>1.88</v>
      </c>
      <c r="N44">
        <v>0.08374164810690422</v>
      </c>
      <c r="O44">
        <v>14</v>
      </c>
      <c r="P44">
        <v>0.0702598056972048</v>
      </c>
      <c r="Q44">
        <v>0.4286994254466091</v>
      </c>
      <c r="R44" t="s">
        <v>780</v>
      </c>
      <c r="S44" t="s">
        <v>785</v>
      </c>
      <c r="T44">
        <v>36762.811929</v>
      </c>
      <c r="U44" s="2">
        <v>44524</v>
      </c>
      <c r="V44" t="s">
        <v>801</v>
      </c>
    </row>
    <row r="45" spans="1:22">
      <c r="A45" s="1" t="s">
        <v>65</v>
      </c>
      <c r="B45">
        <f>HYPERLINK("https://www.suredividend.com/sure-analysis-SKM/","SK Telecom Co Ltd")</f>
        <v>0</v>
      </c>
      <c r="C45">
        <v>48.42</v>
      </c>
      <c r="D45">
        <v>49.4</v>
      </c>
      <c r="E45">
        <v>0.9801619433198381</v>
      </c>
      <c r="F45">
        <v>0.03407682775712515</v>
      </c>
      <c r="G45">
        <v>0.004015535280514904</v>
      </c>
      <c r="H45">
        <v>0.05</v>
      </c>
      <c r="I45">
        <v>0.08046546274654598</v>
      </c>
      <c r="J45" t="s">
        <v>776</v>
      </c>
      <c r="K45" t="s">
        <v>776</v>
      </c>
      <c r="L45">
        <v>18.11</v>
      </c>
      <c r="M45">
        <v>1.65</v>
      </c>
      <c r="N45">
        <v>0.09110988404196577</v>
      </c>
      <c r="O45">
        <v>0</v>
      </c>
      <c r="P45">
        <v>0</v>
      </c>
      <c r="Q45">
        <v>0.255444928438083</v>
      </c>
      <c r="R45" t="s">
        <v>780</v>
      </c>
      <c r="S45" t="s">
        <v>784</v>
      </c>
      <c r="T45">
        <v>31402.369117</v>
      </c>
      <c r="U45" s="2">
        <v>44515</v>
      </c>
      <c r="V45" t="s">
        <v>802</v>
      </c>
    </row>
    <row r="46" spans="1:22">
      <c r="A46" s="1" t="s">
        <v>66</v>
      </c>
      <c r="B46">
        <f>HYPERLINK("https://www.suredividend.com/sure-analysis-EMR/","Emerson Electric Co.")</f>
        <v>0</v>
      </c>
      <c r="C46">
        <v>91.28</v>
      </c>
      <c r="D46">
        <v>92</v>
      </c>
      <c r="E46">
        <v>0.9921739130434782</v>
      </c>
      <c r="F46">
        <v>0.02256792287467134</v>
      </c>
      <c r="G46">
        <v>0.001572609554569393</v>
      </c>
      <c r="H46">
        <v>0.06</v>
      </c>
      <c r="I46">
        <v>0.08042946758430891</v>
      </c>
      <c r="J46" t="s">
        <v>776</v>
      </c>
      <c r="K46" t="s">
        <v>776</v>
      </c>
      <c r="L46">
        <v>4.85</v>
      </c>
      <c r="M46">
        <v>2.06</v>
      </c>
      <c r="N46">
        <v>0.4247422680412372</v>
      </c>
      <c r="O46">
        <v>65</v>
      </c>
      <c r="P46">
        <v>0.03016344758557654</v>
      </c>
      <c r="Q46">
        <v>0.165540454264539</v>
      </c>
      <c r="R46" t="s">
        <v>780</v>
      </c>
      <c r="S46" t="s">
        <v>786</v>
      </c>
      <c r="T46">
        <v>54302.472</v>
      </c>
      <c r="U46" s="2">
        <v>44524</v>
      </c>
      <c r="V46" t="s">
        <v>801</v>
      </c>
    </row>
    <row r="47" spans="1:22">
      <c r="A47" s="1" t="s">
        <v>67</v>
      </c>
      <c r="B47">
        <f>HYPERLINK("https://www.suredividend.com/sure-analysis-NIDB/","Northeast Indiana Bancorp Inc.")</f>
        <v>0</v>
      </c>
      <c r="C47">
        <v>47</v>
      </c>
      <c r="D47">
        <v>54</v>
      </c>
      <c r="E47">
        <v>0.8703703703703703</v>
      </c>
      <c r="F47">
        <v>0.02553191489361702</v>
      </c>
      <c r="G47">
        <v>0.02815639324725039</v>
      </c>
      <c r="H47">
        <v>0.03</v>
      </c>
      <c r="I47">
        <v>0.08031639016689662</v>
      </c>
      <c r="J47" t="s">
        <v>776</v>
      </c>
      <c r="K47" t="s">
        <v>776</v>
      </c>
      <c r="L47">
        <v>6</v>
      </c>
      <c r="M47">
        <v>1.2</v>
      </c>
      <c r="N47">
        <v>0.2</v>
      </c>
      <c r="O47">
        <v>27</v>
      </c>
      <c r="P47">
        <v>0.02983277847878951</v>
      </c>
      <c r="Q47">
        <v>0.212903225806451</v>
      </c>
      <c r="R47" t="s">
        <v>780</v>
      </c>
      <c r="S47" t="s">
        <v>789</v>
      </c>
      <c r="T47">
        <v>56.655445</v>
      </c>
      <c r="U47" s="2">
        <v>44503</v>
      </c>
      <c r="V47" t="s">
        <v>796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478.33</v>
      </c>
      <c r="D48">
        <v>423</v>
      </c>
      <c r="E48">
        <v>1.13080378250591</v>
      </c>
      <c r="F48">
        <v>0.005184705119896306</v>
      </c>
      <c r="G48">
        <v>-0.02428597079137784</v>
      </c>
      <c r="H48">
        <v>0.1</v>
      </c>
      <c r="I48">
        <v>0.07847932732209073</v>
      </c>
      <c r="J48" t="s">
        <v>776</v>
      </c>
      <c r="K48" t="s">
        <v>345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0.146264258807983</v>
      </c>
      <c r="R48" t="s">
        <v>780</v>
      </c>
      <c r="S48" t="s">
        <v>786</v>
      </c>
      <c r="T48">
        <v>50427.387301</v>
      </c>
      <c r="U48" s="2">
        <v>44494</v>
      </c>
      <c r="V48" t="s">
        <v>795</v>
      </c>
    </row>
    <row r="49" spans="1:22">
      <c r="A49" s="1" t="s">
        <v>69</v>
      </c>
      <c r="B49">
        <f>HYPERLINK("https://www.suredividend.com/sure-analysis-BKH/","Black Hills Corporation")</f>
        <v>0</v>
      </c>
      <c r="C49">
        <v>68.69</v>
      </c>
      <c r="D49">
        <v>71</v>
      </c>
      <c r="E49">
        <v>0.9674647887323944</v>
      </c>
      <c r="F49">
        <v>0.03464842043965643</v>
      </c>
      <c r="G49">
        <v>0.00663717885662729</v>
      </c>
      <c r="H49">
        <v>0.04</v>
      </c>
      <c r="I49">
        <v>0.07843243233673625</v>
      </c>
      <c r="J49" t="s">
        <v>776</v>
      </c>
      <c r="K49" t="s">
        <v>776</v>
      </c>
      <c r="L49">
        <v>3.92</v>
      </c>
      <c r="M49">
        <v>2.38</v>
      </c>
      <c r="N49">
        <v>0.6071428571428571</v>
      </c>
      <c r="O49">
        <v>50</v>
      </c>
      <c r="P49">
        <v>0.05016931709648742</v>
      </c>
      <c r="Q49">
        <v>0.195490239759405</v>
      </c>
      <c r="R49" t="s">
        <v>780</v>
      </c>
      <c r="S49" t="s">
        <v>792</v>
      </c>
      <c r="T49">
        <v>4360.459746</v>
      </c>
      <c r="U49" s="2">
        <v>44533</v>
      </c>
      <c r="V49" t="s">
        <v>797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57.69</v>
      </c>
      <c r="D50">
        <v>61</v>
      </c>
      <c r="E50">
        <v>0.9457377049180328</v>
      </c>
      <c r="F50">
        <v>0.02773444271104178</v>
      </c>
      <c r="G50">
        <v>0.01122048587618441</v>
      </c>
      <c r="H50">
        <v>0.04</v>
      </c>
      <c r="I50">
        <v>0.0761531568009497</v>
      </c>
      <c r="J50" t="s">
        <v>776</v>
      </c>
      <c r="K50" t="s">
        <v>776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0.348511588223606</v>
      </c>
      <c r="R50" t="s">
        <v>780</v>
      </c>
      <c r="S50" t="s">
        <v>789</v>
      </c>
      <c r="T50">
        <v>38163.562954</v>
      </c>
      <c r="U50" s="2">
        <v>44497</v>
      </c>
      <c r="V50" t="s">
        <v>799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53.8</v>
      </c>
      <c r="D51">
        <v>57</v>
      </c>
      <c r="E51">
        <v>0.943859649122807</v>
      </c>
      <c r="F51">
        <v>0.01672862453531599</v>
      </c>
      <c r="G51">
        <v>0.01162258353387768</v>
      </c>
      <c r="H51">
        <v>0.05</v>
      </c>
      <c r="I51">
        <v>0.07577207734982405</v>
      </c>
      <c r="J51" t="s">
        <v>776</v>
      </c>
      <c r="K51" t="s">
        <v>777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0.10863602737383</v>
      </c>
      <c r="R51" t="s">
        <v>780</v>
      </c>
      <c r="S51" t="s">
        <v>786</v>
      </c>
      <c r="T51">
        <v>2598.145162</v>
      </c>
      <c r="U51" s="2">
        <v>44519</v>
      </c>
      <c r="V51" t="s">
        <v>796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152.28</v>
      </c>
      <c r="D52">
        <v>138</v>
      </c>
      <c r="E52">
        <v>1.103478260869565</v>
      </c>
      <c r="F52">
        <v>0.01786183346467034</v>
      </c>
      <c r="G52">
        <v>-0.01950080001480514</v>
      </c>
      <c r="H52">
        <v>0.08</v>
      </c>
      <c r="I52">
        <v>0.07539562765964591</v>
      </c>
      <c r="J52" t="s">
        <v>776</v>
      </c>
      <c r="K52" t="s">
        <v>777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0.165367732139905</v>
      </c>
      <c r="R52" t="s">
        <v>780</v>
      </c>
      <c r="S52" t="s">
        <v>789</v>
      </c>
      <c r="T52">
        <v>8676.413247</v>
      </c>
      <c r="U52" s="2">
        <v>44512</v>
      </c>
      <c r="V52" t="s">
        <v>803</v>
      </c>
    </row>
    <row r="53" spans="1:22">
      <c r="A53" s="1" t="s">
        <v>73</v>
      </c>
      <c r="B53">
        <f>HYPERLINK("https://www.suredividend.com/sure-analysis-V/","Visa Inc")</f>
        <v>0</v>
      </c>
      <c r="C53">
        <v>216.62</v>
      </c>
      <c r="D53">
        <v>178</v>
      </c>
      <c r="E53">
        <v>1.216966292134831</v>
      </c>
      <c r="F53">
        <v>0.006924568368571692</v>
      </c>
      <c r="G53">
        <v>-0.03851106609922983</v>
      </c>
      <c r="H53">
        <v>0.11</v>
      </c>
      <c r="I53">
        <v>0.0742238633650838</v>
      </c>
      <c r="J53" t="s">
        <v>776</v>
      </c>
      <c r="K53" t="s">
        <v>345</v>
      </c>
      <c r="L53">
        <v>7.1</v>
      </c>
      <c r="M53">
        <v>1.5</v>
      </c>
      <c r="N53">
        <v>0.2112676056338028</v>
      </c>
      <c r="O53">
        <v>14</v>
      </c>
      <c r="P53">
        <v>0.09487401536266371</v>
      </c>
      <c r="Q53">
        <v>0.06162023773000801</v>
      </c>
      <c r="R53" t="s">
        <v>780</v>
      </c>
      <c r="S53" t="s">
        <v>789</v>
      </c>
      <c r="T53">
        <v>477430.48</v>
      </c>
      <c r="U53" s="2">
        <v>44497</v>
      </c>
      <c r="V53" t="s">
        <v>799</v>
      </c>
    </row>
    <row r="54" spans="1:22">
      <c r="A54" s="1" t="s">
        <v>74</v>
      </c>
      <c r="B54">
        <f>HYPERLINK("https://www.suredividend.com/sure-analysis-FMCB/","Farmers &amp; Merchants Bancorp")</f>
        <v>0</v>
      </c>
      <c r="C54">
        <v>962</v>
      </c>
      <c r="D54">
        <v>1008</v>
      </c>
      <c r="E54">
        <v>0.9543650793650794</v>
      </c>
      <c r="F54">
        <v>0.01590436590436591</v>
      </c>
      <c r="G54">
        <v>0.00938557039612431</v>
      </c>
      <c r="H54">
        <v>0.05</v>
      </c>
      <c r="I54">
        <v>0.07409459354991954</v>
      </c>
      <c r="J54" t="s">
        <v>776</v>
      </c>
      <c r="K54" t="s">
        <v>777</v>
      </c>
      <c r="L54">
        <v>84</v>
      </c>
      <c r="M54">
        <v>15.3</v>
      </c>
      <c r="N54">
        <v>0.1821428571428572</v>
      </c>
      <c r="O54">
        <v>56</v>
      </c>
      <c r="P54">
        <v>0.0500311005456211</v>
      </c>
      <c r="Q54">
        <v>0.304083190205006</v>
      </c>
      <c r="R54" t="s">
        <v>780</v>
      </c>
      <c r="S54" t="s">
        <v>789</v>
      </c>
      <c r="T54">
        <v>762.823672</v>
      </c>
      <c r="U54" s="2">
        <v>44498</v>
      </c>
      <c r="V54" t="s">
        <v>803</v>
      </c>
    </row>
    <row r="55" spans="1:22">
      <c r="A55" s="1" t="s">
        <v>75</v>
      </c>
      <c r="B55">
        <f>HYPERLINK("https://www.suredividend.com/sure-analysis-SYY/","Sysco Corp.")</f>
        <v>0</v>
      </c>
      <c r="C55">
        <v>76.65000000000001</v>
      </c>
      <c r="D55">
        <v>69</v>
      </c>
      <c r="E55">
        <v>1.110869565217391</v>
      </c>
      <c r="F55">
        <v>0.02452707110241356</v>
      </c>
      <c r="G55">
        <v>-0.02080906041738284</v>
      </c>
      <c r="H55">
        <v>0.07000000000000001</v>
      </c>
      <c r="I55">
        <v>0.07233011103436771</v>
      </c>
      <c r="J55" t="s">
        <v>776</v>
      </c>
      <c r="K55" t="s">
        <v>777</v>
      </c>
      <c r="L55">
        <v>3.47</v>
      </c>
      <c r="M55">
        <v>1.88</v>
      </c>
      <c r="N55">
        <v>0.5417867435158501</v>
      </c>
      <c r="O55">
        <v>51</v>
      </c>
      <c r="P55">
        <v>0.07981721406627784</v>
      </c>
      <c r="Q55">
        <v>0.07685801911510801</v>
      </c>
      <c r="R55" t="s">
        <v>780</v>
      </c>
      <c r="S55" t="s">
        <v>791</v>
      </c>
      <c r="T55">
        <v>39295.108691</v>
      </c>
      <c r="U55" s="2">
        <v>44513</v>
      </c>
      <c r="V55" t="s">
        <v>798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102.9</v>
      </c>
      <c r="D56">
        <v>97</v>
      </c>
      <c r="E56">
        <v>1.060824742268041</v>
      </c>
      <c r="F56">
        <v>0.02448979591836735</v>
      </c>
      <c r="G56">
        <v>-0.01173987637640095</v>
      </c>
      <c r="H56">
        <v>0.06</v>
      </c>
      <c r="I56">
        <v>0.07181218800871325</v>
      </c>
      <c r="J56" t="s">
        <v>776</v>
      </c>
      <c r="K56" t="s">
        <v>777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-0.077454383750286</v>
      </c>
      <c r="R56" t="s">
        <v>780</v>
      </c>
      <c r="S56" t="s">
        <v>785</v>
      </c>
      <c r="T56">
        <v>138354.995974</v>
      </c>
      <c r="U56" s="2">
        <v>44525</v>
      </c>
      <c r="V56" t="s">
        <v>799</v>
      </c>
    </row>
    <row r="57" spans="1:22">
      <c r="A57" s="1" t="s">
        <v>77</v>
      </c>
      <c r="B57">
        <f>HYPERLINK("https://www.suredividend.com/sure-analysis-TGT/","Target Corp")</f>
        <v>0</v>
      </c>
      <c r="C57">
        <v>221.01</v>
      </c>
      <c r="D57">
        <v>239</v>
      </c>
      <c r="E57">
        <v>0.9247280334728033</v>
      </c>
      <c r="F57">
        <v>0.01628885570788652</v>
      </c>
      <c r="G57">
        <v>0.01577424078517575</v>
      </c>
      <c r="H57">
        <v>0.04</v>
      </c>
      <c r="I57">
        <v>0.07159680465324247</v>
      </c>
      <c r="J57" t="s">
        <v>776</v>
      </c>
      <c r="K57" t="s">
        <v>777</v>
      </c>
      <c r="L57">
        <v>13.25</v>
      </c>
      <c r="M57">
        <v>3.6</v>
      </c>
      <c r="N57">
        <v>0.2716981132075472</v>
      </c>
      <c r="O57">
        <v>54</v>
      </c>
      <c r="P57">
        <v>0.06010506010596317</v>
      </c>
      <c r="Q57">
        <v>0.276364984597685</v>
      </c>
      <c r="R57" t="s">
        <v>780</v>
      </c>
      <c r="S57" t="s">
        <v>791</v>
      </c>
      <c r="T57">
        <v>105891.177117</v>
      </c>
      <c r="U57" s="2">
        <v>44536</v>
      </c>
      <c r="V57" t="s">
        <v>801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227.27</v>
      </c>
      <c r="D58">
        <v>289</v>
      </c>
      <c r="E58">
        <v>0.7864013840830451</v>
      </c>
      <c r="F58">
        <v>0.0246402956835482</v>
      </c>
      <c r="G58">
        <v>0.04923107882893585</v>
      </c>
      <c r="H58">
        <v>0</v>
      </c>
      <c r="I58">
        <v>0.07119064746051551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0.228930894469405</v>
      </c>
      <c r="R58" t="s">
        <v>780</v>
      </c>
      <c r="S58" t="s">
        <v>788</v>
      </c>
      <c r="T58">
        <v>14250.623309</v>
      </c>
      <c r="U58" s="2">
        <v>44494</v>
      </c>
      <c r="V58" t="s">
        <v>799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650.7</v>
      </c>
      <c r="D59">
        <v>561</v>
      </c>
      <c r="E59">
        <v>1.159893048128342</v>
      </c>
      <c r="F59">
        <v>0.001598278776702013</v>
      </c>
      <c r="G59">
        <v>-0.0292298565589092</v>
      </c>
      <c r="H59">
        <v>0.1</v>
      </c>
      <c r="I59">
        <v>0.06974546546816618</v>
      </c>
      <c r="J59" t="s">
        <v>776</v>
      </c>
      <c r="K59" t="s">
        <v>526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0.42253636901035</v>
      </c>
      <c r="R59" t="s">
        <v>780</v>
      </c>
      <c r="S59" t="s">
        <v>785</v>
      </c>
      <c r="T59">
        <v>256407.090211</v>
      </c>
      <c r="U59" s="2">
        <v>44499</v>
      </c>
      <c r="V59" t="s">
        <v>795</v>
      </c>
    </row>
    <row r="60" spans="1:22">
      <c r="A60" s="1" t="s">
        <v>80</v>
      </c>
      <c r="B60">
        <f>HYPERLINK("https://www.suredividend.com/sure-analysis-VFC/","VF Corp.")</f>
        <v>0</v>
      </c>
      <c r="C60">
        <v>69.45</v>
      </c>
      <c r="D60">
        <v>61</v>
      </c>
      <c r="E60">
        <v>1.138524590163934</v>
      </c>
      <c r="F60">
        <v>0.02879769618430525</v>
      </c>
      <c r="G60">
        <v>-0.02561291946339428</v>
      </c>
      <c r="H60">
        <v>0.07000000000000001</v>
      </c>
      <c r="I60">
        <v>0.06862652697672611</v>
      </c>
      <c r="J60" t="s">
        <v>776</v>
      </c>
      <c r="K60" t="s">
        <v>777</v>
      </c>
      <c r="L60">
        <v>3.2</v>
      </c>
      <c r="M60">
        <v>2</v>
      </c>
      <c r="N60">
        <v>0.625</v>
      </c>
      <c r="O60">
        <v>49</v>
      </c>
      <c r="P60">
        <v>0.03886011825408464</v>
      </c>
      <c r="Q60">
        <v>-0.154492330168005</v>
      </c>
      <c r="R60" t="s">
        <v>780</v>
      </c>
      <c r="S60" t="s">
        <v>788</v>
      </c>
      <c r="T60">
        <v>27278.728929</v>
      </c>
      <c r="U60" s="2">
        <v>44493</v>
      </c>
      <c r="V60" t="s">
        <v>799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33.42</v>
      </c>
      <c r="D61">
        <v>33</v>
      </c>
      <c r="E61">
        <v>1.012727272727273</v>
      </c>
      <c r="F61">
        <v>0.03470975463794135</v>
      </c>
      <c r="G61">
        <v>-0.002526196122745517</v>
      </c>
      <c r="H61">
        <v>0.04</v>
      </c>
      <c r="I61">
        <v>0.06845949563965603</v>
      </c>
      <c r="J61" t="s">
        <v>776</v>
      </c>
      <c r="K61" t="s">
        <v>776</v>
      </c>
      <c r="L61">
        <v>3.3</v>
      </c>
      <c r="M61">
        <v>1.16</v>
      </c>
      <c r="N61">
        <v>0.3515151515151515</v>
      </c>
      <c r="O61">
        <v>42</v>
      </c>
      <c r="P61">
        <v>0.03232437953530787</v>
      </c>
      <c r="Q61">
        <v>0.4037711122218811</v>
      </c>
      <c r="R61" t="s">
        <v>780</v>
      </c>
      <c r="S61" t="s">
        <v>789</v>
      </c>
      <c r="T61">
        <v>16805.386829</v>
      </c>
      <c r="U61" s="2">
        <v>44507</v>
      </c>
      <c r="V61" t="s">
        <v>799</v>
      </c>
    </row>
    <row r="62" spans="1:22">
      <c r="A62" s="1" t="s">
        <v>82</v>
      </c>
      <c r="B62">
        <f>HYPERLINK("https://www.suredividend.com/sure-analysis-ABC/","Amerisource Bergen Corp.")</f>
        <v>0</v>
      </c>
      <c r="C62">
        <v>129.53</v>
      </c>
      <c r="D62">
        <v>138</v>
      </c>
      <c r="E62">
        <v>0.9386231884057971</v>
      </c>
      <c r="F62">
        <v>0.01420520342777735</v>
      </c>
      <c r="G62">
        <v>0.01274881611857204</v>
      </c>
      <c r="H62">
        <v>0.04</v>
      </c>
      <c r="I62">
        <v>0.06709324327812771</v>
      </c>
      <c r="J62" t="s">
        <v>776</v>
      </c>
      <c r="K62" t="s">
        <v>777</v>
      </c>
      <c r="L62">
        <v>10.65</v>
      </c>
      <c r="M62">
        <v>1.84</v>
      </c>
      <c r="N62">
        <v>0.1727699530516432</v>
      </c>
      <c r="O62">
        <v>18</v>
      </c>
      <c r="P62">
        <v>0.06994234673120125</v>
      </c>
      <c r="Q62">
        <v>0.352436379734649</v>
      </c>
      <c r="R62" t="s">
        <v>780</v>
      </c>
      <c r="S62" t="s">
        <v>785</v>
      </c>
      <c r="T62">
        <v>26959.51425</v>
      </c>
      <c r="U62" s="2">
        <v>44511</v>
      </c>
      <c r="V62" t="s">
        <v>799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29.75</v>
      </c>
      <c r="D63">
        <v>38</v>
      </c>
      <c r="E63">
        <v>0.7828947368421053</v>
      </c>
      <c r="F63">
        <v>0.01882352941176471</v>
      </c>
      <c r="G63">
        <v>0.05016931709648742</v>
      </c>
      <c r="H63">
        <v>0</v>
      </c>
      <c r="I63">
        <v>0.06703342292770875</v>
      </c>
      <c r="J63" t="s">
        <v>776</v>
      </c>
      <c r="K63" t="s">
        <v>777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0.4050316663439421</v>
      </c>
      <c r="R63" t="s">
        <v>780</v>
      </c>
      <c r="S63" t="s">
        <v>789</v>
      </c>
      <c r="T63">
        <v>141.274747</v>
      </c>
      <c r="U63" s="2">
        <v>44507</v>
      </c>
      <c r="V63" t="s">
        <v>801</v>
      </c>
    </row>
    <row r="64" spans="1:22">
      <c r="A64" s="1" t="s">
        <v>84</v>
      </c>
      <c r="B64">
        <f>HYPERLINK("https://www.suredividend.com/sure-analysis-KO/","Coca-Cola Co")</f>
        <v>0</v>
      </c>
      <c r="C64">
        <v>58.22</v>
      </c>
      <c r="D64">
        <v>53</v>
      </c>
      <c r="E64">
        <v>1.098490566037736</v>
      </c>
      <c r="F64">
        <v>0.02885606320851941</v>
      </c>
      <c r="G64">
        <v>-0.01861202171004883</v>
      </c>
      <c r="H64">
        <v>0.06</v>
      </c>
      <c r="I64">
        <v>0.066628086984996</v>
      </c>
      <c r="J64" t="s">
        <v>776</v>
      </c>
      <c r="K64" t="s">
        <v>777</v>
      </c>
      <c r="L64">
        <v>2.3</v>
      </c>
      <c r="M64">
        <v>1.68</v>
      </c>
      <c r="N64">
        <v>0.7304347826086957</v>
      </c>
      <c r="O64">
        <v>59</v>
      </c>
      <c r="P64">
        <v>0.03959498820755258</v>
      </c>
      <c r="Q64">
        <v>0.131414734821027</v>
      </c>
      <c r="R64" t="s">
        <v>780</v>
      </c>
      <c r="S64" t="s">
        <v>791</v>
      </c>
      <c r="T64">
        <v>251476.64614</v>
      </c>
      <c r="U64" s="2">
        <v>44512</v>
      </c>
      <c r="V64" t="s">
        <v>801</v>
      </c>
    </row>
    <row r="65" spans="1:22">
      <c r="A65" s="1" t="s">
        <v>85</v>
      </c>
      <c r="B65">
        <f>HYPERLINK("https://www.suredividend.com/sure-analysis-ANTM/","Anthem Inc")</f>
        <v>0</v>
      </c>
      <c r="C65">
        <v>455.71</v>
      </c>
      <c r="D65">
        <v>388</v>
      </c>
      <c r="E65">
        <v>1.17451030927835</v>
      </c>
      <c r="F65">
        <v>0.009918588576068112</v>
      </c>
      <c r="G65">
        <v>-0.03165830233108757</v>
      </c>
      <c r="H65">
        <v>0.09</v>
      </c>
      <c r="I65">
        <v>0.06571444674993154</v>
      </c>
      <c r="J65" t="s">
        <v>776</v>
      </c>
      <c r="K65" t="s">
        <v>345</v>
      </c>
      <c r="L65">
        <v>25.85</v>
      </c>
      <c r="M65">
        <v>4.52</v>
      </c>
      <c r="N65">
        <v>0.1748549323017408</v>
      </c>
      <c r="O65">
        <v>11</v>
      </c>
      <c r="P65">
        <v>0.0898563876885603</v>
      </c>
      <c r="Q65">
        <v>0.4958418020345881</v>
      </c>
      <c r="R65" t="s">
        <v>780</v>
      </c>
      <c r="S65" t="s">
        <v>785</v>
      </c>
      <c r="T65">
        <v>110607.505</v>
      </c>
      <c r="U65" s="2">
        <v>44490</v>
      </c>
      <c r="V65" t="s">
        <v>796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154.65</v>
      </c>
      <c r="D66">
        <v>147</v>
      </c>
      <c r="E66">
        <v>1.052040816326531</v>
      </c>
      <c r="F66">
        <v>0.02276107339152926</v>
      </c>
      <c r="G66">
        <v>-0.01009508158459205</v>
      </c>
      <c r="H66">
        <v>0.05</v>
      </c>
      <c r="I66">
        <v>0.06237071193654575</v>
      </c>
      <c r="J66" t="s">
        <v>776</v>
      </c>
      <c r="K66" t="s">
        <v>777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0.146425140254533</v>
      </c>
      <c r="R66" t="s">
        <v>780</v>
      </c>
      <c r="S66" t="s">
        <v>789</v>
      </c>
      <c r="T66">
        <v>38045.243445</v>
      </c>
      <c r="U66" s="2">
        <v>44492</v>
      </c>
      <c r="V66" t="s">
        <v>801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48.28</v>
      </c>
      <c r="D67">
        <v>50.8</v>
      </c>
      <c r="E67">
        <v>0.9503937007874016</v>
      </c>
      <c r="F67">
        <v>0.03976801988400994</v>
      </c>
      <c r="G67">
        <v>0.01022774109841396</v>
      </c>
      <c r="H67">
        <v>0.016</v>
      </c>
      <c r="I67">
        <v>0.06227172795512947</v>
      </c>
      <c r="J67" t="s">
        <v>776</v>
      </c>
      <c r="K67" t="s">
        <v>776</v>
      </c>
      <c r="L67">
        <v>2.54</v>
      </c>
      <c r="M67">
        <v>1.92</v>
      </c>
      <c r="N67">
        <v>0.7559055118110236</v>
      </c>
      <c r="O67">
        <v>66</v>
      </c>
      <c r="P67">
        <v>0.02383625553960966</v>
      </c>
      <c r="Q67">
        <v>0.103810294608522</v>
      </c>
      <c r="R67" t="s">
        <v>780</v>
      </c>
      <c r="S67" t="s">
        <v>792</v>
      </c>
      <c r="T67">
        <v>1480.879018</v>
      </c>
      <c r="U67" s="2">
        <v>44509</v>
      </c>
      <c r="V67" t="s">
        <v>805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133.09</v>
      </c>
      <c r="D68">
        <v>127</v>
      </c>
      <c r="E68">
        <v>1.047952755905512</v>
      </c>
      <c r="F68">
        <v>0.04237733864302352</v>
      </c>
      <c r="G68">
        <v>-0.009323960705964307</v>
      </c>
      <c r="H68">
        <v>0.03</v>
      </c>
      <c r="I68">
        <v>0.06219433611469238</v>
      </c>
      <c r="J68" t="s">
        <v>776</v>
      </c>
      <c r="K68" t="s">
        <v>776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0.350442249796809</v>
      </c>
      <c r="R68" t="s">
        <v>780</v>
      </c>
      <c r="S68" t="s">
        <v>785</v>
      </c>
      <c r="T68">
        <v>235193.391554</v>
      </c>
      <c r="U68" s="2">
        <v>44504</v>
      </c>
      <c r="V68" t="s">
        <v>797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221.33</v>
      </c>
      <c r="D69">
        <v>178</v>
      </c>
      <c r="E69">
        <v>1.243426966292135</v>
      </c>
      <c r="F69">
        <v>0.007319387340170786</v>
      </c>
      <c r="G69">
        <v>-0.0426385326680403</v>
      </c>
      <c r="H69">
        <v>0.1</v>
      </c>
      <c r="I69">
        <v>0.06074491522069714</v>
      </c>
      <c r="J69" t="s">
        <v>776</v>
      </c>
      <c r="K69" t="s">
        <v>345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0.05624644764175901</v>
      </c>
      <c r="R69" t="s">
        <v>780</v>
      </c>
      <c r="S69" t="s">
        <v>791</v>
      </c>
      <c r="T69">
        <v>51283.60053</v>
      </c>
      <c r="U69" s="2">
        <v>44541</v>
      </c>
      <c r="V69" t="s">
        <v>800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63.11</v>
      </c>
      <c r="D70">
        <v>71</v>
      </c>
      <c r="E70">
        <v>0.8888732394366197</v>
      </c>
      <c r="F70">
        <v>0.02883853588971637</v>
      </c>
      <c r="G70">
        <v>0.02383986063492949</v>
      </c>
      <c r="H70">
        <v>0.01</v>
      </c>
      <c r="I70">
        <v>0.05964320614954643</v>
      </c>
      <c r="J70" t="s">
        <v>776</v>
      </c>
      <c r="K70" t="s">
        <v>776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0.553851759932242</v>
      </c>
      <c r="R70" t="s">
        <v>780</v>
      </c>
      <c r="S70" t="s">
        <v>792</v>
      </c>
      <c r="T70">
        <v>5755.00557</v>
      </c>
      <c r="U70" s="2">
        <v>44524</v>
      </c>
      <c r="V70" t="s">
        <v>803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182.74</v>
      </c>
      <c r="D71">
        <v>162</v>
      </c>
      <c r="E71">
        <v>1.128024691358025</v>
      </c>
      <c r="F71">
        <v>0.01488453540549414</v>
      </c>
      <c r="G71">
        <v>-0.02380567457409821</v>
      </c>
      <c r="H71">
        <v>0.07000000000000001</v>
      </c>
      <c r="I71">
        <v>0.0594701331113423</v>
      </c>
      <c r="J71" t="s">
        <v>776</v>
      </c>
      <c r="K71" t="s">
        <v>345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0.266386833568606</v>
      </c>
      <c r="R71" t="s">
        <v>780</v>
      </c>
      <c r="S71" t="s">
        <v>787</v>
      </c>
      <c r="T71">
        <v>204668.8</v>
      </c>
      <c r="U71" s="2">
        <v>44505</v>
      </c>
      <c r="V71" t="s">
        <v>796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130.76</v>
      </c>
      <c r="D72">
        <v>138</v>
      </c>
      <c r="E72">
        <v>0.9475362318840579</v>
      </c>
      <c r="F72">
        <v>0.008871214438666258</v>
      </c>
      <c r="G72">
        <v>0.01083631276117125</v>
      </c>
      <c r="H72">
        <v>0.04</v>
      </c>
      <c r="I72">
        <v>0.05932337338680083</v>
      </c>
      <c r="J72" t="s">
        <v>776</v>
      </c>
      <c r="K72" t="s">
        <v>345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0.396392403779101</v>
      </c>
      <c r="R72" t="s">
        <v>780</v>
      </c>
      <c r="S72" t="s">
        <v>786</v>
      </c>
      <c r="T72">
        <v>22151.243765</v>
      </c>
      <c r="U72" s="2">
        <v>44513</v>
      </c>
      <c r="V72" t="s">
        <v>798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167.66</v>
      </c>
      <c r="D73">
        <v>167</v>
      </c>
      <c r="E73">
        <v>1.003952095808383</v>
      </c>
      <c r="F73">
        <v>0.008588810688297746</v>
      </c>
      <c r="G73">
        <v>-0.0007885502892719387</v>
      </c>
      <c r="H73">
        <v>0.05</v>
      </c>
      <c r="I73">
        <v>0.05673113510833394</v>
      </c>
      <c r="J73" t="s">
        <v>776</v>
      </c>
      <c r="K73" t="s">
        <v>345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0.05249083009674201</v>
      </c>
      <c r="R73" t="s">
        <v>780</v>
      </c>
      <c r="S73" t="s">
        <v>789</v>
      </c>
      <c r="T73">
        <v>7715.693416</v>
      </c>
      <c r="U73" s="2">
        <v>44495</v>
      </c>
      <c r="V73" t="s">
        <v>795</v>
      </c>
    </row>
    <row r="74" spans="1:22">
      <c r="A74" s="1" t="s">
        <v>94</v>
      </c>
      <c r="B74">
        <f>HYPERLINK("https://www.suredividend.com/sure-analysis-ORCL/","Oracle Corp.")</f>
        <v>0</v>
      </c>
      <c r="C74">
        <v>89.72</v>
      </c>
      <c r="D74">
        <v>75</v>
      </c>
      <c r="E74">
        <v>1.196266666666667</v>
      </c>
      <c r="F74">
        <v>0.01426660722246991</v>
      </c>
      <c r="G74">
        <v>-0.03520643154175618</v>
      </c>
      <c r="H74">
        <v>0.08</v>
      </c>
      <c r="I74">
        <v>0.05648641020674749</v>
      </c>
      <c r="J74" t="s">
        <v>776</v>
      </c>
      <c r="K74" t="s">
        <v>345</v>
      </c>
      <c r="L74">
        <v>4.7</v>
      </c>
      <c r="M74">
        <v>1.28</v>
      </c>
      <c r="N74">
        <v>0.2723404255319149</v>
      </c>
      <c r="O74">
        <v>12</v>
      </c>
      <c r="P74">
        <v>0.07056368416916192</v>
      </c>
      <c r="Q74">
        <v>0.3951369246343051</v>
      </c>
      <c r="R74" t="s">
        <v>780</v>
      </c>
      <c r="S74" t="s">
        <v>787</v>
      </c>
      <c r="T74">
        <v>239592.50484</v>
      </c>
      <c r="U74" s="2">
        <v>44476</v>
      </c>
      <c r="V74" t="s">
        <v>797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68.11</v>
      </c>
      <c r="D75">
        <v>62</v>
      </c>
      <c r="E75">
        <v>1.098548387096774</v>
      </c>
      <c r="F75">
        <v>0.01541623843782117</v>
      </c>
      <c r="G75">
        <v>-0.01862235281382585</v>
      </c>
      <c r="H75">
        <v>0.06</v>
      </c>
      <c r="I75">
        <v>0.05596183944160282</v>
      </c>
      <c r="J75" t="s">
        <v>776</v>
      </c>
      <c r="K75" t="s">
        <v>777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0.08465949718045801</v>
      </c>
      <c r="R75" t="s">
        <v>780</v>
      </c>
      <c r="S75" t="s">
        <v>789</v>
      </c>
      <c r="T75">
        <v>7912.433509</v>
      </c>
      <c r="U75" s="2">
        <v>44499</v>
      </c>
      <c r="V75" t="s">
        <v>797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162.16</v>
      </c>
      <c r="D76">
        <v>159</v>
      </c>
      <c r="E76">
        <v>1.019874213836478</v>
      </c>
      <c r="F76">
        <v>0.01973359644795264</v>
      </c>
      <c r="G76">
        <v>-0.003928124639532515</v>
      </c>
      <c r="H76">
        <v>0.04</v>
      </c>
      <c r="I76">
        <v>0.05562223427627422</v>
      </c>
      <c r="J76" t="s">
        <v>776</v>
      </c>
      <c r="K76" t="s">
        <v>777</v>
      </c>
      <c r="L76">
        <v>5.88</v>
      </c>
      <c r="M76">
        <v>3.2</v>
      </c>
      <c r="N76">
        <v>0.54421768707483</v>
      </c>
      <c r="O76">
        <v>59</v>
      </c>
      <c r="P76">
        <v>0.05988502997905321</v>
      </c>
      <c r="Q76">
        <v>-0.041255118607431</v>
      </c>
      <c r="R76" t="s">
        <v>780</v>
      </c>
      <c r="S76" t="s">
        <v>791</v>
      </c>
      <c r="T76">
        <v>4464.2648</v>
      </c>
      <c r="U76" s="2">
        <v>44541</v>
      </c>
      <c r="V76" t="s">
        <v>801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302.28</v>
      </c>
      <c r="D77">
        <v>250</v>
      </c>
      <c r="E77">
        <v>1.20912</v>
      </c>
      <c r="F77">
        <v>0.01495302368664814</v>
      </c>
      <c r="G77">
        <v>-0.03726642261399815</v>
      </c>
      <c r="H77">
        <v>0.08</v>
      </c>
      <c r="I77">
        <v>0.05547962157790409</v>
      </c>
      <c r="J77" t="s">
        <v>776</v>
      </c>
      <c r="K77" t="s">
        <v>345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0.6310206883006581</v>
      </c>
      <c r="R77" t="s">
        <v>780</v>
      </c>
      <c r="S77" t="s">
        <v>789</v>
      </c>
      <c r="T77">
        <v>33822.053883</v>
      </c>
      <c r="U77" s="2">
        <v>44496</v>
      </c>
      <c r="V77" t="s">
        <v>796</v>
      </c>
    </row>
    <row r="78" spans="1:22">
      <c r="A78" s="1" t="s">
        <v>98</v>
      </c>
      <c r="B78">
        <f>HYPERLINK("https://www.suredividend.com/sure-analysis-PNR/","Pentair plc")</f>
        <v>0</v>
      </c>
      <c r="C78">
        <v>71.22</v>
      </c>
      <c r="D78">
        <v>64</v>
      </c>
      <c r="E78">
        <v>1.1128125</v>
      </c>
      <c r="F78">
        <v>0.01179443976411121</v>
      </c>
      <c r="G78">
        <v>-0.02115122663376068</v>
      </c>
      <c r="H78">
        <v>0.065</v>
      </c>
      <c r="I78">
        <v>0.05379950795210564</v>
      </c>
      <c r="J78" t="s">
        <v>776</v>
      </c>
      <c r="K78" t="s">
        <v>777</v>
      </c>
      <c r="L78">
        <v>3.37</v>
      </c>
      <c r="M78">
        <v>0.84</v>
      </c>
      <c r="N78">
        <v>0.2492581602373887</v>
      </c>
      <c r="O78">
        <v>46</v>
      </c>
      <c r="P78">
        <v>0.04959293402845044</v>
      </c>
      <c r="Q78">
        <v>0.374746891763293</v>
      </c>
      <c r="R78" t="s">
        <v>780</v>
      </c>
      <c r="S78" t="s">
        <v>786</v>
      </c>
      <c r="T78">
        <v>11785.358757</v>
      </c>
      <c r="U78" s="2">
        <v>44503</v>
      </c>
      <c r="V78" t="s">
        <v>797</v>
      </c>
    </row>
    <row r="79" spans="1:22">
      <c r="A79" s="1" t="s">
        <v>99</v>
      </c>
      <c r="B79">
        <f>HYPERLINK("https://www.suredividend.com/sure-analysis-ADP/","Automatic Data Processing Inc.")</f>
        <v>0</v>
      </c>
      <c r="C79">
        <v>242</v>
      </c>
      <c r="D79">
        <v>196</v>
      </c>
      <c r="E79">
        <v>1.23469387755102</v>
      </c>
      <c r="F79">
        <v>0.0171900826446281</v>
      </c>
      <c r="G79">
        <v>-0.0412880492372879</v>
      </c>
      <c r="H79">
        <v>0.08</v>
      </c>
      <c r="I79">
        <v>0.05369918233258786</v>
      </c>
      <c r="J79" t="s">
        <v>776</v>
      </c>
      <c r="K79" t="s">
        <v>345</v>
      </c>
      <c r="L79">
        <v>6.75</v>
      </c>
      <c r="M79">
        <v>4.16</v>
      </c>
      <c r="N79">
        <v>0.6162962962962963</v>
      </c>
      <c r="O79">
        <v>47</v>
      </c>
      <c r="P79">
        <v>0.0799150058822331</v>
      </c>
      <c r="Q79">
        <v>0.407597068940847</v>
      </c>
      <c r="R79" t="s">
        <v>780</v>
      </c>
      <c r="S79" t="s">
        <v>786</v>
      </c>
      <c r="T79">
        <v>101974.938164</v>
      </c>
      <c r="U79" s="2">
        <v>44512</v>
      </c>
      <c r="V79" t="s">
        <v>801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85.22</v>
      </c>
      <c r="D80">
        <v>81</v>
      </c>
      <c r="E80">
        <v>1.052098765432099</v>
      </c>
      <c r="F80">
        <v>0.02088711570053978</v>
      </c>
      <c r="G80">
        <v>-0.01010598652439065</v>
      </c>
      <c r="H80">
        <v>0.04</v>
      </c>
      <c r="I80">
        <v>0.05079919455217397</v>
      </c>
      <c r="J80" t="s">
        <v>776</v>
      </c>
      <c r="K80" t="s">
        <v>777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0.351595682252892</v>
      </c>
      <c r="R80" t="s">
        <v>780</v>
      </c>
      <c r="S80" t="s">
        <v>791</v>
      </c>
      <c r="T80">
        <v>31031.66992</v>
      </c>
      <c r="U80" s="2">
        <v>44515</v>
      </c>
      <c r="V80" t="s">
        <v>799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119.78</v>
      </c>
      <c r="D81">
        <v>113</v>
      </c>
      <c r="E81">
        <v>1.06</v>
      </c>
      <c r="F81">
        <v>0.01118717649023209</v>
      </c>
      <c r="G81">
        <v>-0.011586139329545</v>
      </c>
      <c r="H81">
        <v>0.05</v>
      </c>
      <c r="I81">
        <v>0.04978004669475711</v>
      </c>
      <c r="J81" t="s">
        <v>776</v>
      </c>
      <c r="K81" t="s">
        <v>777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0.038014305844181</v>
      </c>
      <c r="R81" t="s">
        <v>780</v>
      </c>
      <c r="S81" t="s">
        <v>790</v>
      </c>
      <c r="T81">
        <v>2684.964045</v>
      </c>
      <c r="U81" s="2">
        <v>44499</v>
      </c>
      <c r="V81" t="s">
        <v>801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204.69</v>
      </c>
      <c r="D82">
        <v>173</v>
      </c>
      <c r="E82">
        <v>1.183179190751445</v>
      </c>
      <c r="F82">
        <v>0.02325467780546192</v>
      </c>
      <c r="G82">
        <v>-0.0330814426003383</v>
      </c>
      <c r="H82">
        <v>0.06</v>
      </c>
      <c r="I82">
        <v>0.04896387923930634</v>
      </c>
      <c r="J82" t="s">
        <v>776</v>
      </c>
      <c r="K82" t="s">
        <v>777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0.418064825424712</v>
      </c>
      <c r="R82" t="s">
        <v>780</v>
      </c>
      <c r="S82" t="s">
        <v>786</v>
      </c>
      <c r="T82">
        <v>57154.121073</v>
      </c>
      <c r="U82" s="2">
        <v>44508</v>
      </c>
      <c r="V82" t="s">
        <v>800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43.21</v>
      </c>
      <c r="D83">
        <v>45</v>
      </c>
      <c r="E83">
        <v>0.9602222222222222</v>
      </c>
      <c r="F83">
        <v>0.01943994445730155</v>
      </c>
      <c r="G83">
        <v>0.008151149153889259</v>
      </c>
      <c r="H83">
        <v>0.02</v>
      </c>
      <c r="I83">
        <v>0.04889100066707175</v>
      </c>
      <c r="J83" t="s">
        <v>776</v>
      </c>
      <c r="K83" t="s">
        <v>777</v>
      </c>
      <c r="L83">
        <v>3.45</v>
      </c>
      <c r="M83">
        <v>0.84</v>
      </c>
      <c r="N83">
        <v>0.2434782608695652</v>
      </c>
      <c r="O83">
        <v>16</v>
      </c>
      <c r="P83">
        <v>0.07033701387905711</v>
      </c>
      <c r="Q83">
        <v>0.404604867519853</v>
      </c>
      <c r="R83" t="s">
        <v>780</v>
      </c>
      <c r="S83" t="s">
        <v>791</v>
      </c>
      <c r="T83">
        <v>31770.39292</v>
      </c>
      <c r="U83" s="2">
        <v>44534</v>
      </c>
      <c r="V83" t="s">
        <v>799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82.79000000000001</v>
      </c>
      <c r="D84">
        <v>74</v>
      </c>
      <c r="E84">
        <v>1.118783783783784</v>
      </c>
      <c r="F84">
        <v>0.02174175625075492</v>
      </c>
      <c r="G84">
        <v>-0.02219834629603057</v>
      </c>
      <c r="H84">
        <v>0.05</v>
      </c>
      <c r="I84">
        <v>0.04847020849258299</v>
      </c>
      <c r="J84" t="s">
        <v>776</v>
      </c>
      <c r="K84" t="s">
        <v>777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0.002979013642404</v>
      </c>
      <c r="R84" t="s">
        <v>780</v>
      </c>
      <c r="S84" t="s">
        <v>791</v>
      </c>
      <c r="T84">
        <v>69779.443128</v>
      </c>
      <c r="U84" s="2">
        <v>44519</v>
      </c>
      <c r="V84" t="s">
        <v>801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135.37</v>
      </c>
      <c r="D85">
        <v>114</v>
      </c>
      <c r="E85">
        <v>1.187456140350877</v>
      </c>
      <c r="F85">
        <v>0.0240821452315875</v>
      </c>
      <c r="G85">
        <v>-0.03377897284254838</v>
      </c>
      <c r="H85">
        <v>0.06</v>
      </c>
      <c r="I85">
        <v>0.04775582646886933</v>
      </c>
      <c r="J85" t="s">
        <v>776</v>
      </c>
      <c r="K85" t="s">
        <v>776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0.398844922173298</v>
      </c>
      <c r="R85" t="s">
        <v>780</v>
      </c>
      <c r="S85" t="s">
        <v>788</v>
      </c>
      <c r="T85">
        <v>19279.632027</v>
      </c>
      <c r="U85" s="2">
        <v>44499</v>
      </c>
      <c r="V85" t="s">
        <v>801</v>
      </c>
    </row>
    <row r="86" spans="1:22">
      <c r="A86" s="1" t="s">
        <v>106</v>
      </c>
      <c r="B86">
        <f>HYPERLINK("https://www.suredividend.com/sure-analysis-PSBQ/","PSB Holdings Inc (WI)")</f>
        <v>0</v>
      </c>
      <c r="C86">
        <v>25.95</v>
      </c>
      <c r="D86">
        <v>30</v>
      </c>
      <c r="E86">
        <v>0.865</v>
      </c>
      <c r="F86">
        <v>0.01772639691714836</v>
      </c>
      <c r="G86">
        <v>0.02942990056528272</v>
      </c>
      <c r="H86">
        <v>0</v>
      </c>
      <c r="I86">
        <v>0.04717955053282408</v>
      </c>
      <c r="J86" t="s">
        <v>776</v>
      </c>
      <c r="K86" t="s">
        <v>777</v>
      </c>
      <c r="L86">
        <v>3</v>
      </c>
      <c r="M86">
        <v>0.46</v>
      </c>
      <c r="N86">
        <v>0.1533333333333333</v>
      </c>
      <c r="O86">
        <v>28</v>
      </c>
      <c r="P86">
        <v>0.05103901130952315</v>
      </c>
      <c r="Q86">
        <v>0.247908130878873</v>
      </c>
      <c r="R86" t="s">
        <v>780</v>
      </c>
      <c r="S86" t="s">
        <v>789</v>
      </c>
      <c r="T86">
        <v>116.185027</v>
      </c>
      <c r="U86" s="2">
        <v>44512</v>
      </c>
      <c r="V86" t="s">
        <v>801</v>
      </c>
    </row>
    <row r="87" spans="1:22">
      <c r="A87" s="1" t="s">
        <v>107</v>
      </c>
      <c r="B87">
        <f>HYPERLINK("https://www.suredividend.com/sure-analysis-LECO/","Lincoln Electric Holdings, Inc.")</f>
        <v>0</v>
      </c>
      <c r="C87">
        <v>137.56</v>
      </c>
      <c r="D87">
        <v>112</v>
      </c>
      <c r="E87">
        <v>1.228214285714286</v>
      </c>
      <c r="F87">
        <v>0.01628380343123001</v>
      </c>
      <c r="G87">
        <v>-0.04027861716137171</v>
      </c>
      <c r="H87">
        <v>0.07000000000000001</v>
      </c>
      <c r="I87">
        <v>0.04481701503973334</v>
      </c>
      <c r="J87" t="s">
        <v>776</v>
      </c>
      <c r="K87" t="s">
        <v>345</v>
      </c>
      <c r="L87">
        <v>6.2</v>
      </c>
      <c r="M87">
        <v>2.24</v>
      </c>
      <c r="N87">
        <v>0.3612903225806452</v>
      </c>
      <c r="O87">
        <v>26</v>
      </c>
      <c r="P87">
        <v>0.0799150058822331</v>
      </c>
      <c r="Q87">
        <v>0.176431349039039</v>
      </c>
      <c r="R87" t="s">
        <v>780</v>
      </c>
      <c r="S87" t="s">
        <v>786</v>
      </c>
      <c r="T87">
        <v>8122.682085</v>
      </c>
      <c r="U87" s="2">
        <v>44500</v>
      </c>
      <c r="V87" t="s">
        <v>797</v>
      </c>
    </row>
    <row r="88" spans="1:22">
      <c r="A88" s="1" t="s">
        <v>108</v>
      </c>
      <c r="B88">
        <f>HYPERLINK("https://www.suredividend.com/sure-analysis-TXT/","Textron Inc.")</f>
        <v>0</v>
      </c>
      <c r="C88">
        <v>75.91</v>
      </c>
      <c r="D88">
        <v>70</v>
      </c>
      <c r="E88">
        <v>1.084428571428571</v>
      </c>
      <c r="F88">
        <v>0.001053879594256356</v>
      </c>
      <c r="G88">
        <v>-0.01607995193342249</v>
      </c>
      <c r="H88">
        <v>0.06</v>
      </c>
      <c r="I88">
        <v>0.04384442704139602</v>
      </c>
      <c r="J88" t="s">
        <v>776</v>
      </c>
      <c r="K88" t="s">
        <v>526</v>
      </c>
      <c r="L88">
        <v>3.25</v>
      </c>
      <c r="M88">
        <v>0.08</v>
      </c>
      <c r="N88">
        <v>0.02461538461538462</v>
      </c>
      <c r="O88">
        <v>0</v>
      </c>
      <c r="P88">
        <v>0</v>
      </c>
      <c r="Q88">
        <v>0.5732218613799001</v>
      </c>
      <c r="R88" t="s">
        <v>780</v>
      </c>
      <c r="S88" t="s">
        <v>786</v>
      </c>
      <c r="T88">
        <v>16732.478222</v>
      </c>
      <c r="U88" s="2">
        <v>44504</v>
      </c>
      <c r="V88" t="s">
        <v>800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35.23</v>
      </c>
      <c r="D89">
        <v>38</v>
      </c>
      <c r="E89">
        <v>0.9271052631578947</v>
      </c>
      <c r="F89">
        <v>0.02952029520295203</v>
      </c>
      <c r="G89">
        <v>0.0152527877690336</v>
      </c>
      <c r="H89">
        <v>0</v>
      </c>
      <c r="I89">
        <v>0.04319711829153827</v>
      </c>
      <c r="J89" t="s">
        <v>776</v>
      </c>
      <c r="K89" t="s">
        <v>776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0.226299832571609</v>
      </c>
      <c r="R89" t="s">
        <v>780</v>
      </c>
      <c r="S89" t="s">
        <v>789</v>
      </c>
      <c r="T89">
        <v>564.50477</v>
      </c>
      <c r="U89" s="2">
        <v>44518</v>
      </c>
      <c r="V89" t="s">
        <v>801</v>
      </c>
    </row>
    <row r="90" spans="1:22">
      <c r="A90" s="1" t="s">
        <v>110</v>
      </c>
      <c r="B90">
        <f>HYPERLINK("https://www.suredividend.com/sure-analysis-EBTC/","Enterprise Bancorp, Inc.")</f>
        <v>0</v>
      </c>
      <c r="C90">
        <v>46.04</v>
      </c>
      <c r="D90">
        <v>41</v>
      </c>
      <c r="E90">
        <v>1.122926829268293</v>
      </c>
      <c r="F90">
        <v>0.01607298001737619</v>
      </c>
      <c r="G90">
        <v>-0.02292093453215416</v>
      </c>
      <c r="H90">
        <v>0.05</v>
      </c>
      <c r="I90">
        <v>0.04281272278146453</v>
      </c>
      <c r="J90" t="s">
        <v>776</v>
      </c>
      <c r="K90" t="s">
        <v>777</v>
      </c>
      <c r="L90">
        <v>3.4</v>
      </c>
      <c r="M90">
        <v>0.74</v>
      </c>
      <c r="N90">
        <v>0.2176470588235294</v>
      </c>
      <c r="O90">
        <v>27</v>
      </c>
      <c r="P90">
        <v>0.06207125806326297</v>
      </c>
      <c r="Q90">
        <v>0.8571105876278681</v>
      </c>
      <c r="R90" t="s">
        <v>780</v>
      </c>
      <c r="S90" t="s">
        <v>789</v>
      </c>
      <c r="T90">
        <v>553.731597</v>
      </c>
      <c r="U90" s="2">
        <v>44494</v>
      </c>
      <c r="V90" t="s">
        <v>803</v>
      </c>
    </row>
    <row r="91" spans="1:22">
      <c r="A91" s="1" t="s">
        <v>111</v>
      </c>
      <c r="B91">
        <f>HYPERLINK("https://www.suredividend.com/sure-analysis-CAT/","Caterpillar Inc.")</f>
        <v>0</v>
      </c>
      <c r="C91">
        <v>206.2</v>
      </c>
      <c r="D91">
        <v>168</v>
      </c>
      <c r="E91">
        <v>1.227380952380952</v>
      </c>
      <c r="F91">
        <v>0.02153249272550922</v>
      </c>
      <c r="G91">
        <v>-0.04014833149836128</v>
      </c>
      <c r="H91">
        <v>0.06</v>
      </c>
      <c r="I91">
        <v>0.04170995616138184</v>
      </c>
      <c r="J91" t="s">
        <v>776</v>
      </c>
      <c r="K91" t="s">
        <v>777</v>
      </c>
      <c r="L91">
        <v>10.5</v>
      </c>
      <c r="M91">
        <v>4.44</v>
      </c>
      <c r="N91">
        <v>0.4228571428571429</v>
      </c>
      <c r="O91">
        <v>28</v>
      </c>
      <c r="P91">
        <v>0.07987360286076095</v>
      </c>
      <c r="Q91">
        <v>0.173598696406181</v>
      </c>
      <c r="R91" t="s">
        <v>780</v>
      </c>
      <c r="S91" t="s">
        <v>786</v>
      </c>
      <c r="T91">
        <v>111542.15792</v>
      </c>
      <c r="U91" s="2">
        <v>44503</v>
      </c>
      <c r="V91" t="s">
        <v>799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47.77</v>
      </c>
      <c r="D92">
        <v>43</v>
      </c>
      <c r="E92">
        <v>1.11093023255814</v>
      </c>
      <c r="F92">
        <v>0.02177098597446096</v>
      </c>
      <c r="G92">
        <v>-0.02081975527585722</v>
      </c>
      <c r="H92">
        <v>0.04</v>
      </c>
      <c r="I92">
        <v>0.04085060004776175</v>
      </c>
      <c r="J92" t="s">
        <v>776</v>
      </c>
      <c r="K92" t="s">
        <v>777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0.030961208924494</v>
      </c>
      <c r="R92" t="s">
        <v>780</v>
      </c>
      <c r="S92" t="s">
        <v>791</v>
      </c>
      <c r="T92">
        <v>25918.566464</v>
      </c>
      <c r="U92" s="2">
        <v>44542</v>
      </c>
      <c r="V92" t="s">
        <v>801</v>
      </c>
    </row>
    <row r="93" spans="1:22">
      <c r="A93" s="1" t="s">
        <v>113</v>
      </c>
      <c r="B93">
        <f>HYPERLINK("https://www.suredividend.com/sure-analysis-PPG/","PPG Industries, Inc.")</f>
        <v>0</v>
      </c>
      <c r="C93">
        <v>167.06</v>
      </c>
      <c r="D93">
        <v>127</v>
      </c>
      <c r="E93">
        <v>1.315433070866142</v>
      </c>
      <c r="F93">
        <v>0.01412666107985155</v>
      </c>
      <c r="G93">
        <v>-0.05335695433993615</v>
      </c>
      <c r="H93">
        <v>0.08</v>
      </c>
      <c r="I93">
        <v>0.03826466743851586</v>
      </c>
      <c r="J93" t="s">
        <v>776</v>
      </c>
      <c r="K93" t="s">
        <v>777</v>
      </c>
      <c r="L93">
        <v>6.7</v>
      </c>
      <c r="M93">
        <v>2.36</v>
      </c>
      <c r="N93">
        <v>0.3522388059701492</v>
      </c>
      <c r="O93">
        <v>50</v>
      </c>
      <c r="P93">
        <v>0.08014856837381279</v>
      </c>
      <c r="Q93">
        <v>0.177795183772286</v>
      </c>
      <c r="R93" t="s">
        <v>780</v>
      </c>
      <c r="S93" t="s">
        <v>790</v>
      </c>
      <c r="T93">
        <v>39660.186502</v>
      </c>
      <c r="U93" s="2">
        <v>44490</v>
      </c>
      <c r="V93" t="s">
        <v>796</v>
      </c>
    </row>
    <row r="94" spans="1:22">
      <c r="A94" s="1" t="s">
        <v>114</v>
      </c>
      <c r="B94">
        <f>HYPERLINK("https://www.suredividend.com/sure-analysis-FFMR/","First Farmers Financial Corp")</f>
        <v>0</v>
      </c>
      <c r="C94">
        <v>54.99</v>
      </c>
      <c r="D94">
        <v>45</v>
      </c>
      <c r="E94">
        <v>1.222</v>
      </c>
      <c r="F94">
        <v>0.02400436442989634</v>
      </c>
      <c r="G94">
        <v>-0.03930449470459296</v>
      </c>
      <c r="H94">
        <v>0.05</v>
      </c>
      <c r="I94">
        <v>0.03576075456902061</v>
      </c>
      <c r="J94" t="s">
        <v>776</v>
      </c>
      <c r="K94" t="s">
        <v>777</v>
      </c>
      <c r="L94">
        <v>4.5</v>
      </c>
      <c r="M94">
        <v>1.32</v>
      </c>
      <c r="N94">
        <v>0.2933333333333333</v>
      </c>
      <c r="O94">
        <v>30</v>
      </c>
      <c r="P94">
        <v>0.0698417929634616</v>
      </c>
      <c r="Q94">
        <v>0.277494354771263</v>
      </c>
      <c r="R94" t="s">
        <v>780</v>
      </c>
      <c r="S94" t="s">
        <v>789</v>
      </c>
      <c r="T94">
        <v>386.986681</v>
      </c>
      <c r="U94" s="2">
        <v>44253</v>
      </c>
      <c r="V94" t="s">
        <v>801</v>
      </c>
    </row>
    <row r="95" spans="1:22">
      <c r="A95" s="1" t="s">
        <v>115</v>
      </c>
      <c r="B95">
        <f>HYPERLINK("https://www.suredividend.com/sure-analysis-MKC/","McCormick &amp; Co., Inc.")</f>
        <v>0</v>
      </c>
      <c r="C95">
        <v>93.03</v>
      </c>
      <c r="D95">
        <v>69</v>
      </c>
      <c r="E95">
        <v>1.348260869565217</v>
      </c>
      <c r="F95">
        <v>0.01590884660862087</v>
      </c>
      <c r="G95">
        <v>-0.05801233920626125</v>
      </c>
      <c r="H95">
        <v>0.08</v>
      </c>
      <c r="I95">
        <v>0.0350733243087189</v>
      </c>
      <c r="J95" t="s">
        <v>776</v>
      </c>
      <c r="K95" t="s">
        <v>345</v>
      </c>
      <c r="L95">
        <v>3</v>
      </c>
      <c r="M95">
        <v>1.48</v>
      </c>
      <c r="N95">
        <v>0.4933333333333333</v>
      </c>
      <c r="O95">
        <v>36</v>
      </c>
      <c r="P95">
        <v>0.07146234783937033</v>
      </c>
      <c r="Q95">
        <v>0.019877917225774</v>
      </c>
      <c r="R95" t="s">
        <v>780</v>
      </c>
      <c r="S95" t="s">
        <v>791</v>
      </c>
      <c r="T95">
        <v>24813.985674</v>
      </c>
      <c r="U95" s="2">
        <v>44470</v>
      </c>
      <c r="V95" t="s">
        <v>796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36.79</v>
      </c>
      <c r="D96">
        <v>28</v>
      </c>
      <c r="E96">
        <v>1.313928571428571</v>
      </c>
      <c r="F96">
        <v>0.01005708072845882</v>
      </c>
      <c r="G96">
        <v>-0.05314026492595136</v>
      </c>
      <c r="H96">
        <v>0.08</v>
      </c>
      <c r="I96">
        <v>0.03497546984659605</v>
      </c>
      <c r="J96" t="s">
        <v>776</v>
      </c>
      <c r="K96" t="s">
        <v>345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0.244717815467792</v>
      </c>
      <c r="R96" t="s">
        <v>780</v>
      </c>
      <c r="S96" t="s">
        <v>786</v>
      </c>
      <c r="T96">
        <v>82942.90452900001</v>
      </c>
      <c r="U96" s="2">
        <v>44493</v>
      </c>
      <c r="V96" t="s">
        <v>801</v>
      </c>
    </row>
    <row r="97" spans="1:22">
      <c r="A97" s="1" t="s">
        <v>117</v>
      </c>
      <c r="B97">
        <f>HYPERLINK("https://www.suredividend.com/sure-analysis-JKHY/","Jack Henry &amp; Associates, Inc.")</f>
        <v>0</v>
      </c>
      <c r="C97">
        <v>165.43</v>
      </c>
      <c r="D97">
        <v>117</v>
      </c>
      <c r="E97">
        <v>1.413931623931624</v>
      </c>
      <c r="F97">
        <v>0.0111225291664148</v>
      </c>
      <c r="G97">
        <v>-0.06692980201218723</v>
      </c>
      <c r="H97">
        <v>0.095</v>
      </c>
      <c r="I97">
        <v>0.03469117888811013</v>
      </c>
      <c r="J97" t="s">
        <v>776</v>
      </c>
      <c r="K97" t="s">
        <v>345</v>
      </c>
      <c r="L97">
        <v>4.68</v>
      </c>
      <c r="M97">
        <v>1.84</v>
      </c>
      <c r="N97">
        <v>0.3931623931623932</v>
      </c>
      <c r="O97">
        <v>31</v>
      </c>
      <c r="P97">
        <v>0.08991774272866437</v>
      </c>
      <c r="Q97">
        <v>0.073568969489303</v>
      </c>
      <c r="R97" t="s">
        <v>780</v>
      </c>
      <c r="S97" t="s">
        <v>787</v>
      </c>
      <c r="T97">
        <v>12248.607924</v>
      </c>
      <c r="U97" s="2">
        <v>44512</v>
      </c>
      <c r="V97" t="s">
        <v>797</v>
      </c>
    </row>
    <row r="98" spans="1:22">
      <c r="A98" s="1" t="s">
        <v>118</v>
      </c>
      <c r="B98">
        <f>HYPERLINK("https://www.suredividend.com/sure-analysis-AXP/","American Express Co.")</f>
        <v>0</v>
      </c>
      <c r="C98">
        <v>164.19</v>
      </c>
      <c r="D98">
        <v>131</v>
      </c>
      <c r="E98">
        <v>1.253358778625954</v>
      </c>
      <c r="F98">
        <v>0.01047566843291309</v>
      </c>
      <c r="G98">
        <v>-0.04416062145844835</v>
      </c>
      <c r="H98">
        <v>0.07000000000000001</v>
      </c>
      <c r="I98">
        <v>0.03461051032458995</v>
      </c>
      <c r="J98" t="s">
        <v>776</v>
      </c>
      <c r="K98" t="s">
        <v>345</v>
      </c>
      <c r="L98">
        <v>8.75</v>
      </c>
      <c r="M98">
        <v>1.72</v>
      </c>
      <c r="N98">
        <v>0.1965714285714286</v>
      </c>
      <c r="O98">
        <v>9</v>
      </c>
      <c r="P98">
        <v>0.08023542380212056</v>
      </c>
      <c r="Q98">
        <v>0.420300461149994</v>
      </c>
      <c r="R98" t="s">
        <v>780</v>
      </c>
      <c r="S98" t="s">
        <v>789</v>
      </c>
      <c r="T98">
        <v>127174.310399</v>
      </c>
      <c r="U98" s="2">
        <v>44491</v>
      </c>
      <c r="V98" t="s">
        <v>797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267.02</v>
      </c>
      <c r="D99">
        <v>252</v>
      </c>
      <c r="E99">
        <v>1.059603174603174</v>
      </c>
      <c r="F99">
        <v>0.02321923451426859</v>
      </c>
      <c r="G99">
        <v>-0.01151211747140402</v>
      </c>
      <c r="H99">
        <v>0.02</v>
      </c>
      <c r="I99">
        <v>0.03307117930236658</v>
      </c>
      <c r="J99" t="s">
        <v>776</v>
      </c>
      <c r="K99" t="s">
        <v>777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0.190951409699862</v>
      </c>
      <c r="R99" t="s">
        <v>780</v>
      </c>
      <c r="S99" t="s">
        <v>789</v>
      </c>
      <c r="T99">
        <v>10596.580023</v>
      </c>
      <c r="U99" s="2">
        <v>44508</v>
      </c>
      <c r="V99" t="s">
        <v>797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550.37</v>
      </c>
      <c r="D100">
        <v>405</v>
      </c>
      <c r="E100">
        <v>1.358938271604938</v>
      </c>
      <c r="F100">
        <v>0.005741592019913876</v>
      </c>
      <c r="G100">
        <v>-0.05949728402166166</v>
      </c>
      <c r="H100">
        <v>0.09</v>
      </c>
      <c r="I100">
        <v>0.03203776561389038</v>
      </c>
      <c r="J100" t="s">
        <v>776</v>
      </c>
      <c r="K100" t="s">
        <v>526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0.5324259117721171</v>
      </c>
      <c r="R100" t="s">
        <v>780</v>
      </c>
      <c r="S100" t="s">
        <v>791</v>
      </c>
      <c r="T100">
        <v>244051.93732</v>
      </c>
      <c r="U100" s="2">
        <v>44542</v>
      </c>
      <c r="V100" t="s">
        <v>801</v>
      </c>
    </row>
    <row r="101" spans="1:22">
      <c r="A101" s="1" t="s">
        <v>121</v>
      </c>
      <c r="B101">
        <f>HYPERLINK("https://www.suredividend.com/sure-analysis-OZK/","Bank OZK")</f>
        <v>0</v>
      </c>
      <c r="C101">
        <v>45.43</v>
      </c>
      <c r="D101">
        <v>46</v>
      </c>
      <c r="E101">
        <v>0.9876086956521739</v>
      </c>
      <c r="F101">
        <v>0.02553378824565265</v>
      </c>
      <c r="G101">
        <v>0.002496855307764001</v>
      </c>
      <c r="H101">
        <v>0</v>
      </c>
      <c r="I101">
        <v>0.02868158450730451</v>
      </c>
      <c r="J101" t="s">
        <v>776</v>
      </c>
      <c r="K101" t="s">
        <v>777</v>
      </c>
      <c r="L101">
        <v>4.2</v>
      </c>
      <c r="M101">
        <v>1.16</v>
      </c>
      <c r="N101">
        <v>0.2761904761904762</v>
      </c>
      <c r="O101">
        <v>25</v>
      </c>
      <c r="P101">
        <v>0.02927011184548056</v>
      </c>
      <c r="Q101">
        <v>0.4862287477140601</v>
      </c>
      <c r="R101" t="s">
        <v>780</v>
      </c>
      <c r="S101" t="s">
        <v>789</v>
      </c>
      <c r="T101">
        <v>5523.251151</v>
      </c>
      <c r="U101" s="2">
        <v>44493</v>
      </c>
      <c r="V101" t="s">
        <v>799</v>
      </c>
    </row>
    <row r="102" spans="1:22">
      <c r="A102" s="1" t="s">
        <v>122</v>
      </c>
      <c r="B102">
        <f>HYPERLINK("https://www.suredividend.com/sure-analysis-SPGI/","S&amp;P Global Inc")</f>
        <v>0</v>
      </c>
      <c r="C102">
        <v>473.74</v>
      </c>
      <c r="D102">
        <v>355</v>
      </c>
      <c r="E102">
        <v>1.334478873239437</v>
      </c>
      <c r="F102">
        <v>0.006501456495123907</v>
      </c>
      <c r="G102">
        <v>-0.05607462862054025</v>
      </c>
      <c r="H102">
        <v>0.08</v>
      </c>
      <c r="I102">
        <v>0.02786699425269701</v>
      </c>
      <c r="J102" t="s">
        <v>776</v>
      </c>
      <c r="K102" t="s">
        <v>345</v>
      </c>
      <c r="L102">
        <v>13.65</v>
      </c>
      <c r="M102">
        <v>3.08</v>
      </c>
      <c r="N102">
        <v>0.2256410256410256</v>
      </c>
      <c r="O102">
        <v>48</v>
      </c>
      <c r="P102">
        <v>0.1200820117377759</v>
      </c>
      <c r="Q102">
        <v>0.5223174032107031</v>
      </c>
      <c r="R102" t="s">
        <v>780</v>
      </c>
      <c r="S102" t="s">
        <v>789</v>
      </c>
      <c r="T102">
        <v>114171.34</v>
      </c>
      <c r="U102" s="2">
        <v>44512</v>
      </c>
      <c r="V102" t="s">
        <v>801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173.74</v>
      </c>
      <c r="D103">
        <v>127</v>
      </c>
      <c r="E103">
        <v>1.368031496062992</v>
      </c>
      <c r="F103">
        <v>0.01151145389662714</v>
      </c>
      <c r="G103">
        <v>-0.06075091477887784</v>
      </c>
      <c r="H103">
        <v>0.08</v>
      </c>
      <c r="I103">
        <v>0.02669470946750718</v>
      </c>
      <c r="J103" t="s">
        <v>776</v>
      </c>
      <c r="K103" t="s">
        <v>777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0.423701591359785</v>
      </c>
      <c r="R103" t="s">
        <v>780</v>
      </c>
      <c r="S103" t="s">
        <v>786</v>
      </c>
      <c r="T103">
        <v>25015.893612</v>
      </c>
      <c r="U103" s="2">
        <v>44488</v>
      </c>
      <c r="V103" t="s">
        <v>796</v>
      </c>
    </row>
    <row r="104" spans="1:22">
      <c r="A104" s="1" t="s">
        <v>124</v>
      </c>
      <c r="B104">
        <f>HYPERLINK("https://www.suredividend.com/sure-analysis-THFF/","First Financial Corp. - Indiana")</f>
        <v>0</v>
      </c>
      <c r="C104">
        <v>45.02</v>
      </c>
      <c r="D104">
        <v>48</v>
      </c>
      <c r="E104">
        <v>0.9379166666666667</v>
      </c>
      <c r="F104">
        <v>0.02354509107063527</v>
      </c>
      <c r="G104">
        <v>0.01290134855088487</v>
      </c>
      <c r="H104">
        <v>-0.01</v>
      </c>
      <c r="I104">
        <v>0.02635345954111079</v>
      </c>
      <c r="J104" t="s">
        <v>776</v>
      </c>
      <c r="K104" t="s">
        <v>776</v>
      </c>
      <c r="L104">
        <v>4.4</v>
      </c>
      <c r="M104">
        <v>1.06</v>
      </c>
      <c r="N104">
        <v>0.2409090909090909</v>
      </c>
      <c r="O104">
        <v>32</v>
      </c>
      <c r="P104">
        <v>0.01994322923769842</v>
      </c>
      <c r="Q104">
        <v>0.178139262236737</v>
      </c>
      <c r="R104" t="s">
        <v>780</v>
      </c>
      <c r="S104" t="s">
        <v>789</v>
      </c>
      <c r="T104">
        <v>579.494559</v>
      </c>
      <c r="U104" s="2">
        <v>44518</v>
      </c>
      <c r="V104" t="s">
        <v>801</v>
      </c>
    </row>
    <row r="105" spans="1:22">
      <c r="A105" s="1" t="s">
        <v>125</v>
      </c>
      <c r="B105">
        <f>HYPERLINK("https://www.suredividend.com/sure-analysis-TROW/","T. Rowe Price Group Inc.")</f>
        <v>0</v>
      </c>
      <c r="C105">
        <v>195.29</v>
      </c>
      <c r="D105">
        <v>179</v>
      </c>
      <c r="E105">
        <v>1.091005586592179</v>
      </c>
      <c r="F105">
        <v>0.02212094833324799</v>
      </c>
      <c r="G105">
        <v>-0.01726911509823392</v>
      </c>
      <c r="H105">
        <v>0.02</v>
      </c>
      <c r="I105">
        <v>0.02631543091289612</v>
      </c>
      <c r="J105" t="s">
        <v>776</v>
      </c>
      <c r="K105" t="s">
        <v>777</v>
      </c>
      <c r="L105">
        <v>12.74</v>
      </c>
      <c r="M105">
        <v>4.32</v>
      </c>
      <c r="N105">
        <v>0.3390894819466248</v>
      </c>
      <c r="O105">
        <v>35</v>
      </c>
      <c r="P105">
        <v>0.04563955259127317</v>
      </c>
      <c r="Q105">
        <v>0.371976386466126</v>
      </c>
      <c r="R105" t="s">
        <v>780</v>
      </c>
      <c r="S105" t="s">
        <v>789</v>
      </c>
      <c r="T105">
        <v>43891.68997</v>
      </c>
      <c r="U105" s="2">
        <v>44502</v>
      </c>
      <c r="V105" t="s">
        <v>799</v>
      </c>
    </row>
    <row r="106" spans="1:22">
      <c r="A106" s="1" t="s">
        <v>126</v>
      </c>
      <c r="B106">
        <f>HYPERLINK("https://www.suredividend.com/sure-analysis-BRO/","Brown &amp; Brown, Inc.")</f>
        <v>0</v>
      </c>
      <c r="C106">
        <v>68.03</v>
      </c>
      <c r="D106">
        <v>53</v>
      </c>
      <c r="E106">
        <v>1.283584905660377</v>
      </c>
      <c r="F106">
        <v>0.006026752903130971</v>
      </c>
      <c r="G106">
        <v>-0.04870529434195769</v>
      </c>
      <c r="H106">
        <v>0.07000000000000001</v>
      </c>
      <c r="I106">
        <v>0.02510081559068311</v>
      </c>
      <c r="J106" t="s">
        <v>776</v>
      </c>
      <c r="K106" t="s">
        <v>345</v>
      </c>
      <c r="L106">
        <v>2.2</v>
      </c>
      <c r="M106">
        <v>0.41</v>
      </c>
      <c r="N106">
        <v>0.1863636363636363</v>
      </c>
      <c r="O106">
        <v>28</v>
      </c>
      <c r="P106">
        <v>0.08971100922578001</v>
      </c>
      <c r="Q106">
        <v>0.4996968861945441</v>
      </c>
      <c r="R106" t="s">
        <v>780</v>
      </c>
      <c r="S106" t="s">
        <v>789</v>
      </c>
      <c r="T106">
        <v>19213.497857</v>
      </c>
      <c r="U106" s="2">
        <v>44507</v>
      </c>
      <c r="V106" t="s">
        <v>801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240.79</v>
      </c>
      <c r="D107">
        <v>184</v>
      </c>
      <c r="E107">
        <v>1.308641304347826</v>
      </c>
      <c r="F107">
        <v>0.008970472195689191</v>
      </c>
      <c r="G107">
        <v>-0.05237638423193758</v>
      </c>
      <c r="H107">
        <v>0.07000000000000001</v>
      </c>
      <c r="I107">
        <v>0.02390116312243484</v>
      </c>
      <c r="J107" t="s">
        <v>776</v>
      </c>
      <c r="K107" t="s">
        <v>345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0.551471962165192</v>
      </c>
      <c r="R107" t="s">
        <v>780</v>
      </c>
      <c r="S107" t="s">
        <v>786</v>
      </c>
      <c r="T107">
        <v>12589.60161</v>
      </c>
      <c r="U107" s="2">
        <v>44509</v>
      </c>
      <c r="V107" t="s">
        <v>797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397.26</v>
      </c>
      <c r="D108">
        <v>320</v>
      </c>
      <c r="E108">
        <v>1.2414375</v>
      </c>
      <c r="F108">
        <v>0.006242762926043397</v>
      </c>
      <c r="G108">
        <v>-0.04233188515181774</v>
      </c>
      <c r="H108">
        <v>0.06</v>
      </c>
      <c r="I108">
        <v>0.02313031126998921</v>
      </c>
      <c r="J108" t="s">
        <v>776</v>
      </c>
      <c r="K108" t="s">
        <v>526</v>
      </c>
      <c r="L108">
        <v>12.3</v>
      </c>
      <c r="M108">
        <v>2.48</v>
      </c>
      <c r="N108">
        <v>0.2016260162601626</v>
      </c>
      <c r="O108">
        <v>12</v>
      </c>
      <c r="P108">
        <v>0.1100560807786035</v>
      </c>
      <c r="Q108">
        <v>0.451654277823373</v>
      </c>
      <c r="R108" t="s">
        <v>780</v>
      </c>
      <c r="S108" t="s">
        <v>789</v>
      </c>
      <c r="T108">
        <v>73850.63400000001</v>
      </c>
      <c r="U108" s="2">
        <v>44518</v>
      </c>
      <c r="V108" t="s">
        <v>801</v>
      </c>
    </row>
    <row r="109" spans="1:22">
      <c r="A109" s="1" t="s">
        <v>129</v>
      </c>
      <c r="B109">
        <f>HYPERLINK("https://www.suredividend.com/sure-analysis-CSVI/","Computer Services, Inc.")</f>
        <v>0</v>
      </c>
      <c r="C109">
        <v>55</v>
      </c>
      <c r="D109">
        <v>37</v>
      </c>
      <c r="E109">
        <v>1.486486486486486</v>
      </c>
      <c r="F109">
        <v>0.01963636363636364</v>
      </c>
      <c r="G109">
        <v>-0.07622159221653335</v>
      </c>
      <c r="H109">
        <v>0.08</v>
      </c>
      <c r="I109">
        <v>0.02173815152801239</v>
      </c>
      <c r="J109" t="s">
        <v>776</v>
      </c>
      <c r="K109" t="s">
        <v>777</v>
      </c>
      <c r="L109">
        <v>2.15</v>
      </c>
      <c r="M109">
        <v>1.08</v>
      </c>
      <c r="N109">
        <v>0.5023255813953489</v>
      </c>
      <c r="O109">
        <v>50</v>
      </c>
      <c r="P109">
        <v>0.08178074106640287</v>
      </c>
      <c r="Q109">
        <v>-0.062139243333941</v>
      </c>
      <c r="R109" t="s">
        <v>780</v>
      </c>
      <c r="S109" t="s">
        <v>787</v>
      </c>
      <c r="T109">
        <v>1510.08759</v>
      </c>
      <c r="U109" s="2">
        <v>44477</v>
      </c>
      <c r="V109" t="s">
        <v>803</v>
      </c>
    </row>
    <row r="110" spans="1:22">
      <c r="A110" s="1" t="s">
        <v>130</v>
      </c>
      <c r="B110">
        <f>HYPERLINK("https://www.suredividend.com/sure-analysis-AMAT/","Applied Materials Inc.")</f>
        <v>0</v>
      </c>
      <c r="C110">
        <v>155.49</v>
      </c>
      <c r="D110">
        <v>130</v>
      </c>
      <c r="E110">
        <v>1.196076923076923</v>
      </c>
      <c r="F110">
        <v>0.006174030484275515</v>
      </c>
      <c r="G110">
        <v>-0.03517582284489573</v>
      </c>
      <c r="H110">
        <v>0.05</v>
      </c>
      <c r="I110">
        <v>0.02083100789960857</v>
      </c>
      <c r="J110" t="s">
        <v>776</v>
      </c>
      <c r="K110" t="s">
        <v>526</v>
      </c>
      <c r="L110">
        <v>8.15</v>
      </c>
      <c r="M110">
        <v>0.96</v>
      </c>
      <c r="N110">
        <v>0.1177914110429448</v>
      </c>
      <c r="O110">
        <v>4</v>
      </c>
      <c r="P110">
        <v>0.1005558662160053</v>
      </c>
      <c r="Q110">
        <v>0.8635639627071471</v>
      </c>
      <c r="R110" t="s">
        <v>780</v>
      </c>
      <c r="S110" t="s">
        <v>787</v>
      </c>
      <c r="T110">
        <v>138154.924932</v>
      </c>
      <c r="U110" s="2">
        <v>44535</v>
      </c>
      <c r="V110" t="s">
        <v>801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79.13</v>
      </c>
      <c r="D111">
        <v>54</v>
      </c>
      <c r="E111">
        <v>1.46537037037037</v>
      </c>
      <c r="F111">
        <v>0.008467079489447745</v>
      </c>
      <c r="G111">
        <v>-0.0735744610677681</v>
      </c>
      <c r="H111">
        <v>0.09</v>
      </c>
      <c r="I111">
        <v>0.01911308584670834</v>
      </c>
      <c r="J111" t="s">
        <v>776</v>
      </c>
      <c r="K111" t="s">
        <v>345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0.4997536105530491</v>
      </c>
      <c r="R111" t="s">
        <v>780</v>
      </c>
      <c r="S111" t="s">
        <v>790</v>
      </c>
      <c r="T111">
        <v>4158.602214</v>
      </c>
      <c r="U111" s="2">
        <v>44463</v>
      </c>
      <c r="V111" t="s">
        <v>803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48.4</v>
      </c>
      <c r="D112">
        <v>60</v>
      </c>
      <c r="E112">
        <v>0.8066666666666666</v>
      </c>
      <c r="F112">
        <v>0.0256198347107438</v>
      </c>
      <c r="G112">
        <v>0.04390548076893097</v>
      </c>
      <c r="H112">
        <v>-0.05</v>
      </c>
      <c r="I112">
        <v>0.0183691379242219</v>
      </c>
      <c r="J112" t="s">
        <v>776</v>
      </c>
      <c r="K112" t="s">
        <v>776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0.247737830689194</v>
      </c>
      <c r="R112" t="s">
        <v>780</v>
      </c>
      <c r="S112" t="s">
        <v>789</v>
      </c>
      <c r="T112">
        <v>1210.299935</v>
      </c>
      <c r="U112" s="2">
        <v>44498</v>
      </c>
      <c r="V112" t="s">
        <v>801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190.64</v>
      </c>
      <c r="D113">
        <v>148</v>
      </c>
      <c r="E113">
        <v>1.288108108108108</v>
      </c>
      <c r="F113">
        <v>0.01678556441460344</v>
      </c>
      <c r="G113">
        <v>-0.04937433060452212</v>
      </c>
      <c r="H113">
        <v>0.05</v>
      </c>
      <c r="I113">
        <v>0.01731389996982768</v>
      </c>
      <c r="J113" t="s">
        <v>776</v>
      </c>
      <c r="K113" t="s">
        <v>777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0.284699314723702</v>
      </c>
      <c r="R113" t="s">
        <v>780</v>
      </c>
      <c r="S113" t="s">
        <v>789</v>
      </c>
      <c r="T113">
        <v>82116.51761900001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HYPERLINK("https://www.suredividend.com/sure-analysis-GRC/","Gorman-Rupp Co.")</f>
        <v>0</v>
      </c>
      <c r="C114">
        <v>44.28</v>
      </c>
      <c r="D114">
        <v>33</v>
      </c>
      <c r="E114">
        <v>1.341818181818182</v>
      </c>
      <c r="F114">
        <v>0.01535682023486902</v>
      </c>
      <c r="G114">
        <v>-0.05710948813270655</v>
      </c>
      <c r="H114">
        <v>0.06</v>
      </c>
      <c r="I114">
        <v>0.01674136052586839</v>
      </c>
      <c r="J114" t="s">
        <v>776</v>
      </c>
      <c r="K114" t="s">
        <v>777</v>
      </c>
      <c r="L114">
        <v>1.3</v>
      </c>
      <c r="M114">
        <v>0.68</v>
      </c>
      <c r="N114">
        <v>0.5230769230769231</v>
      </c>
      <c r="O114">
        <v>49</v>
      </c>
      <c r="P114">
        <v>0.0505145404837426</v>
      </c>
      <c r="Q114">
        <v>0.398941631782639</v>
      </c>
      <c r="R114" t="s">
        <v>780</v>
      </c>
      <c r="S114" t="s">
        <v>786</v>
      </c>
      <c r="T114">
        <v>1156.887619</v>
      </c>
      <c r="U114" s="2">
        <v>44499</v>
      </c>
      <c r="V114" t="s">
        <v>801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99.53</v>
      </c>
      <c r="D115">
        <v>75</v>
      </c>
      <c r="E115">
        <v>1.327066666666667</v>
      </c>
      <c r="F115">
        <v>0.01014769416256405</v>
      </c>
      <c r="G115">
        <v>-0.05502253519916134</v>
      </c>
      <c r="H115">
        <v>0.06</v>
      </c>
      <c r="I115">
        <v>0.01380267418871872</v>
      </c>
      <c r="J115" t="s">
        <v>776</v>
      </c>
      <c r="K115" t="s">
        <v>345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0.158343846451066</v>
      </c>
      <c r="R115" t="s">
        <v>780</v>
      </c>
      <c r="S115" t="s">
        <v>791</v>
      </c>
      <c r="T115">
        <v>24300.086868</v>
      </c>
      <c r="U115" s="2">
        <v>44519</v>
      </c>
      <c r="V115" t="s">
        <v>801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265.95</v>
      </c>
      <c r="D116">
        <v>186</v>
      </c>
      <c r="E116">
        <v>1.429838709677419</v>
      </c>
      <c r="F116">
        <v>0.02075578116187253</v>
      </c>
      <c r="G116">
        <v>-0.06901520104834813</v>
      </c>
      <c r="H116">
        <v>0.06</v>
      </c>
      <c r="I116">
        <v>0.01171839839531663</v>
      </c>
      <c r="J116" t="s">
        <v>776</v>
      </c>
      <c r="K116" t="s">
        <v>777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0.2830823695943</v>
      </c>
      <c r="R116" t="s">
        <v>780</v>
      </c>
      <c r="S116" t="s">
        <v>788</v>
      </c>
      <c r="T116">
        <v>198729.921311</v>
      </c>
      <c r="U116" s="2">
        <v>44497</v>
      </c>
      <c r="V116" t="s">
        <v>799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36.04</v>
      </c>
      <c r="D117">
        <v>34</v>
      </c>
      <c r="E117">
        <v>1.06</v>
      </c>
      <c r="F117">
        <v>0.03884572697003329</v>
      </c>
      <c r="G117">
        <v>-0.011586139329545</v>
      </c>
      <c r="H117">
        <v>-0.02</v>
      </c>
      <c r="I117">
        <v>0.01158844740878995</v>
      </c>
      <c r="J117" t="s">
        <v>776</v>
      </c>
      <c r="K117" t="s">
        <v>776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0.178960591181348</v>
      </c>
      <c r="R117" t="s">
        <v>780</v>
      </c>
      <c r="S117" t="s">
        <v>789</v>
      </c>
      <c r="T117">
        <v>4656.482139</v>
      </c>
      <c r="U117" s="2">
        <v>44501</v>
      </c>
      <c r="V117" t="s">
        <v>801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435</v>
      </c>
      <c r="D118">
        <v>308</v>
      </c>
      <c r="E118">
        <v>1.412337662337662</v>
      </c>
      <c r="F118">
        <v>0.008735632183908045</v>
      </c>
      <c r="G118">
        <v>-0.06671928477706301</v>
      </c>
      <c r="H118">
        <v>0.07000000000000001</v>
      </c>
      <c r="I118">
        <v>0.01013959922666774</v>
      </c>
      <c r="J118" t="s">
        <v>776</v>
      </c>
      <c r="K118" t="s">
        <v>345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0.293139197962369</v>
      </c>
      <c r="R118" t="s">
        <v>780</v>
      </c>
      <c r="S118" t="s">
        <v>786</v>
      </c>
      <c r="T118">
        <v>44982.31644</v>
      </c>
      <c r="U118" s="2">
        <v>44553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240.5</v>
      </c>
      <c r="D119">
        <v>160</v>
      </c>
      <c r="E119">
        <v>1.503125</v>
      </c>
      <c r="F119">
        <v>0.02029106029106029</v>
      </c>
      <c r="G119">
        <v>-0.07827582061603577</v>
      </c>
      <c r="H119">
        <v>0.07000000000000001</v>
      </c>
      <c r="I119">
        <v>0.009309446097766294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0.216653328166561</v>
      </c>
      <c r="R119" t="s">
        <v>780</v>
      </c>
      <c r="S119" t="s">
        <v>786</v>
      </c>
      <c r="T119">
        <v>75488.314363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91.42</v>
      </c>
      <c r="D120">
        <v>59</v>
      </c>
      <c r="E120">
        <v>1.549491525423729</v>
      </c>
      <c r="F120">
        <v>0.007656967840735068</v>
      </c>
      <c r="G120">
        <v>-0.08385933876739238</v>
      </c>
      <c r="H120">
        <v>0.09</v>
      </c>
      <c r="I120">
        <v>0.008346147023737593</v>
      </c>
      <c r="J120" t="s">
        <v>776</v>
      </c>
      <c r="K120" t="s">
        <v>345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0.333623145699276</v>
      </c>
      <c r="R120" t="s">
        <v>780</v>
      </c>
      <c r="S120" t="s">
        <v>786</v>
      </c>
      <c r="T120">
        <v>4244.698525</v>
      </c>
      <c r="U120" s="2">
        <v>44496</v>
      </c>
      <c r="V120" t="s">
        <v>803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97.51000000000001</v>
      </c>
      <c r="D121">
        <v>72</v>
      </c>
      <c r="E121">
        <v>1.354305555555556</v>
      </c>
      <c r="F121">
        <v>0.01640857347964311</v>
      </c>
      <c r="G121">
        <v>-0.05885472112995571</v>
      </c>
      <c r="H121">
        <v>0.05</v>
      </c>
      <c r="I121">
        <v>0.007395807094536577</v>
      </c>
      <c r="J121" t="s">
        <v>776</v>
      </c>
      <c r="K121" t="s">
        <v>777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0.110257154731203</v>
      </c>
      <c r="R121" t="s">
        <v>780</v>
      </c>
      <c r="S121" t="s">
        <v>790</v>
      </c>
      <c r="T121">
        <v>12648.578492</v>
      </c>
      <c r="U121" s="2">
        <v>44475</v>
      </c>
      <c r="V121" t="s">
        <v>796</v>
      </c>
    </row>
    <row r="122" spans="1:22">
      <c r="A122" s="1" t="s">
        <v>142</v>
      </c>
      <c r="B122">
        <f>HYPERLINK("https://www.suredividend.com/sure-analysis-NDSN/","Nordson Corp.")</f>
        <v>0</v>
      </c>
      <c r="C122">
        <v>253.66</v>
      </c>
      <c r="D122">
        <v>193</v>
      </c>
      <c r="E122">
        <v>1.314300518134715</v>
      </c>
      <c r="F122">
        <v>0.008042261294646377</v>
      </c>
      <c r="G122">
        <v>-0.05319386320556008</v>
      </c>
      <c r="H122">
        <v>0.05</v>
      </c>
      <c r="I122">
        <v>0.004372714405288969</v>
      </c>
      <c r="J122" t="s">
        <v>776</v>
      </c>
      <c r="K122" t="s">
        <v>345</v>
      </c>
      <c r="L122">
        <v>8.75</v>
      </c>
      <c r="M122">
        <v>2.04</v>
      </c>
      <c r="N122">
        <v>0.2331428571428572</v>
      </c>
      <c r="O122">
        <v>58</v>
      </c>
      <c r="P122">
        <v>0.0801851873035635</v>
      </c>
      <c r="Q122">
        <v>0.28948888129748</v>
      </c>
      <c r="R122" t="s">
        <v>780</v>
      </c>
      <c r="S122" t="s">
        <v>786</v>
      </c>
      <c r="T122">
        <v>14757.077878</v>
      </c>
      <c r="U122" s="2">
        <v>44551</v>
      </c>
      <c r="V122" t="s">
        <v>799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160.1</v>
      </c>
      <c r="D123">
        <v>118</v>
      </c>
      <c r="E123">
        <v>1.356779661016949</v>
      </c>
      <c r="F123">
        <v>0.02173641474078701</v>
      </c>
      <c r="G123">
        <v>-0.05919820990956137</v>
      </c>
      <c r="H123">
        <v>0.04</v>
      </c>
      <c r="I123">
        <v>0.004173803711848389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0.203797413151392</v>
      </c>
      <c r="R123" t="s">
        <v>780</v>
      </c>
      <c r="S123" t="s">
        <v>791</v>
      </c>
      <c r="T123">
        <v>387433.645822</v>
      </c>
      <c r="U123" s="2">
        <v>44488</v>
      </c>
      <c r="V123" t="s">
        <v>799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116.33</v>
      </c>
      <c r="D124">
        <v>77</v>
      </c>
      <c r="E124">
        <v>1.510779220779221</v>
      </c>
      <c r="F124">
        <v>0.01289435227370412</v>
      </c>
      <c r="G124">
        <v>-0.07921168489676689</v>
      </c>
      <c r="H124">
        <v>0.07000000000000001</v>
      </c>
      <c r="I124">
        <v>0.0006128384626777894</v>
      </c>
      <c r="J124" t="s">
        <v>776</v>
      </c>
      <c r="K124" t="s">
        <v>345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-0.125711726119972</v>
      </c>
      <c r="R124" t="s">
        <v>780</v>
      </c>
      <c r="S124" t="s">
        <v>788</v>
      </c>
      <c r="T124">
        <v>7657.667241</v>
      </c>
      <c r="U124" s="2">
        <v>44507</v>
      </c>
      <c r="V124" t="s">
        <v>798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70.29000000000001</v>
      </c>
      <c r="D125">
        <v>43</v>
      </c>
      <c r="E125">
        <v>1.634651162790698</v>
      </c>
      <c r="F125">
        <v>0.0193484137146109</v>
      </c>
      <c r="G125">
        <v>-0.09361025661074296</v>
      </c>
      <c r="H125">
        <v>0.076</v>
      </c>
      <c r="I125">
        <v>-0.0004095213297790057</v>
      </c>
      <c r="J125" t="s">
        <v>776</v>
      </c>
      <c r="K125" t="s">
        <v>777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0.077500640000735</v>
      </c>
      <c r="R125" t="s">
        <v>780</v>
      </c>
      <c r="S125" t="s">
        <v>792</v>
      </c>
      <c r="T125">
        <v>2096.485918</v>
      </c>
      <c r="U125" s="2">
        <v>44502</v>
      </c>
      <c r="V125" t="s">
        <v>796</v>
      </c>
    </row>
    <row r="126" spans="1:22">
      <c r="A126" s="1" t="s">
        <v>146</v>
      </c>
      <c r="B126">
        <f>HYPERLINK("https://www.suredividend.com/sure-analysis-NKE/","Nike, Inc.")</f>
        <v>0</v>
      </c>
      <c r="C126">
        <v>165.67</v>
      </c>
      <c r="D126">
        <v>96</v>
      </c>
      <c r="E126">
        <v>1.725729166666667</v>
      </c>
      <c r="F126">
        <v>0.007364036940906622</v>
      </c>
      <c r="G126">
        <v>-0.1033860900717314</v>
      </c>
      <c r="H126">
        <v>0.1</v>
      </c>
      <c r="I126">
        <v>-0.003502236224063537</v>
      </c>
      <c r="J126" t="s">
        <v>776</v>
      </c>
      <c r="K126" t="s">
        <v>526</v>
      </c>
      <c r="L126">
        <v>4</v>
      </c>
      <c r="M126">
        <v>1.22</v>
      </c>
      <c r="N126">
        <v>0.305</v>
      </c>
      <c r="O126">
        <v>20</v>
      </c>
      <c r="P126">
        <v>0.09945953022431997</v>
      </c>
      <c r="Q126">
        <v>0.177453056815112</v>
      </c>
      <c r="R126" t="s">
        <v>780</v>
      </c>
      <c r="S126" t="s">
        <v>788</v>
      </c>
      <c r="T126">
        <v>260073.738751</v>
      </c>
      <c r="U126" s="2">
        <v>44552</v>
      </c>
      <c r="V126" t="s">
        <v>799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503.01</v>
      </c>
      <c r="D127">
        <v>356</v>
      </c>
      <c r="E127">
        <v>1.412949438202247</v>
      </c>
      <c r="F127">
        <v>0.01288244766505636</v>
      </c>
      <c r="G127">
        <v>-0.06680011676038744</v>
      </c>
      <c r="H127">
        <v>0.05</v>
      </c>
      <c r="I127">
        <v>-0.003971949135994191</v>
      </c>
      <c r="J127" t="s">
        <v>776</v>
      </c>
      <c r="K127" t="s">
        <v>777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0.243062588316234</v>
      </c>
      <c r="R127" t="s">
        <v>780</v>
      </c>
      <c r="S127" t="s">
        <v>786</v>
      </c>
      <c r="T127">
        <v>25915.098841</v>
      </c>
      <c r="U127" s="2">
        <v>44505</v>
      </c>
      <c r="V127" t="s">
        <v>799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82.77</v>
      </c>
      <c r="D128">
        <v>55</v>
      </c>
      <c r="E128">
        <v>1.504909090909091</v>
      </c>
      <c r="F128">
        <v>0.01353147275582941</v>
      </c>
      <c r="G128">
        <v>-0.07849446772193547</v>
      </c>
      <c r="H128">
        <v>0.06</v>
      </c>
      <c r="I128">
        <v>-0.005026769961867794</v>
      </c>
      <c r="J128" t="s">
        <v>776</v>
      </c>
      <c r="K128" t="s">
        <v>345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0.5275586191623061</v>
      </c>
      <c r="R128" t="s">
        <v>780</v>
      </c>
      <c r="S128" t="s">
        <v>786</v>
      </c>
      <c r="T128">
        <v>13364.20974</v>
      </c>
      <c r="U128" s="2">
        <v>44510</v>
      </c>
      <c r="V128" t="s">
        <v>797</v>
      </c>
    </row>
    <row r="129" spans="1:22">
      <c r="A129" s="1" t="s">
        <v>149</v>
      </c>
      <c r="B129">
        <f>HYPERLINK("https://www.suredividend.com/sure-analysis-TSCO/","Tractor Supply Co.")</f>
        <v>0</v>
      </c>
      <c r="C129">
        <v>228.27</v>
      </c>
      <c r="D129">
        <v>152</v>
      </c>
      <c r="E129">
        <v>1.501776315789474</v>
      </c>
      <c r="F129">
        <v>0.009112016471722084</v>
      </c>
      <c r="G129">
        <v>-0.07811032745726754</v>
      </c>
      <c r="H129">
        <v>0.065</v>
      </c>
      <c r="I129">
        <v>-0.006201910872304039</v>
      </c>
      <c r="J129" t="s">
        <v>776</v>
      </c>
      <c r="K129" t="s">
        <v>526</v>
      </c>
      <c r="L129">
        <v>8.01</v>
      </c>
      <c r="M129">
        <v>2.08</v>
      </c>
      <c r="N129">
        <v>0.2596754057428215</v>
      </c>
      <c r="O129">
        <v>11</v>
      </c>
      <c r="P129">
        <v>0.07599829696383686</v>
      </c>
      <c r="Q129">
        <v>0.570793034753976</v>
      </c>
      <c r="R129" t="s">
        <v>780</v>
      </c>
      <c r="S129" t="s">
        <v>788</v>
      </c>
      <c r="T129">
        <v>25980.532701</v>
      </c>
      <c r="U129" s="2">
        <v>44491</v>
      </c>
      <c r="V129" t="s">
        <v>805</v>
      </c>
    </row>
    <row r="130" spans="1:22">
      <c r="A130" s="1" t="s">
        <v>150</v>
      </c>
      <c r="B130">
        <f>HYPERLINK("https://www.suredividend.com/sure-analysis-ABT/","Abbott Laboratories")</f>
        <v>0</v>
      </c>
      <c r="C130">
        <v>139.16</v>
      </c>
      <c r="D130">
        <v>101</v>
      </c>
      <c r="E130">
        <v>1.377821782178218</v>
      </c>
      <c r="F130">
        <v>0.01350962920379419</v>
      </c>
      <c r="G130">
        <v>-0.06208951536480978</v>
      </c>
      <c r="H130">
        <v>0.04</v>
      </c>
      <c r="I130">
        <v>-0.007340300751731643</v>
      </c>
      <c r="J130" t="s">
        <v>776</v>
      </c>
      <c r="K130" t="s">
        <v>777</v>
      </c>
      <c r="L130">
        <v>5.05</v>
      </c>
      <c r="M130">
        <v>1.88</v>
      </c>
      <c r="N130">
        <v>0.3722772277227723</v>
      </c>
      <c r="O130">
        <v>50</v>
      </c>
      <c r="P130">
        <v>0.06034828502666922</v>
      </c>
      <c r="Q130">
        <v>0.315132911966613</v>
      </c>
      <c r="R130" t="s">
        <v>780</v>
      </c>
      <c r="S130" t="s">
        <v>785</v>
      </c>
      <c r="T130">
        <v>246074.814606</v>
      </c>
      <c r="U130" s="2">
        <v>44490</v>
      </c>
      <c r="V130" t="s">
        <v>799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78.84</v>
      </c>
      <c r="D131">
        <v>54.5</v>
      </c>
      <c r="E131">
        <v>1.446605504587156</v>
      </c>
      <c r="F131">
        <v>0.01966007102993404</v>
      </c>
      <c r="G131">
        <v>-0.07118338132018254</v>
      </c>
      <c r="H131">
        <v>0.041</v>
      </c>
      <c r="I131">
        <v>-0.009262435995038509</v>
      </c>
      <c r="J131" t="s">
        <v>776</v>
      </c>
      <c r="K131" t="s">
        <v>777</v>
      </c>
      <c r="L131">
        <v>3.03</v>
      </c>
      <c r="M131">
        <v>1.55</v>
      </c>
      <c r="N131">
        <v>0.5115511551155116</v>
      </c>
      <c r="O131">
        <v>45</v>
      </c>
      <c r="P131">
        <v>0.03601968190208304</v>
      </c>
      <c r="Q131">
        <v>0.171518025240239</v>
      </c>
      <c r="R131" t="s">
        <v>780</v>
      </c>
      <c r="S131" t="s">
        <v>792</v>
      </c>
      <c r="T131">
        <v>2851.120091</v>
      </c>
      <c r="U131" s="2">
        <v>44531</v>
      </c>
      <c r="V131" t="s">
        <v>805</v>
      </c>
    </row>
    <row r="132" spans="1:22">
      <c r="A132" s="1" t="s">
        <v>152</v>
      </c>
      <c r="B132">
        <f>HYPERLINK("https://www.suredividend.com/sure-analysis-MSFT/","Microsoft Corporation")</f>
        <v>0</v>
      </c>
      <c r="C132">
        <v>334.69</v>
      </c>
      <c r="D132">
        <v>216</v>
      </c>
      <c r="E132">
        <v>1.549490740740741</v>
      </c>
      <c r="F132">
        <v>0.007409841943290806</v>
      </c>
      <c r="G132">
        <v>-0.08385924597821626</v>
      </c>
      <c r="H132">
        <v>0.07000000000000001</v>
      </c>
      <c r="I132">
        <v>-0.009469615524900776</v>
      </c>
      <c r="J132" t="s">
        <v>776</v>
      </c>
      <c r="K132" t="s">
        <v>345</v>
      </c>
      <c r="L132">
        <v>9</v>
      </c>
      <c r="M132">
        <v>2.48</v>
      </c>
      <c r="N132">
        <v>0.2755555555555556</v>
      </c>
      <c r="O132">
        <v>20</v>
      </c>
      <c r="P132">
        <v>0.09024056365188593</v>
      </c>
      <c r="Q132">
        <v>0.5269909532093541</v>
      </c>
      <c r="R132" t="s">
        <v>780</v>
      </c>
      <c r="S132" t="s">
        <v>787</v>
      </c>
      <c r="T132">
        <v>2512845.974802</v>
      </c>
      <c r="U132" s="2">
        <v>44497</v>
      </c>
      <c r="V132" t="s">
        <v>799</v>
      </c>
    </row>
    <row r="133" spans="1:22">
      <c r="A133" s="1" t="s">
        <v>153</v>
      </c>
      <c r="B133">
        <f>HYPERLINK("https://www.suredividend.com/sure-analysis-LIN/","Linde Plc")</f>
        <v>0</v>
      </c>
      <c r="C133">
        <v>339.17</v>
      </c>
      <c r="D133">
        <v>222</v>
      </c>
      <c r="E133">
        <v>1.527792792792793</v>
      </c>
      <c r="F133">
        <v>0.01250110564023941</v>
      </c>
      <c r="G133">
        <v>-0.08127166983441492</v>
      </c>
      <c r="H133">
        <v>0.06</v>
      </c>
      <c r="I133">
        <v>-0.009608980491449093</v>
      </c>
      <c r="J133" t="s">
        <v>776</v>
      </c>
      <c r="K133" t="s">
        <v>345</v>
      </c>
      <c r="L133">
        <v>10.57</v>
      </c>
      <c r="M133">
        <v>4.24</v>
      </c>
      <c r="N133">
        <v>0.4011352885525071</v>
      </c>
      <c r="O133">
        <v>28</v>
      </c>
      <c r="P133">
        <v>0.07011443361889147</v>
      </c>
      <c r="Q133">
        <v>0.349006849042645</v>
      </c>
      <c r="R133" t="s">
        <v>780</v>
      </c>
      <c r="S133" t="s">
        <v>790</v>
      </c>
      <c r="T133">
        <v>173843.188113</v>
      </c>
      <c r="U133" s="2">
        <v>44503</v>
      </c>
      <c r="V133" t="s">
        <v>797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64.89</v>
      </c>
      <c r="D134">
        <v>47.5</v>
      </c>
      <c r="E134">
        <v>1.366105263157895</v>
      </c>
      <c r="F134">
        <v>0.01109570041608877</v>
      </c>
      <c r="G134">
        <v>-0.06048619243332964</v>
      </c>
      <c r="H134">
        <v>0.037</v>
      </c>
      <c r="I134">
        <v>-0.0108413108345754</v>
      </c>
      <c r="J134" t="s">
        <v>776</v>
      </c>
      <c r="K134" t="s">
        <v>345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0.283247968042399</v>
      </c>
      <c r="R134" t="s">
        <v>780</v>
      </c>
      <c r="S134" t="s">
        <v>788</v>
      </c>
      <c r="T134">
        <v>42182.121186</v>
      </c>
      <c r="U134" s="2">
        <v>44504</v>
      </c>
      <c r="V134" t="s">
        <v>805</v>
      </c>
    </row>
    <row r="135" spans="1:22">
      <c r="A135" s="1" t="s">
        <v>155</v>
      </c>
      <c r="B135">
        <f>HYPERLINK("https://www.suredividend.com/sure-analysis-TR/","Tootsie Roll Industries, Inc.")</f>
        <v>0</v>
      </c>
      <c r="C135">
        <v>37.36</v>
      </c>
      <c r="D135">
        <v>28</v>
      </c>
      <c r="E135">
        <v>1.334285714285714</v>
      </c>
      <c r="F135">
        <v>0.009635974304068522</v>
      </c>
      <c r="G135">
        <v>-0.05604730057855212</v>
      </c>
      <c r="H135">
        <v>0.03</v>
      </c>
      <c r="I135">
        <v>-0.01717708908412774</v>
      </c>
      <c r="J135" t="s">
        <v>776</v>
      </c>
      <c r="K135" t="s">
        <v>345</v>
      </c>
      <c r="L135">
        <v>0.92</v>
      </c>
      <c r="M135">
        <v>0.36</v>
      </c>
      <c r="N135">
        <v>0.3913043478260869</v>
      </c>
      <c r="O135">
        <v>53</v>
      </c>
      <c r="P135">
        <v>0</v>
      </c>
      <c r="Q135">
        <v>0.295333194646695</v>
      </c>
      <c r="R135" t="s">
        <v>780</v>
      </c>
      <c r="S135" t="s">
        <v>791</v>
      </c>
      <c r="T135">
        <v>1469.447704</v>
      </c>
      <c r="U135" s="2">
        <v>44522</v>
      </c>
      <c r="V135" t="s">
        <v>800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82.43000000000001</v>
      </c>
      <c r="D136">
        <v>77</v>
      </c>
      <c r="E136">
        <v>1.070519480519481</v>
      </c>
      <c r="F136">
        <v>0.02765983258522382</v>
      </c>
      <c r="G136">
        <v>-0.0135363536060118</v>
      </c>
      <c r="H136">
        <v>-0.04</v>
      </c>
      <c r="I136">
        <v>-0.01808093428854851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0.207808040136209</v>
      </c>
      <c r="R136" t="s">
        <v>780</v>
      </c>
      <c r="S136" t="s">
        <v>789</v>
      </c>
      <c r="T136">
        <v>1208.357444</v>
      </c>
      <c r="U136" s="2">
        <v>44499</v>
      </c>
      <c r="V136" t="s">
        <v>801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228.24</v>
      </c>
      <c r="D137">
        <v>106</v>
      </c>
      <c r="E137">
        <v>2.153207547169811</v>
      </c>
      <c r="F137">
        <v>0.008937960042060988</v>
      </c>
      <c r="G137">
        <v>-0.1422063611289431</v>
      </c>
      <c r="H137">
        <v>0.13</v>
      </c>
      <c r="I137">
        <v>-0.01818314996867576</v>
      </c>
      <c r="J137" t="s">
        <v>776</v>
      </c>
      <c r="K137" t="s">
        <v>345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0.079406156360664</v>
      </c>
      <c r="R137" t="s">
        <v>780</v>
      </c>
      <c r="S137" t="s">
        <v>790</v>
      </c>
      <c r="T137">
        <v>65406.12215</v>
      </c>
      <c r="U137" s="2">
        <v>44496</v>
      </c>
      <c r="V137" t="s">
        <v>803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147.19</v>
      </c>
      <c r="D138">
        <v>92</v>
      </c>
      <c r="E138">
        <v>1.599891304347826</v>
      </c>
      <c r="F138">
        <v>0.01195733405802025</v>
      </c>
      <c r="G138">
        <v>-0.08970553001947001</v>
      </c>
      <c r="H138">
        <v>0.06</v>
      </c>
      <c r="I138">
        <v>-0.018633661078577</v>
      </c>
      <c r="J138" t="s">
        <v>776</v>
      </c>
      <c r="K138" t="s">
        <v>345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0.003577533336106</v>
      </c>
      <c r="R138" t="s">
        <v>780</v>
      </c>
      <c r="S138" t="s">
        <v>786</v>
      </c>
      <c r="T138">
        <v>5770.938825</v>
      </c>
      <c r="U138" s="2">
        <v>44504</v>
      </c>
      <c r="V138" t="s">
        <v>799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203.23</v>
      </c>
      <c r="D139">
        <v>130</v>
      </c>
      <c r="E139">
        <v>1.563307692307692</v>
      </c>
      <c r="F139">
        <v>0.005904640062982827</v>
      </c>
      <c r="G139">
        <v>-0.08548442344317642</v>
      </c>
      <c r="H139">
        <v>0.063</v>
      </c>
      <c r="I139">
        <v>-0.01915528400928734</v>
      </c>
      <c r="J139" t="s">
        <v>776</v>
      </c>
      <c r="K139" t="s">
        <v>526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-0.018657720000444</v>
      </c>
      <c r="R139" t="s">
        <v>780</v>
      </c>
      <c r="S139" t="s">
        <v>786</v>
      </c>
      <c r="T139">
        <v>3094.361283</v>
      </c>
      <c r="U139" s="2">
        <v>44491</v>
      </c>
      <c r="V139" t="s">
        <v>802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176.28</v>
      </c>
      <c r="D140">
        <v>108</v>
      </c>
      <c r="E140">
        <v>1.632222222222222</v>
      </c>
      <c r="F140">
        <v>0.004992058089403222</v>
      </c>
      <c r="G140">
        <v>-0.09334065392058266</v>
      </c>
      <c r="H140">
        <v>0.07000000000000001</v>
      </c>
      <c r="I140">
        <v>-0.021954231725548</v>
      </c>
      <c r="J140" t="s">
        <v>776</v>
      </c>
      <c r="K140" t="s">
        <v>345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0.354358101255708</v>
      </c>
      <c r="R140" t="s">
        <v>780</v>
      </c>
      <c r="S140" t="s">
        <v>787</v>
      </c>
      <c r="T140">
        <v>2892119.66316</v>
      </c>
      <c r="U140" s="2">
        <v>44500</v>
      </c>
      <c r="V140" t="s">
        <v>799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71.72</v>
      </c>
      <c r="D141">
        <v>42</v>
      </c>
      <c r="E141">
        <v>1.707619047619048</v>
      </c>
      <c r="F141">
        <v>0.01045733407696598</v>
      </c>
      <c r="G141">
        <v>-0.1014923028160026</v>
      </c>
      <c r="H141">
        <v>0.07000000000000001</v>
      </c>
      <c r="I141">
        <v>-0.02442590292146962</v>
      </c>
      <c r="J141" t="s">
        <v>776</v>
      </c>
      <c r="K141" t="s">
        <v>345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-0.05335503278015501</v>
      </c>
      <c r="R141" t="s">
        <v>780</v>
      </c>
      <c r="S141" t="s">
        <v>791</v>
      </c>
      <c r="T141">
        <v>33513.091587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338.38</v>
      </c>
      <c r="D142">
        <v>186</v>
      </c>
      <c r="E142">
        <v>1.819247311827957</v>
      </c>
      <c r="F142">
        <v>0.006501566286423548</v>
      </c>
      <c r="G142">
        <v>-0.1127997579518538</v>
      </c>
      <c r="H142">
        <v>0.08</v>
      </c>
      <c r="I142">
        <v>-0.03108570636604646</v>
      </c>
      <c r="J142" t="s">
        <v>776</v>
      </c>
      <c r="K142" t="s">
        <v>345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0.412358281045023</v>
      </c>
      <c r="R142" t="s">
        <v>780</v>
      </c>
      <c r="S142" t="s">
        <v>790</v>
      </c>
      <c r="T142">
        <v>88721.948802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69.36</v>
      </c>
      <c r="D143">
        <v>40</v>
      </c>
      <c r="E143">
        <v>1.734</v>
      </c>
      <c r="F143">
        <v>0.0132641291810842</v>
      </c>
      <c r="G143">
        <v>-0.1042430604855389</v>
      </c>
      <c r="H143">
        <v>0.05</v>
      </c>
      <c r="I143">
        <v>-0.04003036773282165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0.33537413001415</v>
      </c>
      <c r="R143" t="s">
        <v>780</v>
      </c>
      <c r="S143" t="s">
        <v>792</v>
      </c>
      <c r="T143">
        <v>3648.89088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109.38</v>
      </c>
      <c r="D144">
        <v>67</v>
      </c>
      <c r="E144">
        <v>1.632537313432836</v>
      </c>
      <c r="F144">
        <v>0.009142439202779302</v>
      </c>
      <c r="G144">
        <v>-0.09337565495198397</v>
      </c>
      <c r="H144">
        <v>0.03</v>
      </c>
      <c r="I144">
        <v>-0.05260126713582503</v>
      </c>
      <c r="J144" t="s">
        <v>776</v>
      </c>
      <c r="K144" t="s">
        <v>345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0.06843012664286501</v>
      </c>
      <c r="R144" t="s">
        <v>780</v>
      </c>
      <c r="S144" t="s">
        <v>789</v>
      </c>
      <c r="T144">
        <v>4948.843957</v>
      </c>
      <c r="U144" s="2">
        <v>44505</v>
      </c>
      <c r="V144" t="s">
        <v>797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59.94</v>
      </c>
      <c r="D145">
        <v>30</v>
      </c>
      <c r="E145">
        <v>1.998</v>
      </c>
      <c r="F145">
        <v>0.008675342008675343</v>
      </c>
      <c r="G145">
        <v>-0.1292752220484793</v>
      </c>
      <c r="H145">
        <v>0.07000000000000001</v>
      </c>
      <c r="I145">
        <v>-0.05490583639498536</v>
      </c>
      <c r="J145" t="s">
        <v>776</v>
      </c>
      <c r="K145" t="s">
        <v>526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0.5138045641434901</v>
      </c>
      <c r="R145" t="s">
        <v>780</v>
      </c>
      <c r="S145" t="s">
        <v>789</v>
      </c>
      <c r="T145">
        <v>98332.454774</v>
      </c>
      <c r="U145" s="2">
        <v>44528</v>
      </c>
      <c r="V145" t="s">
        <v>801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339.53</v>
      </c>
      <c r="D146">
        <v>174</v>
      </c>
      <c r="E146">
        <v>1.95132183908046</v>
      </c>
      <c r="F146">
        <v>0.004241156893352576</v>
      </c>
      <c r="G146">
        <v>-0.1251487454057091</v>
      </c>
      <c r="H146">
        <v>0.07000000000000001</v>
      </c>
      <c r="I146">
        <v>-0.05756028304375416</v>
      </c>
      <c r="J146" t="s">
        <v>776</v>
      </c>
      <c r="K146" t="s">
        <v>526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0.530879093330736</v>
      </c>
      <c r="R146" t="s">
        <v>780</v>
      </c>
      <c r="S146" t="s">
        <v>789</v>
      </c>
      <c r="T146">
        <v>14632.212738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227.9</v>
      </c>
      <c r="D147">
        <v>97</v>
      </c>
      <c r="E147">
        <v>2.349484536082474</v>
      </c>
      <c r="F147">
        <v>0.006845107503290917</v>
      </c>
      <c r="G147">
        <v>-0.1570428827992331</v>
      </c>
      <c r="H147">
        <v>0.1</v>
      </c>
      <c r="I147">
        <v>-0.06097038588176229</v>
      </c>
      <c r="J147" t="s">
        <v>776</v>
      </c>
      <c r="K147" t="s">
        <v>526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0.532607760012051</v>
      </c>
      <c r="R147" t="s">
        <v>780</v>
      </c>
      <c r="S147" t="s">
        <v>790</v>
      </c>
      <c r="T147">
        <v>26658.902872</v>
      </c>
      <c r="U147" s="2">
        <v>44503</v>
      </c>
      <c r="V147" t="s">
        <v>796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100.35</v>
      </c>
      <c r="D148">
        <v>60.8</v>
      </c>
      <c r="E148">
        <v>1.650493421052632</v>
      </c>
      <c r="F148">
        <v>0.01454907822620827</v>
      </c>
      <c r="G148">
        <v>-0.09535697196323845</v>
      </c>
      <c r="H148">
        <v>0.015</v>
      </c>
      <c r="I148">
        <v>-0.06110928617612843</v>
      </c>
      <c r="J148" t="s">
        <v>776</v>
      </c>
      <c r="K148" t="s">
        <v>777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0.317963441125712</v>
      </c>
      <c r="R148" t="s">
        <v>780</v>
      </c>
      <c r="S148" t="s">
        <v>792</v>
      </c>
      <c r="T148">
        <v>3706.10322</v>
      </c>
      <c r="U148" s="2">
        <v>44506</v>
      </c>
      <c r="V148" t="s">
        <v>805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114.3</v>
      </c>
      <c r="D149">
        <v>60</v>
      </c>
      <c r="E149">
        <v>1.905</v>
      </c>
      <c r="F149">
        <v>0.01749781277340333</v>
      </c>
      <c r="G149">
        <v>-0.1209349695426679</v>
      </c>
      <c r="H149">
        <v>0.037</v>
      </c>
      <c r="I149">
        <v>-0.06437235606816027</v>
      </c>
      <c r="J149" t="s">
        <v>776</v>
      </c>
      <c r="K149" t="s">
        <v>777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1.220771499516209</v>
      </c>
      <c r="R149" t="s">
        <v>780</v>
      </c>
      <c r="S149" t="s">
        <v>790</v>
      </c>
      <c r="T149">
        <v>32666.811298</v>
      </c>
      <c r="U149" s="2">
        <v>44491</v>
      </c>
      <c r="V149" t="s">
        <v>805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459.84</v>
      </c>
      <c r="D150">
        <v>211</v>
      </c>
      <c r="E150">
        <v>2.179336492890995</v>
      </c>
      <c r="F150">
        <v>0.001565762004175365</v>
      </c>
      <c r="G150">
        <v>-0.1442731839311491</v>
      </c>
      <c r="H150">
        <v>0.09</v>
      </c>
      <c r="I150">
        <v>-0.06480422384713647</v>
      </c>
      <c r="J150" t="s">
        <v>776</v>
      </c>
      <c r="K150" t="s">
        <v>345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0.6362805646135821</v>
      </c>
      <c r="R150" t="s">
        <v>780</v>
      </c>
      <c r="S150" t="s">
        <v>785</v>
      </c>
      <c r="T150">
        <v>34064.816146</v>
      </c>
      <c r="U150" s="2">
        <v>44502</v>
      </c>
      <c r="V150" t="s">
        <v>797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105.19</v>
      </c>
      <c r="D151">
        <v>51</v>
      </c>
      <c r="E151">
        <v>2.062549019607843</v>
      </c>
      <c r="F151">
        <v>0.007605285673543113</v>
      </c>
      <c r="G151">
        <v>-0.1347947536727038</v>
      </c>
      <c r="H151">
        <v>0.05</v>
      </c>
      <c r="I151">
        <v>-0.07727847792950604</v>
      </c>
      <c r="J151" t="s">
        <v>776</v>
      </c>
      <c r="K151" t="s">
        <v>526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0.136373457323607</v>
      </c>
      <c r="R151" t="s">
        <v>780</v>
      </c>
      <c r="S151" t="s">
        <v>786</v>
      </c>
      <c r="T151">
        <v>3076.791511</v>
      </c>
      <c r="U151" s="2">
        <v>44485</v>
      </c>
      <c r="V151" t="s">
        <v>796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112.43</v>
      </c>
      <c r="D152">
        <v>48.6</v>
      </c>
      <c r="E152">
        <v>2.313374485596708</v>
      </c>
      <c r="F152">
        <v>0.01031753090812061</v>
      </c>
      <c r="G152">
        <v>-0.1544275750271762</v>
      </c>
      <c r="H152">
        <v>0.045</v>
      </c>
      <c r="I152">
        <v>-0.09974227835711891</v>
      </c>
      <c r="J152" t="s">
        <v>776</v>
      </c>
      <c r="K152" t="s">
        <v>345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0.6153735632183911</v>
      </c>
      <c r="R152" t="s">
        <v>780</v>
      </c>
      <c r="S152" t="s">
        <v>792</v>
      </c>
      <c r="T152">
        <v>1967.189396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225.89</v>
      </c>
      <c r="D153">
        <v>265</v>
      </c>
      <c r="E153">
        <v>0.8524150943396226</v>
      </c>
      <c r="F153">
        <v>0.0177077338527602</v>
      </c>
      <c r="G153">
        <v>0.03245177131719879</v>
      </c>
      <c r="H153">
        <v>0.15</v>
      </c>
      <c r="I153">
        <v>0.1960990394440716</v>
      </c>
      <c r="J153" t="s">
        <v>777</v>
      </c>
      <c r="K153" t="s">
        <v>345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0.150354237198368</v>
      </c>
      <c r="R153" t="s">
        <v>780</v>
      </c>
      <c r="S153" t="s">
        <v>785</v>
      </c>
      <c r="T153">
        <v>74866.220095</v>
      </c>
      <c r="U153" s="2">
        <v>44504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289.03</v>
      </c>
      <c r="D154">
        <v>413</v>
      </c>
      <c r="E154">
        <v>0.6998305084745762</v>
      </c>
      <c r="F154">
        <v>0.004843787842092517</v>
      </c>
      <c r="G154">
        <v>0.07399293816698838</v>
      </c>
      <c r="H154">
        <v>0.08</v>
      </c>
      <c r="I154">
        <v>0.1634797473136445</v>
      </c>
      <c r="J154" t="s">
        <v>777</v>
      </c>
      <c r="K154" t="s">
        <v>526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0.005733827634418</v>
      </c>
      <c r="R154" t="s">
        <v>780</v>
      </c>
      <c r="S154" t="s">
        <v>788</v>
      </c>
      <c r="T154">
        <v>8751.701515999999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50.03</v>
      </c>
      <c r="D155">
        <v>61</v>
      </c>
      <c r="E155">
        <v>0.8201639344262295</v>
      </c>
      <c r="F155">
        <v>0.01998800719568259</v>
      </c>
      <c r="G155">
        <v>0.04044677030045629</v>
      </c>
      <c r="H155">
        <v>0.09</v>
      </c>
      <c r="I155">
        <v>0.1494392339730328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0.0135408900846</v>
      </c>
      <c r="R155" t="s">
        <v>780</v>
      </c>
      <c r="S155" t="s">
        <v>784</v>
      </c>
      <c r="T155">
        <v>228110.71786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43.99</v>
      </c>
      <c r="D156">
        <v>60</v>
      </c>
      <c r="E156">
        <v>0.7331666666666667</v>
      </c>
      <c r="F156">
        <v>0.04273698567856331</v>
      </c>
      <c r="G156">
        <v>0.06404368283450501</v>
      </c>
      <c r="H156">
        <v>0.05</v>
      </c>
      <c r="I156">
        <v>0.1465873923073568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0.125824085827771</v>
      </c>
      <c r="R156" t="s">
        <v>781</v>
      </c>
      <c r="S156" t="s">
        <v>789</v>
      </c>
      <c r="T156">
        <v>4960.580343</v>
      </c>
      <c r="U156" s="2">
        <v>44508</v>
      </c>
      <c r="V156" t="s">
        <v>800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24.87</v>
      </c>
      <c r="D157">
        <v>32.5</v>
      </c>
      <c r="E157">
        <v>0.7652307692307693</v>
      </c>
      <c r="F157">
        <v>0.08363490148773622</v>
      </c>
      <c r="G157">
        <v>0.0549734136767257</v>
      </c>
      <c r="H157">
        <v>0.03</v>
      </c>
      <c r="I157">
        <v>0.143708744276198</v>
      </c>
      <c r="J157" t="s">
        <v>777</v>
      </c>
      <c r="K157" t="s">
        <v>776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-0.08721886194139401</v>
      </c>
      <c r="R157" t="s">
        <v>780</v>
      </c>
      <c r="S157" t="s">
        <v>784</v>
      </c>
      <c r="T157">
        <v>177571.8</v>
      </c>
      <c r="U157" s="2">
        <v>44490</v>
      </c>
      <c r="V157" t="s">
        <v>799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30.22</v>
      </c>
      <c r="D158">
        <v>44</v>
      </c>
      <c r="E158">
        <v>0.6868181818181818</v>
      </c>
      <c r="F158">
        <v>0.0370615486432826</v>
      </c>
      <c r="G158">
        <v>0.07803197711057153</v>
      </c>
      <c r="H158">
        <v>0.03</v>
      </c>
      <c r="I158">
        <v>0.1358607712120334</v>
      </c>
      <c r="J158" t="s">
        <v>777</v>
      </c>
      <c r="K158" t="s">
        <v>776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-0.091127819548872</v>
      </c>
      <c r="R158" t="s">
        <v>780</v>
      </c>
      <c r="S158" t="s">
        <v>785</v>
      </c>
      <c r="T158">
        <v>7662.281876</v>
      </c>
      <c r="U158" s="2">
        <v>44512</v>
      </c>
      <c r="V158" t="s">
        <v>796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52.68</v>
      </c>
      <c r="D159">
        <v>70</v>
      </c>
      <c r="E159">
        <v>0.7525714285714286</v>
      </c>
      <c r="F159">
        <v>0.04859529233105543</v>
      </c>
      <c r="G159">
        <v>0.05849900653690043</v>
      </c>
      <c r="H159">
        <v>0.04</v>
      </c>
      <c r="I159">
        <v>0.1339433312635026</v>
      </c>
      <c r="J159" t="s">
        <v>777</v>
      </c>
      <c r="K159" t="s">
        <v>776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-0.05649563709827601</v>
      </c>
      <c r="R159" t="s">
        <v>780</v>
      </c>
      <c r="S159" t="s">
        <v>784</v>
      </c>
      <c r="T159">
        <v>221138.726892</v>
      </c>
      <c r="U159" s="2">
        <v>44489</v>
      </c>
      <c r="V159" t="s">
        <v>796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14.32</v>
      </c>
      <c r="D160">
        <v>16</v>
      </c>
      <c r="E160">
        <v>0.895</v>
      </c>
      <c r="F160">
        <v>0.04888268156424581</v>
      </c>
      <c r="G160">
        <v>0.02243425864228787</v>
      </c>
      <c r="H160">
        <v>0.07000000000000001</v>
      </c>
      <c r="I160">
        <v>0.1330631739045327</v>
      </c>
      <c r="J160" t="s">
        <v>777</v>
      </c>
      <c r="K160" t="s">
        <v>776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-0.395014786649767</v>
      </c>
      <c r="R160" t="s">
        <v>780</v>
      </c>
      <c r="S160" t="s">
        <v>789</v>
      </c>
      <c r="T160">
        <v>53324.65069</v>
      </c>
      <c r="U160" s="2">
        <v>44517</v>
      </c>
      <c r="V160" t="s">
        <v>795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140.08</v>
      </c>
      <c r="D161">
        <v>160</v>
      </c>
      <c r="E161">
        <v>0.8755000000000001</v>
      </c>
      <c r="F161">
        <v>0.01613363792118789</v>
      </c>
      <c r="G161">
        <v>0.02694874833533567</v>
      </c>
      <c r="H161">
        <v>0.08</v>
      </c>
      <c r="I161">
        <v>0.1224913758104071</v>
      </c>
      <c r="J161" t="s">
        <v>777</v>
      </c>
      <c r="K161" t="s">
        <v>345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0.130000927684942</v>
      </c>
      <c r="R161" t="s">
        <v>780</v>
      </c>
      <c r="S161" t="s">
        <v>787</v>
      </c>
      <c r="T161">
        <v>172088.544471</v>
      </c>
      <c r="U161" s="2">
        <v>44507</v>
      </c>
      <c r="V161" t="s">
        <v>797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38</v>
      </c>
      <c r="D162">
        <v>43</v>
      </c>
      <c r="E162">
        <v>0.8837209302325582</v>
      </c>
      <c r="F162">
        <v>0.07078947368421053</v>
      </c>
      <c r="G162">
        <v>0.02503093353490349</v>
      </c>
      <c r="H162">
        <v>0.04</v>
      </c>
      <c r="I162">
        <v>0.1223953768171575</v>
      </c>
      <c r="J162" t="s">
        <v>777</v>
      </c>
      <c r="K162" t="s">
        <v>776</v>
      </c>
      <c r="L162">
        <v>3.88</v>
      </c>
      <c r="M162">
        <v>2.69</v>
      </c>
      <c r="N162">
        <v>0.6932989690721649</v>
      </c>
      <c r="O162">
        <v>26</v>
      </c>
      <c r="P162">
        <v>0.04486096680385954</v>
      </c>
      <c r="Q162">
        <v>0.267790774486711</v>
      </c>
      <c r="R162" t="s">
        <v>780</v>
      </c>
      <c r="S162" t="s">
        <v>793</v>
      </c>
      <c r="T162">
        <v>76986.57519</v>
      </c>
      <c r="U162" s="2">
        <v>44505</v>
      </c>
      <c r="V162" t="s">
        <v>797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223.79</v>
      </c>
      <c r="D163">
        <v>225</v>
      </c>
      <c r="E163">
        <v>0.9946222222222222</v>
      </c>
      <c r="F163">
        <v>0.03467536529782386</v>
      </c>
      <c r="G163">
        <v>0.001079039760427225</v>
      </c>
      <c r="H163">
        <v>0.09</v>
      </c>
      <c r="I163">
        <v>0.1196575338778854</v>
      </c>
      <c r="J163" t="s">
        <v>777</v>
      </c>
      <c r="K163" t="s">
        <v>777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0.03486753057458</v>
      </c>
      <c r="R163" t="s">
        <v>780</v>
      </c>
      <c r="S163" t="s">
        <v>785</v>
      </c>
      <c r="T163">
        <v>126053.276209</v>
      </c>
      <c r="U163" s="2">
        <v>44503</v>
      </c>
      <c r="V163" t="s">
        <v>796</v>
      </c>
    </row>
    <row r="164" spans="1:22">
      <c r="A164" s="1" t="s">
        <v>184</v>
      </c>
      <c r="B164">
        <f>HYPERLINK("https://www.suredividend.com/sure-analysis-NC/","Nacco Industries Inc.")</f>
        <v>0</v>
      </c>
      <c r="C164">
        <v>33.09</v>
      </c>
      <c r="D164">
        <v>59</v>
      </c>
      <c r="E164">
        <v>0.5608474576271187</v>
      </c>
      <c r="F164">
        <v>0.02387428226050166</v>
      </c>
      <c r="G164">
        <v>0.1226155378664817</v>
      </c>
      <c r="H164">
        <v>-0.02</v>
      </c>
      <c r="I164">
        <v>0.1184741543849934</v>
      </c>
      <c r="J164" t="s">
        <v>777</v>
      </c>
      <c r="K164" t="s">
        <v>777</v>
      </c>
      <c r="L164">
        <v>6.5</v>
      </c>
      <c r="M164">
        <v>0.79</v>
      </c>
      <c r="N164">
        <v>0.1215384615384615</v>
      </c>
      <c r="O164">
        <v>36</v>
      </c>
      <c r="P164">
        <v>0.05036164940748145</v>
      </c>
      <c r="Q164">
        <v>0.2734955895257</v>
      </c>
      <c r="R164" t="s">
        <v>780</v>
      </c>
      <c r="S164" t="s">
        <v>793</v>
      </c>
      <c r="T164">
        <v>185.54056</v>
      </c>
      <c r="U164" s="2">
        <v>44506</v>
      </c>
      <c r="V164" t="s">
        <v>796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249.69</v>
      </c>
      <c r="D165">
        <v>391</v>
      </c>
      <c r="E165">
        <v>0.6385933503836317</v>
      </c>
      <c r="F165">
        <v>0.003203972926428772</v>
      </c>
      <c r="G165">
        <v>0.09384332669317019</v>
      </c>
      <c r="H165">
        <v>0.02</v>
      </c>
      <c r="I165">
        <v>0.1180787274023845</v>
      </c>
      <c r="J165" t="s">
        <v>777</v>
      </c>
      <c r="K165" t="s">
        <v>526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3.539521049531303</v>
      </c>
      <c r="R165" t="s">
        <v>780</v>
      </c>
      <c r="S165" t="s">
        <v>788</v>
      </c>
      <c r="T165">
        <v>3857.196388</v>
      </c>
      <c r="U165" s="2">
        <v>44529</v>
      </c>
      <c r="V165" t="s">
        <v>797</v>
      </c>
    </row>
    <row r="166" spans="1:22">
      <c r="A166" s="1" t="s">
        <v>186</v>
      </c>
      <c r="B166">
        <f>HYPERLINK("https://www.suredividend.com/sure-analysis-IPG/","Interpublic Group Of Cos., Inc.")</f>
        <v>0</v>
      </c>
      <c r="C166">
        <v>36.85</v>
      </c>
      <c r="D166">
        <v>41</v>
      </c>
      <c r="E166">
        <v>0.8987804878048781</v>
      </c>
      <c r="F166">
        <v>0.02930800542740841</v>
      </c>
      <c r="G166">
        <v>0.02157268674248303</v>
      </c>
      <c r="H166">
        <v>0.07000000000000001</v>
      </c>
      <c r="I166">
        <v>0.1169202170520371</v>
      </c>
      <c r="J166" t="s">
        <v>777</v>
      </c>
      <c r="K166" t="s">
        <v>777</v>
      </c>
      <c r="L166">
        <v>2.58</v>
      </c>
      <c r="M166">
        <v>1.08</v>
      </c>
      <c r="N166">
        <v>0.4186046511627907</v>
      </c>
      <c r="O166">
        <v>10</v>
      </c>
      <c r="P166">
        <v>0.06504410274056371</v>
      </c>
      <c r="Q166">
        <v>0.6205495356037151</v>
      </c>
      <c r="R166" t="s">
        <v>780</v>
      </c>
      <c r="S166" t="s">
        <v>784</v>
      </c>
      <c r="T166">
        <v>14509.881331</v>
      </c>
      <c r="U166" s="2">
        <v>44494</v>
      </c>
      <c r="V166" t="s">
        <v>795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51.31</v>
      </c>
      <c r="D167">
        <v>63</v>
      </c>
      <c r="E167">
        <v>0.8144444444444445</v>
      </c>
      <c r="F167">
        <v>0.02709023582147729</v>
      </c>
      <c r="G167">
        <v>0.04190400387470317</v>
      </c>
      <c r="H167">
        <v>0.05</v>
      </c>
      <c r="I167">
        <v>0.1150851759089682</v>
      </c>
      <c r="J167" t="s">
        <v>777</v>
      </c>
      <c r="K167" t="s">
        <v>777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0.130308163728364</v>
      </c>
      <c r="R167" t="s">
        <v>780</v>
      </c>
      <c r="S167" t="s">
        <v>787</v>
      </c>
      <c r="T167">
        <v>208677.77</v>
      </c>
      <c r="U167" s="2">
        <v>44491</v>
      </c>
      <c r="V167" t="s">
        <v>796</v>
      </c>
    </row>
    <row r="168" spans="1:22">
      <c r="A168" s="1" t="s">
        <v>188</v>
      </c>
      <c r="B168">
        <f>HYPERLINK("https://www.suredividend.com/sure-analysis-WU/","Western Union Company")</f>
        <v>0</v>
      </c>
      <c r="C168">
        <v>17.8</v>
      </c>
      <c r="D168">
        <v>23</v>
      </c>
      <c r="E168">
        <v>0.773913043478261</v>
      </c>
      <c r="F168">
        <v>0.05280898876404494</v>
      </c>
      <c r="G168">
        <v>0.05259563991739524</v>
      </c>
      <c r="H168">
        <v>0.02</v>
      </c>
      <c r="I168">
        <v>0.1150199630478896</v>
      </c>
      <c r="J168" t="s">
        <v>777</v>
      </c>
      <c r="K168" t="s">
        <v>776</v>
      </c>
      <c r="L168">
        <v>2.07</v>
      </c>
      <c r="M168">
        <v>0.9399999999999999</v>
      </c>
      <c r="N168">
        <v>0.4541062801932367</v>
      </c>
      <c r="O168">
        <v>7</v>
      </c>
      <c r="P168">
        <v>0.03933463380769542</v>
      </c>
      <c r="Q168">
        <v>-0.144831032064031</v>
      </c>
      <c r="R168" t="s">
        <v>780</v>
      </c>
      <c r="S168" t="s">
        <v>787</v>
      </c>
      <c r="T168">
        <v>7155.718334</v>
      </c>
      <c r="U168" s="2">
        <v>44517</v>
      </c>
      <c r="V168" t="s">
        <v>800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21.47</v>
      </c>
      <c r="D169">
        <v>24.1</v>
      </c>
      <c r="E169">
        <v>0.8908713692946058</v>
      </c>
      <c r="F169">
        <v>0.08383791336748952</v>
      </c>
      <c r="G169">
        <v>0.02338017522732616</v>
      </c>
      <c r="H169">
        <v>0.026</v>
      </c>
      <c r="I169">
        <v>0.1140643020474463</v>
      </c>
      <c r="J169" t="s">
        <v>777</v>
      </c>
      <c r="K169" t="s">
        <v>776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0.152819763851824</v>
      </c>
      <c r="R169" t="s">
        <v>781</v>
      </c>
      <c r="S169" t="s">
        <v>793</v>
      </c>
      <c r="T169">
        <v>46850.330177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HYPERLINK("https://www.suredividend.com/sure-analysis-GEF/","Greif Inc")</f>
        <v>0</v>
      </c>
      <c r="C170">
        <v>57.23</v>
      </c>
      <c r="D170">
        <v>84</v>
      </c>
      <c r="E170">
        <v>0.6813095238095238</v>
      </c>
      <c r="F170">
        <v>0.03215096977109907</v>
      </c>
      <c r="G170">
        <v>0.07976962962937284</v>
      </c>
      <c r="H170">
        <v>0.01</v>
      </c>
      <c r="I170">
        <v>0.1136187363517673</v>
      </c>
      <c r="J170" t="s">
        <v>777</v>
      </c>
      <c r="K170" t="s">
        <v>777</v>
      </c>
      <c r="L170">
        <v>6</v>
      </c>
      <c r="M170">
        <v>1.84</v>
      </c>
      <c r="N170">
        <v>0.3066666666666667</v>
      </c>
      <c r="O170">
        <v>1</v>
      </c>
      <c r="P170">
        <v>0.01884169405651681</v>
      </c>
      <c r="Q170">
        <v>0.260697646242469</v>
      </c>
      <c r="R170" t="s">
        <v>780</v>
      </c>
      <c r="S170" t="s">
        <v>788</v>
      </c>
      <c r="T170">
        <v>2783.633105</v>
      </c>
      <c r="U170" s="2">
        <v>44544</v>
      </c>
      <c r="V170" t="s">
        <v>799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21.23</v>
      </c>
      <c r="D171">
        <v>24</v>
      </c>
      <c r="E171">
        <v>0.8845833333333334</v>
      </c>
      <c r="F171">
        <v>0.03768252472915685</v>
      </c>
      <c r="G171">
        <v>0.02483098973000963</v>
      </c>
      <c r="H171">
        <v>0.055</v>
      </c>
      <c r="I171">
        <v>0.1128099836464371</v>
      </c>
      <c r="J171" t="s">
        <v>777</v>
      </c>
      <c r="K171" t="s">
        <v>776</v>
      </c>
      <c r="L171">
        <v>1.85</v>
      </c>
      <c r="M171">
        <v>0.8</v>
      </c>
      <c r="N171">
        <v>0.4324324324324325</v>
      </c>
      <c r="O171">
        <v>13</v>
      </c>
      <c r="P171">
        <v>0.06576275663547415</v>
      </c>
      <c r="Q171">
        <v>0.23612777007907</v>
      </c>
      <c r="R171" t="s">
        <v>780</v>
      </c>
      <c r="S171" t="s">
        <v>789</v>
      </c>
      <c r="T171">
        <v>501.399398</v>
      </c>
      <c r="U171" s="2">
        <v>44506</v>
      </c>
      <c r="V171" t="s">
        <v>797</v>
      </c>
    </row>
    <row r="172" spans="1:22">
      <c r="A172" s="1" t="s">
        <v>192</v>
      </c>
      <c r="B172">
        <f>HYPERLINK("https://www.suredividend.com/sure-analysis-TTE/","TotalEnergies SE")</f>
        <v>0</v>
      </c>
      <c r="C172">
        <v>51.08</v>
      </c>
      <c r="D172">
        <v>71</v>
      </c>
      <c r="E172">
        <v>0.7194366197183099</v>
      </c>
      <c r="F172">
        <v>0.06029757243539546</v>
      </c>
      <c r="G172">
        <v>0.06807436597370553</v>
      </c>
      <c r="H172">
        <v>0</v>
      </c>
      <c r="I172">
        <v>0.1122173459430487</v>
      </c>
      <c r="J172" t="s">
        <v>777</v>
      </c>
      <c r="K172" t="s">
        <v>776</v>
      </c>
      <c r="L172">
        <v>5.9</v>
      </c>
      <c r="M172">
        <v>3.08</v>
      </c>
      <c r="N172">
        <v>0.5220338983050847</v>
      </c>
      <c r="O172">
        <v>3</v>
      </c>
      <c r="P172">
        <v>0.01142428402057938</v>
      </c>
      <c r="Q172">
        <v>0.217741647098089</v>
      </c>
      <c r="R172" t="s">
        <v>780</v>
      </c>
      <c r="S172" t="s">
        <v>793</v>
      </c>
      <c r="T172">
        <v>134873.130125</v>
      </c>
      <c r="U172" s="2">
        <v>44501</v>
      </c>
      <c r="V172" t="s">
        <v>803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72.19</v>
      </c>
      <c r="D173">
        <v>87</v>
      </c>
      <c r="E173">
        <v>0.8297701149425287</v>
      </c>
      <c r="F173">
        <v>0.03878653553123701</v>
      </c>
      <c r="G173">
        <v>0.0380265031325171</v>
      </c>
      <c r="H173">
        <v>0.04</v>
      </c>
      <c r="I173">
        <v>0.1112608127170391</v>
      </c>
      <c r="J173" t="s">
        <v>777</v>
      </c>
      <c r="K173" t="s">
        <v>777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0.22215901780333</v>
      </c>
      <c r="R173" t="s">
        <v>780</v>
      </c>
      <c r="S173" t="s">
        <v>784</v>
      </c>
      <c r="T173">
        <v>15344.599703</v>
      </c>
      <c r="U173" s="2">
        <v>44491</v>
      </c>
      <c r="V173" t="s">
        <v>797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39.11</v>
      </c>
      <c r="D174">
        <v>46</v>
      </c>
      <c r="E174">
        <v>0.8502173913043478</v>
      </c>
      <c r="F174">
        <v>0.08437739708514447</v>
      </c>
      <c r="G174">
        <v>0.03298497141258117</v>
      </c>
      <c r="H174">
        <v>0.015</v>
      </c>
      <c r="I174">
        <v>0.1105130349911967</v>
      </c>
      <c r="J174" t="s">
        <v>777</v>
      </c>
      <c r="K174" t="s">
        <v>776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0.490262424886734</v>
      </c>
      <c r="R174" t="s">
        <v>781</v>
      </c>
      <c r="S174" t="s">
        <v>793</v>
      </c>
      <c r="T174">
        <v>3259.901531</v>
      </c>
      <c r="U174" s="2">
        <v>44507</v>
      </c>
      <c r="V174" t="s">
        <v>797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129.41</v>
      </c>
      <c r="D175">
        <v>151</v>
      </c>
      <c r="E175">
        <v>0.8570198675496689</v>
      </c>
      <c r="F175">
        <v>0.03400046364268604</v>
      </c>
      <c r="G175">
        <v>0.03133990512733242</v>
      </c>
      <c r="H175">
        <v>0.05</v>
      </c>
      <c r="I175">
        <v>0.1101993008501776</v>
      </c>
      <c r="J175" t="s">
        <v>777</v>
      </c>
      <c r="K175" t="s">
        <v>777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0.05408058124712301</v>
      </c>
      <c r="R175" t="s">
        <v>780</v>
      </c>
      <c r="S175" t="s">
        <v>792</v>
      </c>
      <c r="T175">
        <v>41324.279315</v>
      </c>
      <c r="U175" s="2">
        <v>44516</v>
      </c>
      <c r="V175" t="s">
        <v>803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135.49</v>
      </c>
      <c r="D176">
        <v>161</v>
      </c>
      <c r="E176">
        <v>0.841552795031056</v>
      </c>
      <c r="F176">
        <v>0.00885674219499594</v>
      </c>
      <c r="G176">
        <v>0.03510337983231482</v>
      </c>
      <c r="H176">
        <v>0.065</v>
      </c>
      <c r="I176">
        <v>0.1098734178453615</v>
      </c>
      <c r="J176" t="s">
        <v>777</v>
      </c>
      <c r="K176" t="s">
        <v>526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0.054215578488057</v>
      </c>
      <c r="R176" t="s">
        <v>780</v>
      </c>
      <c r="S176" t="s">
        <v>790</v>
      </c>
      <c r="T176">
        <v>25904.635785</v>
      </c>
      <c r="U176" s="2">
        <v>44508</v>
      </c>
      <c r="V176" t="s">
        <v>802</v>
      </c>
    </row>
    <row r="177" spans="1:22">
      <c r="A177" s="1" t="s">
        <v>197</v>
      </c>
      <c r="B177">
        <f>HYPERLINK("https://www.suredividend.com/sure-analysis-HBI/","Hanesbrands Inc")</f>
        <v>0</v>
      </c>
      <c r="C177">
        <v>16.21</v>
      </c>
      <c r="D177">
        <v>18</v>
      </c>
      <c r="E177">
        <v>0.9005555555555556</v>
      </c>
      <c r="F177">
        <v>0.03701418877236273</v>
      </c>
      <c r="G177">
        <v>0.02116964839012514</v>
      </c>
      <c r="H177">
        <v>0.06</v>
      </c>
      <c r="I177">
        <v>0.1093626199915785</v>
      </c>
      <c r="J177" t="s">
        <v>777</v>
      </c>
      <c r="K177" t="s">
        <v>776</v>
      </c>
      <c r="L177">
        <v>1.82</v>
      </c>
      <c r="M177">
        <v>0.6</v>
      </c>
      <c r="N177">
        <v>0.3296703296703297</v>
      </c>
      <c r="O177">
        <v>0</v>
      </c>
      <c r="P177">
        <v>0.01613736474159566</v>
      </c>
      <c r="Q177">
        <v>0.136435336759231</v>
      </c>
      <c r="R177" t="s">
        <v>780</v>
      </c>
      <c r="S177" t="s">
        <v>788</v>
      </c>
      <c r="T177">
        <v>5660.605156</v>
      </c>
      <c r="U177" s="2">
        <v>44512</v>
      </c>
      <c r="V177" t="s">
        <v>803</v>
      </c>
    </row>
    <row r="178" spans="1:22">
      <c r="A178" s="1" t="s">
        <v>198</v>
      </c>
      <c r="B178">
        <f>HYPERLINK("https://www.suredividend.com/sure-analysis-RY/","Royal Bank Of Canada")</f>
        <v>0</v>
      </c>
      <c r="C178">
        <v>104.33</v>
      </c>
      <c r="D178">
        <v>107</v>
      </c>
      <c r="E178">
        <v>0.9750467289719627</v>
      </c>
      <c r="F178">
        <v>0.03690213744848078</v>
      </c>
      <c r="G178">
        <v>0.005066769277673577</v>
      </c>
      <c r="H178">
        <v>0.07000000000000001</v>
      </c>
      <c r="I178">
        <v>0.1083187458657873</v>
      </c>
      <c r="J178" t="s">
        <v>777</v>
      </c>
      <c r="K178" t="s">
        <v>776</v>
      </c>
      <c r="L178">
        <v>8.73</v>
      </c>
      <c r="M178">
        <v>3.85</v>
      </c>
      <c r="N178">
        <v>0.4410080183276059</v>
      </c>
      <c r="O178">
        <v>10</v>
      </c>
      <c r="P178">
        <v>0.08011784268735989</v>
      </c>
      <c r="Q178">
        <v>0.327460089040215</v>
      </c>
      <c r="R178" t="s">
        <v>780</v>
      </c>
      <c r="S178" t="s">
        <v>789</v>
      </c>
      <c r="T178">
        <v>148557.5736</v>
      </c>
      <c r="U178" s="2">
        <v>44541</v>
      </c>
      <c r="V178" t="s">
        <v>804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292</v>
      </c>
      <c r="D179">
        <v>338</v>
      </c>
      <c r="E179">
        <v>0.863905325443787</v>
      </c>
      <c r="F179">
        <v>0.04452054794520548</v>
      </c>
      <c r="G179">
        <v>0.02969065135740045</v>
      </c>
      <c r="H179">
        <v>0.04</v>
      </c>
      <c r="I179">
        <v>0.1075582435181297</v>
      </c>
      <c r="J179" t="s">
        <v>777</v>
      </c>
      <c r="K179" t="s">
        <v>776</v>
      </c>
      <c r="L179">
        <v>27</v>
      </c>
      <c r="M179">
        <v>13</v>
      </c>
      <c r="N179">
        <v>0.4814814814814815</v>
      </c>
      <c r="O179">
        <v>6</v>
      </c>
      <c r="P179">
        <v>0.0499789846479779</v>
      </c>
      <c r="Q179">
        <v>-0.009864059760807</v>
      </c>
      <c r="R179" t="s">
        <v>780</v>
      </c>
      <c r="S179" t="s">
        <v>789</v>
      </c>
      <c r="T179">
        <v>40908.887852</v>
      </c>
      <c r="U179" s="2">
        <v>44516</v>
      </c>
      <c r="V179" t="s">
        <v>795</v>
      </c>
    </row>
    <row r="180" spans="1:22">
      <c r="A180" s="1" t="s">
        <v>200</v>
      </c>
      <c r="B180">
        <f>HYPERLINK("https://www.suredividend.com/sure-analysis-NTIOF/","National Bank of Canada")</f>
        <v>0</v>
      </c>
      <c r="C180">
        <v>76.20399999999999</v>
      </c>
      <c r="D180">
        <v>82</v>
      </c>
      <c r="E180">
        <v>0.9293170731707316</v>
      </c>
      <c r="F180">
        <v>0.03569366437457352</v>
      </c>
      <c r="G180">
        <v>0.01476905897536174</v>
      </c>
      <c r="H180">
        <v>0.06</v>
      </c>
      <c r="I180">
        <v>0.1075155480426673</v>
      </c>
      <c r="J180" t="s">
        <v>777</v>
      </c>
      <c r="K180" t="s">
        <v>776</v>
      </c>
      <c r="L180">
        <v>7.11</v>
      </c>
      <c r="M180">
        <v>2.72</v>
      </c>
      <c r="N180">
        <v>0.3825597749648383</v>
      </c>
      <c r="O180">
        <v>9</v>
      </c>
      <c r="P180">
        <v>0.0801851873035635</v>
      </c>
      <c r="Q180">
        <v>0.363463947038826</v>
      </c>
      <c r="R180" t="s">
        <v>780</v>
      </c>
      <c r="S180" t="s">
        <v>789</v>
      </c>
      <c r="T180">
        <v>25750.79807</v>
      </c>
      <c r="U180" s="2">
        <v>44541</v>
      </c>
      <c r="V180" t="s">
        <v>804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105.91</v>
      </c>
      <c r="D181">
        <v>114</v>
      </c>
      <c r="E181">
        <v>0.9290350877192982</v>
      </c>
      <c r="F181">
        <v>0.03918421301104712</v>
      </c>
      <c r="G181">
        <v>0.01483065307009701</v>
      </c>
      <c r="H181">
        <v>0.055</v>
      </c>
      <c r="I181">
        <v>0.1050593828052955</v>
      </c>
      <c r="J181" t="s">
        <v>777</v>
      </c>
      <c r="K181" t="s">
        <v>776</v>
      </c>
      <c r="L181">
        <v>10.23</v>
      </c>
      <c r="M181">
        <v>4.15</v>
      </c>
      <c r="N181">
        <v>0.4056695992179863</v>
      </c>
      <c r="O181">
        <v>9</v>
      </c>
      <c r="P181">
        <v>0.06997831883783956</v>
      </c>
      <c r="Q181">
        <v>0.450349064277674</v>
      </c>
      <c r="R181" t="s">
        <v>780</v>
      </c>
      <c r="S181" t="s">
        <v>789</v>
      </c>
      <c r="T181">
        <v>68648.001689</v>
      </c>
      <c r="U181" s="2">
        <v>44535</v>
      </c>
      <c r="V181" t="s">
        <v>804</v>
      </c>
    </row>
    <row r="182" spans="1:22">
      <c r="A182" s="1" t="s">
        <v>202</v>
      </c>
      <c r="B182">
        <f>HYPERLINK("https://www.suredividend.com/sure-analysis-MRK/","Merck &amp; Co Inc")</f>
        <v>0</v>
      </c>
      <c r="C182">
        <v>75.73</v>
      </c>
      <c r="D182">
        <v>85</v>
      </c>
      <c r="E182">
        <v>0.8909411764705882</v>
      </c>
      <c r="F182">
        <v>0.03644526607685197</v>
      </c>
      <c r="G182">
        <v>0.02336413791286573</v>
      </c>
      <c r="H182">
        <v>0.05</v>
      </c>
      <c r="I182">
        <v>0.1035105657333666</v>
      </c>
      <c r="J182" t="s">
        <v>777</v>
      </c>
      <c r="K182" t="s">
        <v>777</v>
      </c>
      <c r="L182">
        <v>5.68</v>
      </c>
      <c r="M182">
        <v>2.76</v>
      </c>
      <c r="N182">
        <v>0.4859154929577464</v>
      </c>
      <c r="O182">
        <v>11</v>
      </c>
      <c r="P182">
        <v>0.03763783845459012</v>
      </c>
      <c r="Q182">
        <v>-0.016046254791138</v>
      </c>
      <c r="R182" t="s">
        <v>780</v>
      </c>
      <c r="S182" t="s">
        <v>785</v>
      </c>
      <c r="T182">
        <v>191289.734273</v>
      </c>
      <c r="U182" s="2">
        <v>44500</v>
      </c>
      <c r="V182" t="s">
        <v>796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182.21</v>
      </c>
      <c r="D183">
        <v>209</v>
      </c>
      <c r="E183">
        <v>0.8718181818181818</v>
      </c>
      <c r="F183">
        <v>0.02590417649964327</v>
      </c>
      <c r="G183">
        <v>0.02781467832691265</v>
      </c>
      <c r="H183">
        <v>0.05</v>
      </c>
      <c r="I183">
        <v>0.1023963558481928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0.119759787220444</v>
      </c>
      <c r="R183" t="s">
        <v>780</v>
      </c>
      <c r="S183" t="s">
        <v>786</v>
      </c>
      <c r="T183">
        <v>7299.514446</v>
      </c>
      <c r="U183" s="2">
        <v>44516</v>
      </c>
      <c r="V183" t="s">
        <v>800</v>
      </c>
    </row>
    <row r="184" spans="1:22">
      <c r="A184" s="1" t="s">
        <v>204</v>
      </c>
      <c r="B184">
        <f>HYPERLINK("https://www.suredividend.com/sure-analysis-HRB/","H&amp;R Block Inc.")</f>
        <v>0</v>
      </c>
      <c r="C184">
        <v>23.54</v>
      </c>
      <c r="D184">
        <v>26.6</v>
      </c>
      <c r="E184">
        <v>0.8849624060150375</v>
      </c>
      <c r="F184">
        <v>0.04587935429056925</v>
      </c>
      <c r="G184">
        <v>0.02474317763562772</v>
      </c>
      <c r="H184">
        <v>0.037</v>
      </c>
      <c r="I184">
        <v>0.101817834852999</v>
      </c>
      <c r="J184" t="s">
        <v>777</v>
      </c>
      <c r="K184" t="s">
        <v>776</v>
      </c>
      <c r="L184">
        <v>2.84</v>
      </c>
      <c r="M184">
        <v>1.08</v>
      </c>
      <c r="N184">
        <v>0.3802816901408451</v>
      </c>
      <c r="O184">
        <v>6</v>
      </c>
      <c r="P184">
        <v>0.05327276858309027</v>
      </c>
      <c r="Q184">
        <v>0.581904198698994</v>
      </c>
      <c r="R184" t="s">
        <v>780</v>
      </c>
      <c r="S184" t="s">
        <v>788</v>
      </c>
      <c r="T184">
        <v>4134.316617</v>
      </c>
      <c r="U184" s="2">
        <v>44509</v>
      </c>
      <c r="V184" t="s">
        <v>805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46.7</v>
      </c>
      <c r="D185">
        <v>50.8</v>
      </c>
      <c r="E185">
        <v>0.9192913385826773</v>
      </c>
      <c r="F185">
        <v>0.07708779443254818</v>
      </c>
      <c r="G185">
        <v>0.016972867732991</v>
      </c>
      <c r="H185">
        <v>0.022</v>
      </c>
      <c r="I185">
        <v>0.1017834091024707</v>
      </c>
      <c r="J185" t="s">
        <v>777</v>
      </c>
      <c r="K185" t="s">
        <v>776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0.171844613906056</v>
      </c>
      <c r="R185" t="s">
        <v>780</v>
      </c>
      <c r="S185" t="s">
        <v>791</v>
      </c>
      <c r="T185">
        <v>85787.377987</v>
      </c>
      <c r="U185" s="2">
        <v>44506</v>
      </c>
      <c r="V185" t="s">
        <v>805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86.66</v>
      </c>
      <c r="D186">
        <v>100</v>
      </c>
      <c r="E186">
        <v>0.8665999999999999</v>
      </c>
      <c r="F186">
        <v>0.03692591737825987</v>
      </c>
      <c r="G186">
        <v>0.02904949308899729</v>
      </c>
      <c r="H186">
        <v>0.04</v>
      </c>
      <c r="I186">
        <v>0.1001806451128249</v>
      </c>
      <c r="J186" t="s">
        <v>777</v>
      </c>
      <c r="K186" t="s">
        <v>776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0.019889372719783</v>
      </c>
      <c r="R186" t="s">
        <v>780</v>
      </c>
      <c r="S186" t="s">
        <v>785</v>
      </c>
      <c r="T186">
        <v>210966.916927</v>
      </c>
      <c r="U186" s="2">
        <v>44496</v>
      </c>
      <c r="V186" t="s">
        <v>796</v>
      </c>
    </row>
    <row r="187" spans="1:22">
      <c r="A187" s="1" t="s">
        <v>207</v>
      </c>
      <c r="B187">
        <f>HYPERLINK("https://www.suredividend.com/sure-analysis-RDEIY/","Red Electrica Corporacion S.A.")</f>
        <v>0</v>
      </c>
      <c r="C187">
        <v>10.52</v>
      </c>
      <c r="D187">
        <v>10.5</v>
      </c>
      <c r="E187">
        <v>1.001904761904762</v>
      </c>
      <c r="F187">
        <v>0.05703422053231939</v>
      </c>
      <c r="G187">
        <v>-0.000380517614019138</v>
      </c>
      <c r="H187">
        <v>0.05</v>
      </c>
      <c r="I187">
        <v>0.09936880187314889</v>
      </c>
      <c r="J187" t="s">
        <v>777</v>
      </c>
      <c r="K187" t="s">
        <v>776</v>
      </c>
      <c r="L187">
        <v>1.75</v>
      </c>
      <c r="M187">
        <v>0.6</v>
      </c>
      <c r="N187">
        <v>0.3428571428571429</v>
      </c>
      <c r="O187">
        <v>5</v>
      </c>
      <c r="P187">
        <v>0.05115774595007161</v>
      </c>
      <c r="Q187">
        <v>0.039525691699604</v>
      </c>
      <c r="R187" t="s">
        <v>780</v>
      </c>
      <c r="S187" t="s">
        <v>792</v>
      </c>
      <c r="T187">
        <v>11384.3232</v>
      </c>
      <c r="U187" s="2">
        <v>44500</v>
      </c>
      <c r="V187" t="s">
        <v>796</v>
      </c>
    </row>
    <row r="188" spans="1:22">
      <c r="A188" s="1" t="s">
        <v>208</v>
      </c>
      <c r="B188">
        <f>HYPERLINK("https://www.suredividend.com/sure-analysis-TTC/","Toro Co.")</f>
        <v>0</v>
      </c>
      <c r="C188">
        <v>99.31999999999999</v>
      </c>
      <c r="D188">
        <v>94</v>
      </c>
      <c r="E188">
        <v>1.056595744680851</v>
      </c>
      <c r="F188">
        <v>0.01208215867901732</v>
      </c>
      <c r="G188">
        <v>-0.01095004268140365</v>
      </c>
      <c r="H188">
        <v>0.1</v>
      </c>
      <c r="I188">
        <v>0.09928920608505076</v>
      </c>
      <c r="J188" t="s">
        <v>777</v>
      </c>
      <c r="K188" t="s">
        <v>345</v>
      </c>
      <c r="L188">
        <v>4</v>
      </c>
      <c r="M188">
        <v>1.2</v>
      </c>
      <c r="N188">
        <v>0.3</v>
      </c>
      <c r="O188">
        <v>12</v>
      </c>
      <c r="P188">
        <v>0.09970250059947383</v>
      </c>
      <c r="Q188">
        <v>0.067284485259825</v>
      </c>
      <c r="R188" t="s">
        <v>780</v>
      </c>
      <c r="S188" t="s">
        <v>786</v>
      </c>
      <c r="T188">
        <v>10377.5524</v>
      </c>
      <c r="U188" s="2">
        <v>44547</v>
      </c>
      <c r="V188" t="s">
        <v>802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913.92</v>
      </c>
      <c r="D189">
        <v>802</v>
      </c>
      <c r="E189">
        <v>1.139551122194514</v>
      </c>
      <c r="F189">
        <v>0.01807598039215686</v>
      </c>
      <c r="G189">
        <v>-0.02578853249885416</v>
      </c>
      <c r="H189">
        <v>0.11</v>
      </c>
      <c r="I189">
        <v>0.09906381623444083</v>
      </c>
      <c r="J189" t="s">
        <v>777</v>
      </c>
      <c r="K189" t="s">
        <v>345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0.324455324414167</v>
      </c>
      <c r="R189" t="s">
        <v>780</v>
      </c>
      <c r="S189" t="s">
        <v>789</v>
      </c>
      <c r="T189">
        <v>138840.146404</v>
      </c>
      <c r="U189" s="2">
        <v>44484</v>
      </c>
      <c r="V189" t="s">
        <v>804</v>
      </c>
    </row>
    <row r="190" spans="1:22">
      <c r="A190" s="1" t="s">
        <v>210</v>
      </c>
      <c r="B190">
        <f>HYPERLINK("https://www.suredividend.com/sure-analysis-SWX/","Southwest Gas Holdings Inc")</f>
        <v>0</v>
      </c>
      <c r="C190">
        <v>71.28</v>
      </c>
      <c r="D190">
        <v>76</v>
      </c>
      <c r="E190">
        <v>0.9378947368421052</v>
      </c>
      <c r="F190">
        <v>0.03338945005611672</v>
      </c>
      <c r="G190">
        <v>0.01290608523193248</v>
      </c>
      <c r="H190">
        <v>0.055</v>
      </c>
      <c r="I190">
        <v>0.09681424803737571</v>
      </c>
      <c r="J190" t="s">
        <v>777</v>
      </c>
      <c r="K190" t="s">
        <v>777</v>
      </c>
      <c r="L190">
        <v>4.1</v>
      </c>
      <c r="M190">
        <v>2.38</v>
      </c>
      <c r="N190">
        <v>0.5804878048780489</v>
      </c>
      <c r="O190">
        <v>14</v>
      </c>
      <c r="P190">
        <v>0.05016931709648742</v>
      </c>
      <c r="Q190">
        <v>0.245642087603868</v>
      </c>
      <c r="R190" t="s">
        <v>780</v>
      </c>
      <c r="S190" t="s">
        <v>792</v>
      </c>
      <c r="T190">
        <v>4304.248788</v>
      </c>
      <c r="U190" s="2">
        <v>44511</v>
      </c>
      <c r="V190" t="s">
        <v>802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347.02</v>
      </c>
      <c r="D191">
        <v>359</v>
      </c>
      <c r="E191">
        <v>0.9666295264623955</v>
      </c>
      <c r="F191">
        <v>0.03227479684168059</v>
      </c>
      <c r="G191">
        <v>0.006811085315564291</v>
      </c>
      <c r="H191">
        <v>0.06</v>
      </c>
      <c r="I191">
        <v>0.09606663230181334</v>
      </c>
      <c r="J191" t="s">
        <v>777</v>
      </c>
      <c r="K191" t="s">
        <v>777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0.016847935492775</v>
      </c>
      <c r="R191" t="s">
        <v>780</v>
      </c>
      <c r="S191" t="s">
        <v>786</v>
      </c>
      <c r="T191">
        <v>95703.410409</v>
      </c>
      <c r="U191" s="2">
        <v>44502</v>
      </c>
      <c r="V191" t="s">
        <v>800</v>
      </c>
    </row>
    <row r="192" spans="1:22">
      <c r="A192" s="1" t="s">
        <v>212</v>
      </c>
      <c r="B192">
        <f>HYPERLINK("https://www.suredividend.com/sure-analysis-EVRG/","Evergy Inc")</f>
        <v>0</v>
      </c>
      <c r="C192">
        <v>66.75</v>
      </c>
      <c r="D192">
        <v>65</v>
      </c>
      <c r="E192">
        <v>1.026923076923077</v>
      </c>
      <c r="F192">
        <v>0.03430711610486892</v>
      </c>
      <c r="G192">
        <v>-0.005299314306477343</v>
      </c>
      <c r="H192">
        <v>0.07000000000000001</v>
      </c>
      <c r="I192">
        <v>0.09564259141435016</v>
      </c>
      <c r="J192" t="s">
        <v>777</v>
      </c>
      <c r="K192" t="s">
        <v>777</v>
      </c>
      <c r="L192">
        <v>3.55</v>
      </c>
      <c r="M192">
        <v>2.29</v>
      </c>
      <c r="N192">
        <v>0.6450704225352113</v>
      </c>
      <c r="O192">
        <v>17</v>
      </c>
      <c r="P192">
        <v>0.07318952131901812</v>
      </c>
      <c r="Q192">
        <v>0.309624711588265</v>
      </c>
      <c r="R192" t="s">
        <v>780</v>
      </c>
      <c r="S192" t="s">
        <v>792</v>
      </c>
      <c r="T192">
        <v>15305.955225</v>
      </c>
      <c r="U192" s="2">
        <v>44508</v>
      </c>
      <c r="V192" t="s">
        <v>803</v>
      </c>
    </row>
    <row r="193" spans="1:22">
      <c r="A193" s="1" t="s">
        <v>213</v>
      </c>
      <c r="B193">
        <f>HYPERLINK("https://www.suredividend.com/sure-analysis-CMI/","Cummins Inc.")</f>
        <v>0</v>
      </c>
      <c r="C193">
        <v>213.97</v>
      </c>
      <c r="D193">
        <v>207</v>
      </c>
      <c r="E193">
        <v>1.033671497584541</v>
      </c>
      <c r="F193">
        <v>0.02710660372949479</v>
      </c>
      <c r="G193">
        <v>-0.006601518603271295</v>
      </c>
      <c r="H193">
        <v>0.08</v>
      </c>
      <c r="I193">
        <v>0.09562038887101343</v>
      </c>
      <c r="J193" t="s">
        <v>777</v>
      </c>
      <c r="K193" t="s">
        <v>777</v>
      </c>
      <c r="L193">
        <v>15.92</v>
      </c>
      <c r="M193">
        <v>5.8</v>
      </c>
      <c r="N193">
        <v>0.364321608040201</v>
      </c>
      <c r="O193">
        <v>16</v>
      </c>
      <c r="P193">
        <v>0.0499309672496191</v>
      </c>
      <c r="Q193">
        <v>-0.023199078939319</v>
      </c>
      <c r="R193" t="s">
        <v>780</v>
      </c>
      <c r="S193" t="s">
        <v>786</v>
      </c>
      <c r="T193">
        <v>30604.524517</v>
      </c>
      <c r="U193" s="2">
        <v>44502</v>
      </c>
      <c r="V193" t="s">
        <v>796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69.79000000000001</v>
      </c>
      <c r="D194">
        <v>72</v>
      </c>
      <c r="E194">
        <v>0.9693055555555556</v>
      </c>
      <c r="F194">
        <v>0.04484883221091846</v>
      </c>
      <c r="G194">
        <v>0.006254555753618218</v>
      </c>
      <c r="H194">
        <v>0.05</v>
      </c>
      <c r="I194">
        <v>0.09534408672684647</v>
      </c>
      <c r="J194" t="s">
        <v>777</v>
      </c>
      <c r="K194" t="s">
        <v>776</v>
      </c>
      <c r="L194">
        <v>6.33</v>
      </c>
      <c r="M194">
        <v>3.13</v>
      </c>
      <c r="N194">
        <v>0.4944707740916272</v>
      </c>
      <c r="O194">
        <v>9</v>
      </c>
      <c r="P194">
        <v>0.0497495850210754</v>
      </c>
      <c r="Q194">
        <v>0.3735241847713771</v>
      </c>
      <c r="R194" t="s">
        <v>780</v>
      </c>
      <c r="S194" t="s">
        <v>789</v>
      </c>
      <c r="T194">
        <v>84818.40573</v>
      </c>
      <c r="U194" s="2">
        <v>44530</v>
      </c>
      <c r="V194" t="s">
        <v>804</v>
      </c>
    </row>
    <row r="195" spans="1:22">
      <c r="A195" s="1" t="s">
        <v>215</v>
      </c>
      <c r="B195">
        <f>HYPERLINK("https://www.suredividend.com/sure-analysis-NJR/","New Jersey Resources Corporation")</f>
        <v>0</v>
      </c>
      <c r="C195">
        <v>40.47</v>
      </c>
      <c r="D195">
        <v>42</v>
      </c>
      <c r="E195">
        <v>0.9635714285714285</v>
      </c>
      <c r="F195">
        <v>0.03582900914257475</v>
      </c>
      <c r="G195">
        <v>0.007449341191869019</v>
      </c>
      <c r="H195">
        <v>0.055</v>
      </c>
      <c r="I195">
        <v>0.09408509128835219</v>
      </c>
      <c r="J195" t="s">
        <v>777</v>
      </c>
      <c r="K195" t="s">
        <v>777</v>
      </c>
      <c r="L195">
        <v>2.25</v>
      </c>
      <c r="M195">
        <v>1.45</v>
      </c>
      <c r="N195">
        <v>0.6444444444444444</v>
      </c>
      <c r="O195">
        <v>25</v>
      </c>
      <c r="P195">
        <v>0.05554589164848389</v>
      </c>
      <c r="Q195">
        <v>0.203125092902543</v>
      </c>
      <c r="R195" t="s">
        <v>780</v>
      </c>
      <c r="S195" t="s">
        <v>792</v>
      </c>
      <c r="T195">
        <v>3883.060725</v>
      </c>
      <c r="U195" s="2">
        <v>44532</v>
      </c>
      <c r="V195" t="s">
        <v>802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54.64</v>
      </c>
      <c r="D196">
        <v>53</v>
      </c>
      <c r="E196">
        <v>1.030943396226415</v>
      </c>
      <c r="F196">
        <v>0.0322108345534407</v>
      </c>
      <c r="G196">
        <v>-0.006076324357984886</v>
      </c>
      <c r="H196">
        <v>0.07000000000000001</v>
      </c>
      <c r="I196">
        <v>0.09367515942771187</v>
      </c>
      <c r="J196" t="s">
        <v>777</v>
      </c>
      <c r="K196" t="s">
        <v>777</v>
      </c>
      <c r="L196">
        <v>4.8</v>
      </c>
      <c r="M196">
        <v>1.76</v>
      </c>
      <c r="N196">
        <v>0.3666666666666667</v>
      </c>
      <c r="O196">
        <v>6</v>
      </c>
      <c r="P196">
        <v>0.08033244512790017</v>
      </c>
      <c r="Q196">
        <v>0.299226266056049</v>
      </c>
      <c r="R196" t="s">
        <v>780</v>
      </c>
      <c r="S196" t="s">
        <v>789</v>
      </c>
      <c r="T196">
        <v>32011.043818</v>
      </c>
      <c r="U196" s="2">
        <v>44510</v>
      </c>
      <c r="V196" t="s">
        <v>797</v>
      </c>
    </row>
    <row r="197" spans="1:22">
      <c r="A197" s="1" t="s">
        <v>217</v>
      </c>
      <c r="B197">
        <f>HYPERLINK("https://www.suredividend.com/sure-analysis-TD/","Toronto Dominion Bank")</f>
        <v>0</v>
      </c>
      <c r="C197">
        <v>75.13</v>
      </c>
      <c r="D197">
        <v>77</v>
      </c>
      <c r="E197">
        <v>0.9757142857142856</v>
      </c>
      <c r="F197">
        <v>0.03700252894982031</v>
      </c>
      <c r="G197">
        <v>0.004929203845098318</v>
      </c>
      <c r="H197">
        <v>0.055</v>
      </c>
      <c r="I197">
        <v>0.09309358629608422</v>
      </c>
      <c r="J197" t="s">
        <v>777</v>
      </c>
      <c r="K197" t="s">
        <v>776</v>
      </c>
      <c r="L197">
        <v>6.29</v>
      </c>
      <c r="M197">
        <v>2.78</v>
      </c>
      <c r="N197">
        <v>0.4419713831478537</v>
      </c>
      <c r="O197">
        <v>9</v>
      </c>
      <c r="P197">
        <v>0.0599847785013683</v>
      </c>
      <c r="Q197">
        <v>0.388645012947502</v>
      </c>
      <c r="R197" t="s">
        <v>780</v>
      </c>
      <c r="S197" t="s">
        <v>789</v>
      </c>
      <c r="T197">
        <v>137032.058943</v>
      </c>
      <c r="U197" s="2">
        <v>44548</v>
      </c>
      <c r="V197" t="s">
        <v>804</v>
      </c>
    </row>
    <row r="198" spans="1:22">
      <c r="A198" s="1" t="s">
        <v>218</v>
      </c>
      <c r="B198">
        <f>HYPERLINK("https://www.suredividend.com/sure-analysis-YUM/","Yum Brands Inc.")</f>
        <v>0</v>
      </c>
      <c r="C198">
        <v>135.34</v>
      </c>
      <c r="D198">
        <v>113</v>
      </c>
      <c r="E198">
        <v>1.197699115044248</v>
      </c>
      <c r="F198">
        <v>0.01477759716270134</v>
      </c>
      <c r="G198">
        <v>-0.03543732068517258</v>
      </c>
      <c r="H198">
        <v>0.12</v>
      </c>
      <c r="I198">
        <v>0.09298580010831103</v>
      </c>
      <c r="J198" t="s">
        <v>777</v>
      </c>
      <c r="K198" t="s">
        <v>526</v>
      </c>
      <c r="L198">
        <v>4.65</v>
      </c>
      <c r="M198">
        <v>2</v>
      </c>
      <c r="N198">
        <v>0.4301075268817204</v>
      </c>
      <c r="O198">
        <v>4</v>
      </c>
      <c r="P198">
        <v>0.0602809527753625</v>
      </c>
      <c r="Q198">
        <v>0.288590348425918</v>
      </c>
      <c r="R198" t="s">
        <v>780</v>
      </c>
      <c r="S198" t="s">
        <v>788</v>
      </c>
      <c r="T198">
        <v>39672.63416</v>
      </c>
      <c r="U198" s="2">
        <v>44510</v>
      </c>
      <c r="V198" t="s">
        <v>803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58.75</v>
      </c>
      <c r="D199">
        <v>56</v>
      </c>
      <c r="E199">
        <v>1.049107142857143</v>
      </c>
      <c r="F199">
        <v>0.03472340425531915</v>
      </c>
      <c r="G199">
        <v>-0.009542075164281849</v>
      </c>
      <c r="H199">
        <v>0.07000000000000001</v>
      </c>
      <c r="I199">
        <v>0.0925946841374734</v>
      </c>
      <c r="J199" t="s">
        <v>777</v>
      </c>
      <c r="K199" t="s">
        <v>777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0.215271672689587</v>
      </c>
      <c r="R199" t="s">
        <v>781</v>
      </c>
      <c r="S199" t="s">
        <v>792</v>
      </c>
      <c r="T199">
        <v>17356.511736</v>
      </c>
      <c r="U199" s="2">
        <v>44506</v>
      </c>
      <c r="V199" t="s">
        <v>804</v>
      </c>
    </row>
    <row r="200" spans="1:22">
      <c r="A200" s="1" t="s">
        <v>220</v>
      </c>
      <c r="B200">
        <f>HYPERLINK("https://www.suredividend.com/sure-analysis-KDP/","Keurig Dr Pepper Inc")</f>
        <v>0</v>
      </c>
      <c r="C200">
        <v>35.94</v>
      </c>
      <c r="D200">
        <v>32</v>
      </c>
      <c r="E200">
        <v>1.123125</v>
      </c>
      <c r="F200">
        <v>0.01975514746800222</v>
      </c>
      <c r="G200">
        <v>-0.02295541727285744</v>
      </c>
      <c r="H200">
        <v>0.1</v>
      </c>
      <c r="I200">
        <v>0.09144824800059537</v>
      </c>
      <c r="J200" t="s">
        <v>777</v>
      </c>
      <c r="K200" t="s">
        <v>345</v>
      </c>
      <c r="L200">
        <v>1.6</v>
      </c>
      <c r="M200">
        <v>0.71</v>
      </c>
      <c r="N200">
        <v>0.44375</v>
      </c>
      <c r="O200">
        <v>1</v>
      </c>
      <c r="P200">
        <v>0.05088842545712402</v>
      </c>
      <c r="Q200">
        <v>0.159721460332621</v>
      </c>
      <c r="R200" t="s">
        <v>780</v>
      </c>
      <c r="S200" t="s">
        <v>791</v>
      </c>
      <c r="T200">
        <v>50961.539688</v>
      </c>
      <c r="U200" s="2">
        <v>44530</v>
      </c>
      <c r="V200" t="s">
        <v>800</v>
      </c>
    </row>
    <row r="201" spans="1:22">
      <c r="A201" s="1" t="s">
        <v>221</v>
      </c>
      <c r="B201">
        <f>HYPERLINK("https://www.suredividend.com/sure-analysis-FOXA/","Fox Corporation")</f>
        <v>0</v>
      </c>
      <c r="C201">
        <v>37.28</v>
      </c>
      <c r="D201">
        <v>43</v>
      </c>
      <c r="E201">
        <v>0.8669767441860465</v>
      </c>
      <c r="F201">
        <v>0.0128755364806867</v>
      </c>
      <c r="G201">
        <v>0.02896004298050214</v>
      </c>
      <c r="H201">
        <v>0.05</v>
      </c>
      <c r="I201">
        <v>0.08969656943798787</v>
      </c>
      <c r="J201" t="s">
        <v>777</v>
      </c>
      <c r="K201" t="s">
        <v>345</v>
      </c>
      <c r="L201">
        <v>2.84</v>
      </c>
      <c r="M201">
        <v>0.48</v>
      </c>
      <c r="N201">
        <v>0.1690140845070423</v>
      </c>
      <c r="O201">
        <v>0</v>
      </c>
      <c r="P201">
        <v>0</v>
      </c>
      <c r="Q201">
        <v>0.34215140245461</v>
      </c>
      <c r="R201" t="s">
        <v>780</v>
      </c>
      <c r="S201" t="s">
        <v>784</v>
      </c>
      <c r="T201">
        <v>20543.77767</v>
      </c>
      <c r="U201" s="2">
        <v>44528</v>
      </c>
      <c r="V201" t="s">
        <v>798</v>
      </c>
    </row>
    <row r="202" spans="1:22">
      <c r="A202" s="1" t="s">
        <v>222</v>
      </c>
      <c r="B202">
        <f>HYPERLINK("https://www.suredividend.com/sure-analysis-ORI/","Old Republic International Corp.")</f>
        <v>0</v>
      </c>
      <c r="C202">
        <v>24.08</v>
      </c>
      <c r="D202">
        <v>35</v>
      </c>
      <c r="E202">
        <v>0.6879999999999999</v>
      </c>
      <c r="F202">
        <v>0.03654485049833887</v>
      </c>
      <c r="G202">
        <v>0.07766136254941047</v>
      </c>
      <c r="H202">
        <v>-0.02</v>
      </c>
      <c r="I202">
        <v>0.08813450828572478</v>
      </c>
      <c r="J202" t="s">
        <v>777</v>
      </c>
      <c r="K202" t="s">
        <v>777</v>
      </c>
      <c r="L202">
        <v>2.9</v>
      </c>
      <c r="M202">
        <v>0.88</v>
      </c>
      <c r="N202">
        <v>0.303448275862069</v>
      </c>
      <c r="O202">
        <v>40</v>
      </c>
      <c r="P202">
        <v>0.04941452284458392</v>
      </c>
      <c r="Q202">
        <v>0.4658614980033111</v>
      </c>
      <c r="R202" t="s">
        <v>780</v>
      </c>
      <c r="S202" t="s">
        <v>789</v>
      </c>
      <c r="T202">
        <v>7392.770315</v>
      </c>
      <c r="U202" s="2">
        <v>44518</v>
      </c>
      <c r="V202" t="s">
        <v>801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180.29</v>
      </c>
      <c r="D203">
        <v>160</v>
      </c>
      <c r="E203">
        <v>1.1268125</v>
      </c>
      <c r="F203">
        <v>0.01419934549891841</v>
      </c>
      <c r="G203">
        <v>-0.02359573273282245</v>
      </c>
      <c r="H203">
        <v>0.1</v>
      </c>
      <c r="I203">
        <v>0.08800232497356286</v>
      </c>
      <c r="J203" t="s">
        <v>777</v>
      </c>
      <c r="K203" t="s">
        <v>345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0.241368293709018</v>
      </c>
      <c r="R203" t="s">
        <v>780</v>
      </c>
      <c r="S203" t="s">
        <v>787</v>
      </c>
      <c r="T203">
        <v>21017.85988</v>
      </c>
      <c r="U203" s="2">
        <v>44512</v>
      </c>
      <c r="V203" t="s">
        <v>802</v>
      </c>
    </row>
    <row r="204" spans="1:22">
      <c r="A204" s="1" t="s">
        <v>224</v>
      </c>
      <c r="B204">
        <f>HYPERLINK("https://www.suredividend.com/sure-analysis-TDS/","Telephone And Data Systems, Inc.")</f>
        <v>0</v>
      </c>
      <c r="C204">
        <v>20.63</v>
      </c>
      <c r="D204">
        <v>25</v>
      </c>
      <c r="E204">
        <v>0.8251999999999999</v>
      </c>
      <c r="F204">
        <v>0.03393116820164808</v>
      </c>
      <c r="G204">
        <v>0.03917372227176075</v>
      </c>
      <c r="H204">
        <v>0.02</v>
      </c>
      <c r="I204">
        <v>0.0878195795893284</v>
      </c>
      <c r="J204" t="s">
        <v>777</v>
      </c>
      <c r="K204" t="s">
        <v>777</v>
      </c>
      <c r="L204">
        <v>0.93</v>
      </c>
      <c r="M204">
        <v>0.7</v>
      </c>
      <c r="N204">
        <v>0.7526881720430106</v>
      </c>
      <c r="O204">
        <v>45</v>
      </c>
      <c r="P204">
        <v>0.02962100943384161</v>
      </c>
      <c r="Q204">
        <v>0.180773369353693</v>
      </c>
      <c r="R204" t="s">
        <v>780</v>
      </c>
      <c r="S204" t="s">
        <v>784</v>
      </c>
      <c r="T204">
        <v>2215.294786</v>
      </c>
      <c r="U204" s="2">
        <v>44515</v>
      </c>
      <c r="V204" t="s">
        <v>802</v>
      </c>
    </row>
    <row r="205" spans="1:22">
      <c r="A205" s="1" t="s">
        <v>225</v>
      </c>
      <c r="B205">
        <f>HYPERLINK("https://www.suredividend.com/sure-analysis-MSM/","MSC Industrial Direct Co., Inc.")</f>
        <v>0</v>
      </c>
      <c r="C205">
        <v>83.94</v>
      </c>
      <c r="D205">
        <v>86</v>
      </c>
      <c r="E205">
        <v>0.9760465116279069</v>
      </c>
      <c r="F205">
        <v>0.03573981415296641</v>
      </c>
      <c r="G205">
        <v>0.004860783132712765</v>
      </c>
      <c r="H205">
        <v>0.05</v>
      </c>
      <c r="I205">
        <v>0.0866322722827495</v>
      </c>
      <c r="J205" t="s">
        <v>777</v>
      </c>
      <c r="K205" t="s">
        <v>777</v>
      </c>
      <c r="L205">
        <v>5.55</v>
      </c>
      <c r="M205">
        <v>3</v>
      </c>
      <c r="N205">
        <v>0.5405405405405406</v>
      </c>
      <c r="O205">
        <v>16</v>
      </c>
      <c r="P205">
        <v>0.05006335758366887</v>
      </c>
      <c r="Q205">
        <v>0.012384035352633</v>
      </c>
      <c r="R205" t="s">
        <v>780</v>
      </c>
      <c r="S205" t="s">
        <v>786</v>
      </c>
      <c r="T205">
        <v>3930.093044</v>
      </c>
      <c r="U205" s="2">
        <v>44494</v>
      </c>
      <c r="V205" t="s">
        <v>802</v>
      </c>
    </row>
    <row r="206" spans="1:22">
      <c r="A206" s="1" t="s">
        <v>226</v>
      </c>
      <c r="B206">
        <f>HYPERLINK("https://www.suredividend.com/sure-analysis-SNA/","Snap-on, Inc.")</f>
        <v>0</v>
      </c>
      <c r="C206">
        <v>209.94</v>
      </c>
      <c r="D206">
        <v>231</v>
      </c>
      <c r="E206">
        <v>0.9088311688311688</v>
      </c>
      <c r="F206">
        <v>0.02705534914737544</v>
      </c>
      <c r="G206">
        <v>0.01930312904235953</v>
      </c>
      <c r="H206">
        <v>0.04</v>
      </c>
      <c r="I206">
        <v>0.085939216020815</v>
      </c>
      <c r="J206" t="s">
        <v>777</v>
      </c>
      <c r="K206" t="s">
        <v>777</v>
      </c>
      <c r="L206">
        <v>14.45</v>
      </c>
      <c r="M206">
        <v>5.68</v>
      </c>
      <c r="N206">
        <v>0.3930795847750865</v>
      </c>
      <c r="O206">
        <v>12</v>
      </c>
      <c r="P206">
        <v>0.08010910720791475</v>
      </c>
      <c r="Q206">
        <v>0.280479548556853</v>
      </c>
      <c r="R206" t="s">
        <v>780</v>
      </c>
      <c r="S206" t="s">
        <v>786</v>
      </c>
      <c r="T206">
        <v>11279.119713</v>
      </c>
      <c r="U206" s="2">
        <v>44498</v>
      </c>
      <c r="V206" t="s">
        <v>801</v>
      </c>
    </row>
    <row r="207" spans="1:22">
      <c r="A207" s="1" t="s">
        <v>227</v>
      </c>
      <c r="B207">
        <f>HYPERLINK("https://www.suredividend.com/sure-analysis-GILD/","Gilead Sciences, Inc.")</f>
        <v>0</v>
      </c>
      <c r="C207">
        <v>72.48</v>
      </c>
      <c r="D207">
        <v>80</v>
      </c>
      <c r="E207">
        <v>0.906</v>
      </c>
      <c r="F207">
        <v>0.03918322295805739</v>
      </c>
      <c r="G207">
        <v>0.01993938043889498</v>
      </c>
      <c r="H207">
        <v>0.03</v>
      </c>
      <c r="I207">
        <v>0.08544017969243911</v>
      </c>
      <c r="J207" t="s">
        <v>777</v>
      </c>
      <c r="K207" t="s">
        <v>776</v>
      </c>
      <c r="L207">
        <v>8</v>
      </c>
      <c r="M207">
        <v>2.84</v>
      </c>
      <c r="N207">
        <v>0.355</v>
      </c>
      <c r="O207">
        <v>6</v>
      </c>
      <c r="P207">
        <v>0.049731056540673</v>
      </c>
      <c r="Q207">
        <v>0.317116517927722</v>
      </c>
      <c r="R207" t="s">
        <v>780</v>
      </c>
      <c r="S207" t="s">
        <v>785</v>
      </c>
      <c r="T207">
        <v>90917.71767500001</v>
      </c>
      <c r="U207" s="2">
        <v>44509</v>
      </c>
      <c r="V207" t="s">
        <v>797</v>
      </c>
    </row>
    <row r="208" spans="1:22">
      <c r="A208" s="1" t="s">
        <v>228</v>
      </c>
      <c r="B208">
        <f>HYPERLINK("https://www.suredividend.com/sure-analysis-CDUAF/","Canadian Utilities Ltd.")</f>
        <v>0</v>
      </c>
      <c r="C208">
        <v>28.5</v>
      </c>
      <c r="D208">
        <v>29</v>
      </c>
      <c r="E208">
        <v>0.9827586206896551</v>
      </c>
      <c r="F208">
        <v>0.04947368421052632</v>
      </c>
      <c r="G208">
        <v>0.00348440501680547</v>
      </c>
      <c r="H208">
        <v>0.04</v>
      </c>
      <c r="I208">
        <v>0.08519798696682335</v>
      </c>
      <c r="J208" t="s">
        <v>777</v>
      </c>
      <c r="K208" t="s">
        <v>776</v>
      </c>
      <c r="L208">
        <v>1.8</v>
      </c>
      <c r="M208">
        <v>1.41</v>
      </c>
      <c r="N208">
        <v>0.7833333333333332</v>
      </c>
      <c r="O208">
        <v>49</v>
      </c>
      <c r="P208">
        <v>0.02560510523091319</v>
      </c>
      <c r="Q208">
        <v>0.180613090306545</v>
      </c>
      <c r="R208" t="s">
        <v>780</v>
      </c>
      <c r="S208" t="s">
        <v>792</v>
      </c>
      <c r="T208">
        <v>5601.207515</v>
      </c>
      <c r="U208" s="2">
        <v>44502</v>
      </c>
      <c r="V208" t="s">
        <v>795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115.9</v>
      </c>
      <c r="D209">
        <v>113</v>
      </c>
      <c r="E209">
        <v>1.025663716814159</v>
      </c>
      <c r="F209">
        <v>0.04331320103537532</v>
      </c>
      <c r="G209">
        <v>-0.005055165751280177</v>
      </c>
      <c r="H209">
        <v>0.05</v>
      </c>
      <c r="I209">
        <v>0.08493520673672328</v>
      </c>
      <c r="J209" t="s">
        <v>777</v>
      </c>
      <c r="K209" t="s">
        <v>776</v>
      </c>
      <c r="L209">
        <v>11.3</v>
      </c>
      <c r="M209">
        <v>5.02</v>
      </c>
      <c r="N209">
        <v>0.4442477876106194</v>
      </c>
      <c r="O209">
        <v>10</v>
      </c>
      <c r="P209">
        <v>0.06006650229087018</v>
      </c>
      <c r="Q209">
        <v>0.394015715452405</v>
      </c>
      <c r="R209" t="s">
        <v>780</v>
      </c>
      <c r="S209" t="s">
        <v>789</v>
      </c>
      <c r="T209">
        <v>52251.698036</v>
      </c>
      <c r="U209" s="2">
        <v>44548</v>
      </c>
      <c r="V209" t="s">
        <v>804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61.25</v>
      </c>
      <c r="D210">
        <v>53</v>
      </c>
      <c r="E210">
        <v>1.155660377358491</v>
      </c>
      <c r="F210">
        <v>0.0163265306122449</v>
      </c>
      <c r="G210">
        <v>-0.02851979606342547</v>
      </c>
      <c r="H210">
        <v>0.1</v>
      </c>
      <c r="I210">
        <v>0.08493475226739911</v>
      </c>
      <c r="J210" t="s">
        <v>777</v>
      </c>
      <c r="K210" t="s">
        <v>526</v>
      </c>
      <c r="L210">
        <v>1.6</v>
      </c>
      <c r="M210">
        <v>1</v>
      </c>
      <c r="N210">
        <v>0.625</v>
      </c>
      <c r="O210">
        <v>17</v>
      </c>
      <c r="P210">
        <v>0.09993032380125255</v>
      </c>
      <c r="Q210">
        <v>-0.122549405840597</v>
      </c>
      <c r="R210" t="s">
        <v>780</v>
      </c>
      <c r="S210" t="s">
        <v>786</v>
      </c>
      <c r="T210">
        <v>6774.465049</v>
      </c>
      <c r="U210" s="2">
        <v>44515</v>
      </c>
      <c r="V210" t="s">
        <v>795</v>
      </c>
    </row>
    <row r="211" spans="1:22">
      <c r="A211" s="1" t="s">
        <v>231</v>
      </c>
      <c r="B211">
        <f>HYPERLINK("https://www.suredividend.com/sure-analysis-PB/","Prosperity Bancshares Inc.")</f>
        <v>0</v>
      </c>
      <c r="C211">
        <v>71.56</v>
      </c>
      <c r="D211">
        <v>82</v>
      </c>
      <c r="E211">
        <v>0.8726829268292683</v>
      </c>
      <c r="F211">
        <v>0.02906651760760201</v>
      </c>
      <c r="G211">
        <v>0.0276109044056152</v>
      </c>
      <c r="H211">
        <v>0.03</v>
      </c>
      <c r="I211">
        <v>0.08464072785219212</v>
      </c>
      <c r="J211" t="s">
        <v>777</v>
      </c>
      <c r="K211" t="s">
        <v>777</v>
      </c>
      <c r="L211">
        <v>5.75</v>
      </c>
      <c r="M211">
        <v>2.08</v>
      </c>
      <c r="N211">
        <v>0.3617391304347826</v>
      </c>
      <c r="O211">
        <v>18</v>
      </c>
      <c r="P211">
        <v>0.05820339229333826</v>
      </c>
      <c r="Q211">
        <v>0.05469187551216501</v>
      </c>
      <c r="R211" t="s">
        <v>780</v>
      </c>
      <c r="S211" t="s">
        <v>789</v>
      </c>
      <c r="T211">
        <v>6595.32418</v>
      </c>
      <c r="U211" s="2">
        <v>44498</v>
      </c>
      <c r="V211" t="s">
        <v>803</v>
      </c>
    </row>
    <row r="212" spans="1:22">
      <c r="A212" s="1" t="s">
        <v>232</v>
      </c>
      <c r="B212">
        <f>HYPERLINK("https://www.suredividend.com/sure-analysis-POR/","Portland General Electric Co")</f>
        <v>0</v>
      </c>
      <c r="C212">
        <v>51.32</v>
      </c>
      <c r="D212">
        <v>52</v>
      </c>
      <c r="E212">
        <v>0.9869230769230769</v>
      </c>
      <c r="F212">
        <v>0.03351519875292284</v>
      </c>
      <c r="G212">
        <v>0.002636104195373745</v>
      </c>
      <c r="H212">
        <v>0.05</v>
      </c>
      <c r="I212">
        <v>0.08351019881413269</v>
      </c>
      <c r="J212" t="s">
        <v>777</v>
      </c>
      <c r="K212" t="s">
        <v>777</v>
      </c>
      <c r="L212">
        <v>2.78</v>
      </c>
      <c r="M212">
        <v>1.72</v>
      </c>
      <c r="N212">
        <v>0.6187050359712231</v>
      </c>
      <c r="O212">
        <v>14</v>
      </c>
      <c r="P212">
        <v>0.05983895403096029</v>
      </c>
      <c r="Q212">
        <v>0.287877837308807</v>
      </c>
      <c r="R212" t="s">
        <v>780</v>
      </c>
      <c r="S212" t="s">
        <v>792</v>
      </c>
      <c r="T212">
        <v>4588.501339</v>
      </c>
      <c r="U212" s="2">
        <v>44498</v>
      </c>
      <c r="V212" t="s">
        <v>802</v>
      </c>
    </row>
    <row r="213" spans="1:22">
      <c r="A213" s="1" t="s">
        <v>233</v>
      </c>
      <c r="B213">
        <f>HYPERLINK("https://www.suredividend.com/sure-analysis-IMO/","Imperial Oil Ltd.")</f>
        <v>0</v>
      </c>
      <c r="C213">
        <v>35.3</v>
      </c>
      <c r="D213">
        <v>39</v>
      </c>
      <c r="E213">
        <v>0.905128205128205</v>
      </c>
      <c r="F213">
        <v>0.02351274787535411</v>
      </c>
      <c r="G213">
        <v>0.02013578036134067</v>
      </c>
      <c r="H213">
        <v>0.04</v>
      </c>
      <c r="I213">
        <v>0.08280919819869537</v>
      </c>
      <c r="J213" t="s">
        <v>777</v>
      </c>
      <c r="K213" t="s">
        <v>777</v>
      </c>
      <c r="L213">
        <v>2.8</v>
      </c>
      <c r="M213">
        <v>0.83</v>
      </c>
      <c r="N213">
        <v>0.2964285714285714</v>
      </c>
      <c r="O213">
        <v>6</v>
      </c>
      <c r="P213">
        <v>0.06924192562875131</v>
      </c>
      <c r="Q213">
        <v>0.90359093826002</v>
      </c>
      <c r="R213" t="s">
        <v>780</v>
      </c>
      <c r="S213" t="s">
        <v>793</v>
      </c>
      <c r="T213">
        <v>24204.338902</v>
      </c>
      <c r="U213" s="2">
        <v>44502</v>
      </c>
      <c r="V213" t="s">
        <v>803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102.45</v>
      </c>
      <c r="D214">
        <v>100</v>
      </c>
      <c r="E214">
        <v>1.0245</v>
      </c>
      <c r="F214">
        <v>0.0214738897022938</v>
      </c>
      <c r="G214">
        <v>-0.004829239285041087</v>
      </c>
      <c r="H214">
        <v>0.07000000000000001</v>
      </c>
      <c r="I214">
        <v>0.08237880692283639</v>
      </c>
      <c r="J214" t="s">
        <v>777</v>
      </c>
      <c r="K214" t="s">
        <v>777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0.122588407261267</v>
      </c>
      <c r="R214" t="s">
        <v>780</v>
      </c>
      <c r="S214" t="s">
        <v>786</v>
      </c>
      <c r="T214">
        <v>13317.215482</v>
      </c>
      <c r="U214" s="2">
        <v>44495</v>
      </c>
      <c r="V214" t="s">
        <v>798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47.44</v>
      </c>
      <c r="D215">
        <v>45</v>
      </c>
      <c r="E215">
        <v>1.054222222222222</v>
      </c>
      <c r="F215">
        <v>0.03562394603709949</v>
      </c>
      <c r="G215">
        <v>-0.01050508507128189</v>
      </c>
      <c r="H215">
        <v>0.06</v>
      </c>
      <c r="I215">
        <v>0.08188077521097292</v>
      </c>
      <c r="J215" t="s">
        <v>777</v>
      </c>
      <c r="K215" t="s">
        <v>776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0.211786823606342</v>
      </c>
      <c r="R215" t="s">
        <v>780</v>
      </c>
      <c r="S215" t="s">
        <v>792</v>
      </c>
      <c r="T215">
        <v>22434.187806</v>
      </c>
      <c r="U215" s="2">
        <v>44505</v>
      </c>
      <c r="V215" t="s">
        <v>804</v>
      </c>
    </row>
    <row r="216" spans="1:22">
      <c r="A216" s="1" t="s">
        <v>236</v>
      </c>
      <c r="B216">
        <f>HYPERLINK("https://www.suredividend.com/sure-analysis-PBCT/","People`s United Financial Inc")</f>
        <v>0</v>
      </c>
      <c r="C216">
        <v>17.45</v>
      </c>
      <c r="D216">
        <v>18</v>
      </c>
      <c r="E216">
        <v>0.9694444444444444</v>
      </c>
      <c r="F216">
        <v>0.04183381088825215</v>
      </c>
      <c r="G216">
        <v>0.006225721592422406</v>
      </c>
      <c r="H216">
        <v>0.04</v>
      </c>
      <c r="I216">
        <v>0.08049366055084839</v>
      </c>
      <c r="J216" t="s">
        <v>777</v>
      </c>
      <c r="K216" t="s">
        <v>776</v>
      </c>
      <c r="L216">
        <v>1.33</v>
      </c>
      <c r="M216">
        <v>0.73</v>
      </c>
      <c r="N216">
        <v>0.5488721804511277</v>
      </c>
      <c r="O216">
        <v>29</v>
      </c>
      <c r="P216">
        <v>0.01333804570728625</v>
      </c>
      <c r="Q216">
        <v>0.411572467461029</v>
      </c>
      <c r="R216" t="s">
        <v>780</v>
      </c>
      <c r="S216" t="s">
        <v>789</v>
      </c>
      <c r="T216">
        <v>7468.949157</v>
      </c>
      <c r="U216" s="2">
        <v>44495</v>
      </c>
      <c r="V216" t="s">
        <v>803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83</v>
      </c>
      <c r="D217">
        <v>76</v>
      </c>
      <c r="E217">
        <v>1.092105263157895</v>
      </c>
      <c r="F217">
        <v>0.01783132530120482</v>
      </c>
      <c r="G217">
        <v>-0.01746710364301385</v>
      </c>
      <c r="H217">
        <v>0.08</v>
      </c>
      <c r="I217">
        <v>0.08044189553634462</v>
      </c>
      <c r="J217" t="s">
        <v>777</v>
      </c>
      <c r="K217" t="s">
        <v>345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-0.03469627241569</v>
      </c>
      <c r="R217" t="s">
        <v>780</v>
      </c>
      <c r="S217" t="s">
        <v>787</v>
      </c>
      <c r="T217">
        <v>11113.422448</v>
      </c>
      <c r="U217" s="2">
        <v>44508</v>
      </c>
      <c r="V217" t="s">
        <v>800</v>
      </c>
    </row>
    <row r="218" spans="1:22">
      <c r="A218" s="1" t="s">
        <v>238</v>
      </c>
      <c r="B218">
        <f>HYPERLINK("https://www.suredividend.com/sure-analysis-CIO/","City Office REIT Inc")</f>
        <v>0</v>
      </c>
      <c r="C218">
        <v>19.29</v>
      </c>
      <c r="D218">
        <v>14.8</v>
      </c>
      <c r="E218">
        <v>1.303378378378378</v>
      </c>
      <c r="F218">
        <v>0.03110419906687403</v>
      </c>
      <c r="G218">
        <v>-0.05161233332939963</v>
      </c>
      <c r="H218">
        <v>0.1</v>
      </c>
      <c r="I218">
        <v>0.07640500593253696</v>
      </c>
      <c r="J218" t="s">
        <v>777</v>
      </c>
      <c r="K218" t="s">
        <v>777</v>
      </c>
      <c r="L218">
        <v>1.31</v>
      </c>
      <c r="M218">
        <v>0.6</v>
      </c>
      <c r="N218">
        <v>0.4580152671755725</v>
      </c>
      <c r="O218">
        <v>0</v>
      </c>
      <c r="P218">
        <v>0.1008397341583922</v>
      </c>
      <c r="Q218">
        <v>1.159868325290277</v>
      </c>
      <c r="R218" t="s">
        <v>782</v>
      </c>
      <c r="S218" t="s">
        <v>794</v>
      </c>
      <c r="T218">
        <v>840.163894</v>
      </c>
      <c r="U218" s="2">
        <v>44513</v>
      </c>
      <c r="V218" t="s">
        <v>795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117.39</v>
      </c>
      <c r="D219">
        <v>120</v>
      </c>
      <c r="E219">
        <v>0.97825</v>
      </c>
      <c r="F219">
        <v>0.02351137234858165</v>
      </c>
      <c r="G219">
        <v>0.004407688989679803</v>
      </c>
      <c r="H219">
        <v>0.05</v>
      </c>
      <c r="I219">
        <v>0.07580429624112206</v>
      </c>
      <c r="J219" t="s">
        <v>777</v>
      </c>
      <c r="K219" t="s">
        <v>777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0.191818998644621</v>
      </c>
      <c r="R219" t="s">
        <v>780</v>
      </c>
      <c r="S219" t="s">
        <v>790</v>
      </c>
      <c r="T219">
        <v>15781.944352</v>
      </c>
      <c r="U219" s="2">
        <v>44502</v>
      </c>
      <c r="V219" t="s">
        <v>795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187.4</v>
      </c>
      <c r="D220">
        <v>162</v>
      </c>
      <c r="E220">
        <v>1.15679012345679</v>
      </c>
      <c r="F220">
        <v>0.02454642475987193</v>
      </c>
      <c r="G220">
        <v>-0.02870962392348342</v>
      </c>
      <c r="H220">
        <v>0.08</v>
      </c>
      <c r="I220">
        <v>0.07420592831222961</v>
      </c>
      <c r="J220" t="s">
        <v>777</v>
      </c>
      <c r="K220" t="s">
        <v>345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0.191504837547789</v>
      </c>
      <c r="R220" t="s">
        <v>780</v>
      </c>
      <c r="S220" t="s">
        <v>787</v>
      </c>
      <c r="T220">
        <v>173068.781208</v>
      </c>
      <c r="U220" s="2">
        <v>44504</v>
      </c>
      <c r="V220" t="s">
        <v>797</v>
      </c>
    </row>
    <row r="221" spans="1:22">
      <c r="A221" s="1" t="s">
        <v>241</v>
      </c>
      <c r="B221">
        <f>HYPERLINK("https://www.suredividend.com/sure-analysis-HD/","Home Depot, Inc.")</f>
        <v>0</v>
      </c>
      <c r="C221">
        <v>397.07</v>
      </c>
      <c r="D221">
        <v>341</v>
      </c>
      <c r="E221">
        <v>1.164428152492669</v>
      </c>
      <c r="F221">
        <v>0.01662175435061828</v>
      </c>
      <c r="G221">
        <v>-0.02998721004960725</v>
      </c>
      <c r="H221">
        <v>0.09</v>
      </c>
      <c r="I221">
        <v>0.07411833659790834</v>
      </c>
      <c r="J221" t="s">
        <v>777</v>
      </c>
      <c r="K221" t="s">
        <v>345</v>
      </c>
      <c r="L221">
        <v>15.48</v>
      </c>
      <c r="M221">
        <v>6.6</v>
      </c>
      <c r="N221">
        <v>0.4263565891472868</v>
      </c>
      <c r="O221">
        <v>12</v>
      </c>
      <c r="P221">
        <v>0.08989440052011655</v>
      </c>
      <c r="Q221">
        <v>0.5024094853811431</v>
      </c>
      <c r="R221" t="s">
        <v>780</v>
      </c>
      <c r="S221" t="s">
        <v>788</v>
      </c>
      <c r="T221">
        <v>414636.050011</v>
      </c>
      <c r="U221" s="2">
        <v>44530</v>
      </c>
      <c r="V221" t="s">
        <v>802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17.07</v>
      </c>
      <c r="D222">
        <v>18</v>
      </c>
      <c r="E222">
        <v>0.9483333333333334</v>
      </c>
      <c r="F222">
        <v>0.02577621558289397</v>
      </c>
      <c r="G222">
        <v>0.01066632820046776</v>
      </c>
      <c r="H222">
        <v>0.04</v>
      </c>
      <c r="I222">
        <v>0.07374128160270965</v>
      </c>
      <c r="J222" t="s">
        <v>777</v>
      </c>
      <c r="K222" t="s">
        <v>777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-0.029010238907849</v>
      </c>
      <c r="R222" t="s">
        <v>780</v>
      </c>
      <c r="S222" t="s">
        <v>791</v>
      </c>
      <c r="T222">
        <v>60966.517848</v>
      </c>
      <c r="U222" s="2">
        <v>44497</v>
      </c>
      <c r="V222" t="s">
        <v>806</v>
      </c>
    </row>
    <row r="223" spans="1:22">
      <c r="A223" s="1" t="s">
        <v>243</v>
      </c>
      <c r="B223">
        <f>HYPERLINK("https://www.suredividend.com/sure-analysis-MDLZ/","Mondelez International Inc.")</f>
        <v>0</v>
      </c>
      <c r="C223">
        <v>64.94</v>
      </c>
      <c r="D223">
        <v>57</v>
      </c>
      <c r="E223">
        <v>1.139298245614035</v>
      </c>
      <c r="F223">
        <v>0.02155836156452109</v>
      </c>
      <c r="G223">
        <v>-0.02574528949445254</v>
      </c>
      <c r="H223">
        <v>0.08</v>
      </c>
      <c r="I223">
        <v>0.07361327669933782</v>
      </c>
      <c r="J223" t="s">
        <v>777</v>
      </c>
      <c r="K223" t="s">
        <v>345</v>
      </c>
      <c r="L223">
        <v>2.85</v>
      </c>
      <c r="M223">
        <v>1.4</v>
      </c>
      <c r="N223">
        <v>0.4912280701754386</v>
      </c>
      <c r="O223">
        <v>8</v>
      </c>
      <c r="P223">
        <v>0.08030860883184343</v>
      </c>
      <c r="Q223">
        <v>0.157103428368811</v>
      </c>
      <c r="R223" t="s">
        <v>780</v>
      </c>
      <c r="S223" t="s">
        <v>791</v>
      </c>
      <c r="T223">
        <v>90589.490252</v>
      </c>
      <c r="U223" s="2">
        <v>44514</v>
      </c>
      <c r="V223" t="s">
        <v>804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61.02</v>
      </c>
      <c r="D224">
        <v>65</v>
      </c>
      <c r="E224">
        <v>0.9387692307692308</v>
      </c>
      <c r="F224">
        <v>0.05768600458865945</v>
      </c>
      <c r="G224">
        <v>0.01271730391507364</v>
      </c>
      <c r="H224">
        <v>0.01</v>
      </c>
      <c r="I224">
        <v>0.07142454250805419</v>
      </c>
      <c r="J224" t="s">
        <v>777</v>
      </c>
      <c r="K224" t="s">
        <v>776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0.5506870341522171</v>
      </c>
      <c r="R224" t="s">
        <v>780</v>
      </c>
      <c r="S224" t="s">
        <v>793</v>
      </c>
      <c r="T224">
        <v>258332.248516</v>
      </c>
      <c r="U224" s="2">
        <v>44501</v>
      </c>
      <c r="V224" t="s">
        <v>803</v>
      </c>
    </row>
    <row r="225" spans="1:22">
      <c r="A225" s="1" t="s">
        <v>245</v>
      </c>
      <c r="B225">
        <f>HYPERLINK("https://www.suredividend.com/sure-analysis-UHT/","Universal Health Realty Income Trust")</f>
        <v>0</v>
      </c>
      <c r="C225">
        <v>58.94</v>
      </c>
      <c r="D225">
        <v>60</v>
      </c>
      <c r="E225">
        <v>0.9823333333333333</v>
      </c>
      <c r="F225">
        <v>0.04750593824228028</v>
      </c>
      <c r="G225">
        <v>0.003571278856661309</v>
      </c>
      <c r="H225">
        <v>0.027</v>
      </c>
      <c r="I225">
        <v>0.07077610729932737</v>
      </c>
      <c r="J225" t="s">
        <v>777</v>
      </c>
      <c r="K225" t="s">
        <v>776</v>
      </c>
      <c r="L225">
        <v>3.5</v>
      </c>
      <c r="M225">
        <v>2.8</v>
      </c>
      <c r="N225">
        <v>0.7999999999999999</v>
      </c>
      <c r="O225">
        <v>37</v>
      </c>
      <c r="P225">
        <v>0.009805797673485328</v>
      </c>
      <c r="Q225">
        <v>-0.029613738851835</v>
      </c>
      <c r="R225" t="s">
        <v>782</v>
      </c>
      <c r="S225" t="s">
        <v>794</v>
      </c>
      <c r="T225">
        <v>812.453243</v>
      </c>
      <c r="U225" s="2">
        <v>44531</v>
      </c>
      <c r="V225" t="s">
        <v>805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52.08</v>
      </c>
      <c r="D226">
        <v>54</v>
      </c>
      <c r="E226">
        <v>0.9644444444444444</v>
      </c>
      <c r="F226">
        <v>0.03225806451612903</v>
      </c>
      <c r="G226">
        <v>0.007266886328683997</v>
      </c>
      <c r="H226">
        <v>0.03</v>
      </c>
      <c r="I226">
        <v>0.0663119945369659</v>
      </c>
      <c r="J226" t="s">
        <v>777</v>
      </c>
      <c r="K226" t="s">
        <v>776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0.06456914384765701</v>
      </c>
      <c r="R226" t="s">
        <v>780</v>
      </c>
      <c r="S226" t="s">
        <v>789</v>
      </c>
      <c r="T226">
        <v>4414.997474</v>
      </c>
      <c r="U226" s="2">
        <v>44512</v>
      </c>
      <c r="V226" t="s">
        <v>801</v>
      </c>
    </row>
    <row r="227" spans="1:22">
      <c r="A227" s="1" t="s">
        <v>247</v>
      </c>
      <c r="B227">
        <f>HYPERLINK("https://www.suredividend.com/sure-analysis-FLO/","Flowers Foods, Inc.")</f>
        <v>0</v>
      </c>
      <c r="C227">
        <v>26.89</v>
      </c>
      <c r="D227">
        <v>25</v>
      </c>
      <c r="E227">
        <v>1.0756</v>
      </c>
      <c r="F227">
        <v>0.03123837857939754</v>
      </c>
      <c r="G227">
        <v>-0.01447001737501863</v>
      </c>
      <c r="H227">
        <v>0.05</v>
      </c>
      <c r="I227">
        <v>0.06477621308789328</v>
      </c>
      <c r="J227" t="s">
        <v>777</v>
      </c>
      <c r="K227" t="s">
        <v>777</v>
      </c>
      <c r="L227">
        <v>1.24</v>
      </c>
      <c r="M227">
        <v>0.84</v>
      </c>
      <c r="N227">
        <v>0.6774193548387096</v>
      </c>
      <c r="O227">
        <v>19</v>
      </c>
      <c r="P227">
        <v>0.05154749679728043</v>
      </c>
      <c r="Q227">
        <v>0.210007649732259</v>
      </c>
      <c r="R227" t="s">
        <v>780</v>
      </c>
      <c r="S227" t="s">
        <v>791</v>
      </c>
      <c r="T227">
        <v>5684.405661</v>
      </c>
      <c r="U227" s="2">
        <v>44513</v>
      </c>
      <c r="V227" t="s">
        <v>799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495.38</v>
      </c>
      <c r="D228">
        <v>358</v>
      </c>
      <c r="E228">
        <v>1.383743016759777</v>
      </c>
      <c r="F228">
        <v>0.01170818361661755</v>
      </c>
      <c r="G228">
        <v>-0.06289358349704577</v>
      </c>
      <c r="H228">
        <v>0.12</v>
      </c>
      <c r="I228">
        <v>0.06371567494005204</v>
      </c>
      <c r="J228" t="s">
        <v>777</v>
      </c>
      <c r="K228" t="s">
        <v>345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0.48803337366465</v>
      </c>
      <c r="R228" t="s">
        <v>780</v>
      </c>
      <c r="S228" t="s">
        <v>785</v>
      </c>
      <c r="T228">
        <v>466574.272225</v>
      </c>
      <c r="U228" s="2">
        <v>44491</v>
      </c>
      <c r="V228" t="s">
        <v>801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59.55</v>
      </c>
      <c r="D229">
        <v>53</v>
      </c>
      <c r="E229">
        <v>1.123584905660377</v>
      </c>
      <c r="F229">
        <v>0.02703610411418976</v>
      </c>
      <c r="G229">
        <v>-0.02303541512984764</v>
      </c>
      <c r="H229">
        <v>0.06</v>
      </c>
      <c r="I229">
        <v>0.06223116425056174</v>
      </c>
      <c r="J229" t="s">
        <v>777</v>
      </c>
      <c r="K229" t="s">
        <v>777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0.238004557020972</v>
      </c>
      <c r="R229" t="s">
        <v>780</v>
      </c>
      <c r="S229" t="s">
        <v>792</v>
      </c>
      <c r="T229">
        <v>14902.855325</v>
      </c>
      <c r="U229" s="2">
        <v>44513</v>
      </c>
      <c r="V229" t="s">
        <v>798</v>
      </c>
    </row>
    <row r="230" spans="1:22">
      <c r="A230" s="1" t="s">
        <v>250</v>
      </c>
      <c r="B230">
        <f>HYPERLINK("https://www.suredividend.com/sure-analysis-EQIX/","Equinix Inc")</f>
        <v>0</v>
      </c>
      <c r="C230">
        <v>818.76</v>
      </c>
      <c r="D230">
        <v>638</v>
      </c>
      <c r="E230">
        <v>1.283322884012539</v>
      </c>
      <c r="F230">
        <v>0.01402120279446969</v>
      </c>
      <c r="G230">
        <v>-0.04866645151370785</v>
      </c>
      <c r="H230">
        <v>0.1</v>
      </c>
      <c r="I230">
        <v>0.06172003212391886</v>
      </c>
      <c r="J230" t="s">
        <v>777</v>
      </c>
      <c r="K230" t="s">
        <v>526</v>
      </c>
      <c r="L230">
        <v>27.14</v>
      </c>
      <c r="M230">
        <v>11.48</v>
      </c>
      <c r="N230">
        <v>0.4229918938835667</v>
      </c>
      <c r="O230">
        <v>5</v>
      </c>
      <c r="P230">
        <v>0.1000160063233719</v>
      </c>
      <c r="Q230">
        <v>0.182640166606145</v>
      </c>
      <c r="R230" t="s">
        <v>782</v>
      </c>
      <c r="S230" t="s">
        <v>794</v>
      </c>
      <c r="T230">
        <v>73722.132912</v>
      </c>
      <c r="U230" s="2">
        <v>44505</v>
      </c>
      <c r="V230" t="s">
        <v>802</v>
      </c>
    </row>
    <row r="231" spans="1:22">
      <c r="A231" s="1" t="s">
        <v>251</v>
      </c>
      <c r="B231">
        <f>HYPERLINK("https://www.suredividend.com/sure-analysis-K/","Kellogg Co")</f>
        <v>0</v>
      </c>
      <c r="C231">
        <v>62.87</v>
      </c>
      <c r="D231">
        <v>62</v>
      </c>
      <c r="E231">
        <v>1.014032258064516</v>
      </c>
      <c r="F231">
        <v>0.03690154286623191</v>
      </c>
      <c r="G231">
        <v>-0.002783063548234321</v>
      </c>
      <c r="H231">
        <v>0.03</v>
      </c>
      <c r="I231">
        <v>0.0610784340760997</v>
      </c>
      <c r="J231" t="s">
        <v>777</v>
      </c>
      <c r="K231" t="s">
        <v>777</v>
      </c>
      <c r="L231">
        <v>4.15</v>
      </c>
      <c r="M231">
        <v>2.32</v>
      </c>
      <c r="N231">
        <v>0.5590361445783132</v>
      </c>
      <c r="O231">
        <v>17</v>
      </c>
      <c r="P231">
        <v>0.03003707999335203</v>
      </c>
      <c r="Q231">
        <v>0.059087907497001</v>
      </c>
      <c r="R231" t="s">
        <v>780</v>
      </c>
      <c r="S231" t="s">
        <v>791</v>
      </c>
      <c r="T231">
        <v>21446.390625</v>
      </c>
      <c r="U231" s="2">
        <v>44526</v>
      </c>
      <c r="V231" t="s">
        <v>801</v>
      </c>
    </row>
    <row r="232" spans="1:22">
      <c r="A232" s="1" t="s">
        <v>252</v>
      </c>
      <c r="B232">
        <f>HYPERLINK("https://www.suredividend.com/sure-analysis-IBM/","International Business Machines Corp.")</f>
        <v>0</v>
      </c>
      <c r="C232">
        <v>130.63</v>
      </c>
      <c r="D232">
        <v>114</v>
      </c>
      <c r="E232">
        <v>1.145877192982456</v>
      </c>
      <c r="F232">
        <v>0.05021817346704432</v>
      </c>
      <c r="G232">
        <v>-0.02686658615644877</v>
      </c>
      <c r="H232">
        <v>0.04</v>
      </c>
      <c r="I232">
        <v>0.06101045668782623</v>
      </c>
      <c r="J232" t="s">
        <v>777</v>
      </c>
      <c r="K232" t="s">
        <v>776</v>
      </c>
      <c r="L232">
        <v>10.32</v>
      </c>
      <c r="M232">
        <v>6.56</v>
      </c>
      <c r="N232">
        <v>0.6356589147286821</v>
      </c>
      <c r="O232">
        <v>26</v>
      </c>
      <c r="P232">
        <v>0.03996760299438673</v>
      </c>
      <c r="Q232">
        <v>0.107364230685763</v>
      </c>
      <c r="R232" t="s">
        <v>780</v>
      </c>
      <c r="S232" t="s">
        <v>787</v>
      </c>
      <c r="T232">
        <v>117086.291136</v>
      </c>
      <c r="U232" s="2">
        <v>44494</v>
      </c>
      <c r="V232" t="s">
        <v>800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48.52</v>
      </c>
      <c r="D233">
        <v>45</v>
      </c>
      <c r="E233">
        <v>1.078222222222222</v>
      </c>
      <c r="F233">
        <v>0.01607584501236603</v>
      </c>
      <c r="G233">
        <v>-0.01494984355834605</v>
      </c>
      <c r="H233">
        <v>0.06</v>
      </c>
      <c r="I233">
        <v>0.05859701291653541</v>
      </c>
      <c r="J233" t="s">
        <v>777</v>
      </c>
      <c r="K233" t="s">
        <v>526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0.05252882414829101</v>
      </c>
      <c r="R233" t="s">
        <v>780</v>
      </c>
      <c r="S233" t="s">
        <v>792</v>
      </c>
      <c r="T233">
        <v>635.835629</v>
      </c>
      <c r="U233" s="2">
        <v>44507</v>
      </c>
      <c r="V233" t="s">
        <v>795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67.67</v>
      </c>
      <c r="D234">
        <v>56.6</v>
      </c>
      <c r="E234">
        <v>1.195583038869258</v>
      </c>
      <c r="F234">
        <v>0.04137727205556376</v>
      </c>
      <c r="G234">
        <v>-0.03509612403831852</v>
      </c>
      <c r="H234">
        <v>0.058</v>
      </c>
      <c r="I234">
        <v>0.05850162052845942</v>
      </c>
      <c r="J234" t="s">
        <v>777</v>
      </c>
      <c r="K234" t="s">
        <v>776</v>
      </c>
      <c r="L234">
        <v>4.49</v>
      </c>
      <c r="M234">
        <v>2.8</v>
      </c>
      <c r="N234">
        <v>0.6236080178173719</v>
      </c>
      <c r="O234">
        <v>18</v>
      </c>
      <c r="P234">
        <v>0.02056514630321193</v>
      </c>
      <c r="Q234">
        <v>0.154620529620529</v>
      </c>
      <c r="R234" t="s">
        <v>780</v>
      </c>
      <c r="S234" t="s">
        <v>792</v>
      </c>
      <c r="T234">
        <v>25694.623748</v>
      </c>
      <c r="U234" s="2">
        <v>44509</v>
      </c>
      <c r="V234" t="s">
        <v>805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31.87</v>
      </c>
      <c r="D235">
        <v>28.6</v>
      </c>
      <c r="E235">
        <v>1.114335664335664</v>
      </c>
      <c r="F235">
        <v>0.02039535613429557</v>
      </c>
      <c r="G235">
        <v>-0.02141896703510127</v>
      </c>
      <c r="H235">
        <v>0.06</v>
      </c>
      <c r="I235">
        <v>0.05754495065977205</v>
      </c>
      <c r="J235" t="s">
        <v>777</v>
      </c>
      <c r="K235" t="s">
        <v>345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0.351362811445241</v>
      </c>
      <c r="R235" t="s">
        <v>780</v>
      </c>
      <c r="S235" t="s">
        <v>784</v>
      </c>
      <c r="T235">
        <v>61656.405945</v>
      </c>
      <c r="U235" s="2">
        <v>44411</v>
      </c>
      <c r="V235" t="s">
        <v>795</v>
      </c>
    </row>
    <row r="236" spans="1:22">
      <c r="A236" s="1" t="s">
        <v>256</v>
      </c>
      <c r="B236">
        <f>HYPERLINK("https://www.suredividend.com/sure-analysis-SBUX/","Starbucks Corp.")</f>
        <v>0</v>
      </c>
      <c r="C236">
        <v>112.37</v>
      </c>
      <c r="D236">
        <v>92</v>
      </c>
      <c r="E236">
        <v>1.221413043478261</v>
      </c>
      <c r="F236">
        <v>0.01744237785885912</v>
      </c>
      <c r="G236">
        <v>-0.03921217898305518</v>
      </c>
      <c r="H236">
        <v>0.08</v>
      </c>
      <c r="I236">
        <v>0.05605219611763501</v>
      </c>
      <c r="J236" t="s">
        <v>777</v>
      </c>
      <c r="K236" t="s">
        <v>345</v>
      </c>
      <c r="L236">
        <v>4</v>
      </c>
      <c r="M236">
        <v>1.96</v>
      </c>
      <c r="N236">
        <v>0.49</v>
      </c>
      <c r="O236">
        <v>11</v>
      </c>
      <c r="P236">
        <v>0.0800087729241854</v>
      </c>
      <c r="Q236">
        <v>0.11921976328756</v>
      </c>
      <c r="R236" t="s">
        <v>780</v>
      </c>
      <c r="S236" t="s">
        <v>788</v>
      </c>
      <c r="T236">
        <v>131832.484</v>
      </c>
      <c r="U236" s="2">
        <v>44504</v>
      </c>
      <c r="V236" t="s">
        <v>799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22.75</v>
      </c>
      <c r="D237">
        <v>23</v>
      </c>
      <c r="E237">
        <v>0.9891304347826086</v>
      </c>
      <c r="F237">
        <v>0.04395604395604396</v>
      </c>
      <c r="G237">
        <v>0.002188204739601129</v>
      </c>
      <c r="H237">
        <v>0.01</v>
      </c>
      <c r="I237">
        <v>0.0555841262597816</v>
      </c>
      <c r="J237" t="s">
        <v>777</v>
      </c>
      <c r="K237" t="s">
        <v>776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0.4475509347043171</v>
      </c>
      <c r="R237" t="s">
        <v>780</v>
      </c>
      <c r="S237" t="s">
        <v>788</v>
      </c>
      <c r="T237">
        <v>221.82135</v>
      </c>
      <c r="U237" s="2">
        <v>44509</v>
      </c>
      <c r="V237" t="s">
        <v>800</v>
      </c>
    </row>
    <row r="238" spans="1:22">
      <c r="A238" s="1" t="s">
        <v>258</v>
      </c>
      <c r="B238">
        <f>HYPERLINK("https://www.suredividend.com/sure-analysis-DTE/","DTE Energy Co.")</f>
        <v>0</v>
      </c>
      <c r="C238">
        <v>116.82</v>
      </c>
      <c r="D238">
        <v>102</v>
      </c>
      <c r="E238">
        <v>1.145294117647059</v>
      </c>
      <c r="F238">
        <v>0.0303030303030303</v>
      </c>
      <c r="G238">
        <v>-0.02676752084744116</v>
      </c>
      <c r="H238">
        <v>0.05</v>
      </c>
      <c r="I238">
        <v>0.05228560474693511</v>
      </c>
      <c r="J238" t="s">
        <v>777</v>
      </c>
      <c r="K238" t="s">
        <v>777</v>
      </c>
      <c r="L238">
        <v>6</v>
      </c>
      <c r="M238">
        <v>3.54</v>
      </c>
      <c r="N238">
        <v>0.59</v>
      </c>
      <c r="O238">
        <v>12</v>
      </c>
      <c r="P238">
        <v>0.05009123759249423</v>
      </c>
      <c r="Q238">
        <v>0.195551834878346</v>
      </c>
      <c r="R238" t="s">
        <v>780</v>
      </c>
      <c r="S238" t="s">
        <v>792</v>
      </c>
      <c r="T238">
        <v>22631.220616</v>
      </c>
      <c r="U238" s="2">
        <v>44498</v>
      </c>
      <c r="V238" t="s">
        <v>803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116.41</v>
      </c>
      <c r="D239">
        <v>122</v>
      </c>
      <c r="E239">
        <v>0.9541803278688524</v>
      </c>
      <c r="F239">
        <v>0.04604415428227816</v>
      </c>
      <c r="G239">
        <v>0.00942465547207072</v>
      </c>
      <c r="H239">
        <v>0</v>
      </c>
      <c r="I239">
        <v>0.05133072569116659</v>
      </c>
      <c r="J239" t="s">
        <v>777</v>
      </c>
      <c r="K239" t="s">
        <v>776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0.409777736871361</v>
      </c>
      <c r="R239" t="s">
        <v>780</v>
      </c>
      <c r="S239" t="s">
        <v>793</v>
      </c>
      <c r="T239">
        <v>224401.917831</v>
      </c>
      <c r="U239" s="2">
        <v>44501</v>
      </c>
      <c r="V239" t="s">
        <v>803</v>
      </c>
    </row>
    <row r="240" spans="1:22">
      <c r="A240" s="1" t="s">
        <v>260</v>
      </c>
      <c r="B240">
        <f>HYPERLINK("https://www.suredividend.com/sure-analysis-ICE/","Intercontinental Exchange Inc")</f>
        <v>0</v>
      </c>
      <c r="C240">
        <v>135.84</v>
      </c>
      <c r="D240">
        <v>107</v>
      </c>
      <c r="E240">
        <v>1.269532710280374</v>
      </c>
      <c r="F240">
        <v>0.009717314487632508</v>
      </c>
      <c r="G240">
        <v>-0.04660862004019495</v>
      </c>
      <c r="H240">
        <v>0.09</v>
      </c>
      <c r="I240">
        <v>0.05080352440049896</v>
      </c>
      <c r="J240" t="s">
        <v>777</v>
      </c>
      <c r="K240" t="s">
        <v>526</v>
      </c>
      <c r="L240">
        <v>5.1</v>
      </c>
      <c r="M240">
        <v>1.32</v>
      </c>
      <c r="N240">
        <v>0.2588235294117647</v>
      </c>
      <c r="O240">
        <v>9</v>
      </c>
      <c r="P240">
        <v>0.1203569122523565</v>
      </c>
      <c r="Q240">
        <v>0.224275699965932</v>
      </c>
      <c r="R240" t="s">
        <v>780</v>
      </c>
      <c r="S240" t="s">
        <v>789</v>
      </c>
      <c r="T240">
        <v>76532.845002</v>
      </c>
      <c r="U240" s="2">
        <v>44522</v>
      </c>
      <c r="V240" t="s">
        <v>800</v>
      </c>
    </row>
    <row r="241" spans="1:22">
      <c r="A241" s="1" t="s">
        <v>261</v>
      </c>
      <c r="B241">
        <f>HYPERLINK("https://www.suredividend.com/sure-analysis-NEP/","NextEra Energy Partners LP")</f>
        <v>0</v>
      </c>
      <c r="C241">
        <v>82.88</v>
      </c>
      <c r="D241">
        <v>72.8</v>
      </c>
      <c r="E241">
        <v>1.138461538461538</v>
      </c>
      <c r="F241">
        <v>0.03305984555984556</v>
      </c>
      <c r="G241">
        <v>-0.02560212675741991</v>
      </c>
      <c r="H241">
        <v>0.039</v>
      </c>
      <c r="I241">
        <v>0.04932193368436888</v>
      </c>
      <c r="J241" t="s">
        <v>777</v>
      </c>
      <c r="K241" t="s">
        <v>777</v>
      </c>
      <c r="L241">
        <v>6.62</v>
      </c>
      <c r="M241">
        <v>2.74</v>
      </c>
      <c r="N241">
        <v>0.4138972809667674</v>
      </c>
      <c r="O241">
        <v>7</v>
      </c>
      <c r="P241">
        <v>0.07860365022909654</v>
      </c>
      <c r="Q241">
        <v>0.286441146248862</v>
      </c>
      <c r="R241" t="s">
        <v>781</v>
      </c>
      <c r="S241" t="s">
        <v>792</v>
      </c>
      <c r="T241">
        <v>6350.216121</v>
      </c>
      <c r="U241" s="2">
        <v>44494</v>
      </c>
      <c r="V241" t="s">
        <v>805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212.19</v>
      </c>
      <c r="D242">
        <v>191</v>
      </c>
      <c r="E242">
        <v>1.110942408376963</v>
      </c>
      <c r="F242">
        <v>0.0192280503322494</v>
      </c>
      <c r="G242">
        <v>-0.02082190162897746</v>
      </c>
      <c r="H242">
        <v>0.05</v>
      </c>
      <c r="I242">
        <v>0.04809891490894791</v>
      </c>
      <c r="J242" t="s">
        <v>777</v>
      </c>
      <c r="K242" t="s">
        <v>345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0.255536127950012</v>
      </c>
      <c r="R242" t="s">
        <v>780</v>
      </c>
      <c r="S242" t="s">
        <v>786</v>
      </c>
      <c r="T242">
        <v>183417.036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HYPERLINK("https://www.suredividend.com/sure-analysis-KMB/","Kimberly-Clark Corp.")</f>
        <v>0</v>
      </c>
      <c r="C243">
        <v>138.89</v>
      </c>
      <c r="D243">
        <v>112</v>
      </c>
      <c r="E243">
        <v>1.240089285714286</v>
      </c>
      <c r="F243">
        <v>0.03283173734610123</v>
      </c>
      <c r="G243">
        <v>-0.0421237419597108</v>
      </c>
      <c r="H243">
        <v>0.06</v>
      </c>
      <c r="I243">
        <v>0.04792303059160918</v>
      </c>
      <c r="J243" t="s">
        <v>777</v>
      </c>
      <c r="K243" t="s">
        <v>776</v>
      </c>
      <c r="L243">
        <v>6.2</v>
      </c>
      <c r="M243">
        <v>4.56</v>
      </c>
      <c r="N243">
        <v>0.7354838709677418</v>
      </c>
      <c r="O243">
        <v>49</v>
      </c>
      <c r="P243">
        <v>0.03932663634209943</v>
      </c>
      <c r="Q243">
        <v>0.07633625646700601</v>
      </c>
      <c r="R243" t="s">
        <v>780</v>
      </c>
      <c r="S243" t="s">
        <v>791</v>
      </c>
      <c r="T243">
        <v>46766.585519</v>
      </c>
      <c r="U243" s="2">
        <v>44499</v>
      </c>
      <c r="V243" t="s">
        <v>801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56.86</v>
      </c>
      <c r="D244">
        <v>57</v>
      </c>
      <c r="E244">
        <v>0.9975438596491228</v>
      </c>
      <c r="F244">
        <v>0.02954625395708758</v>
      </c>
      <c r="G244">
        <v>0.0004919532916873859</v>
      </c>
      <c r="H244">
        <v>0.02</v>
      </c>
      <c r="I244">
        <v>0.04786930871330086</v>
      </c>
      <c r="J244" t="s">
        <v>777</v>
      </c>
      <c r="K244" t="s">
        <v>777</v>
      </c>
      <c r="L244">
        <v>3.15</v>
      </c>
      <c r="M244">
        <v>1.68</v>
      </c>
      <c r="N244">
        <v>0.5333333333333333</v>
      </c>
      <c r="O244">
        <v>29</v>
      </c>
      <c r="P244">
        <v>0.01946539682289394</v>
      </c>
      <c r="Q244">
        <v>0.08157256008947801</v>
      </c>
      <c r="R244" t="s">
        <v>780</v>
      </c>
      <c r="S244" t="s">
        <v>789</v>
      </c>
      <c r="T244">
        <v>1527.606901</v>
      </c>
      <c r="U244" s="2">
        <v>44490</v>
      </c>
      <c r="V244" t="s">
        <v>796</v>
      </c>
    </row>
    <row r="245" spans="1:22">
      <c r="A245" s="1" t="s">
        <v>265</v>
      </c>
      <c r="B245">
        <f>HYPERLINK("https://www.suredividend.com/sure-analysis-UVV/","Universal Corp.")</f>
        <v>0</v>
      </c>
      <c r="C245">
        <v>53.84</v>
      </c>
      <c r="D245">
        <v>48</v>
      </c>
      <c r="E245">
        <v>1.121666666666667</v>
      </c>
      <c r="F245">
        <v>0.05794947994056463</v>
      </c>
      <c r="G245">
        <v>-0.0227014886694975</v>
      </c>
      <c r="H245">
        <v>0.015</v>
      </c>
      <c r="I245">
        <v>0.04714673834988981</v>
      </c>
      <c r="J245" t="s">
        <v>777</v>
      </c>
      <c r="K245" t="s">
        <v>776</v>
      </c>
      <c r="L245">
        <v>4.4</v>
      </c>
      <c r="M245">
        <v>3.12</v>
      </c>
      <c r="N245">
        <v>0.7090909090909091</v>
      </c>
      <c r="O245">
        <v>50</v>
      </c>
      <c r="P245">
        <v>0.01005227214699711</v>
      </c>
      <c r="Q245">
        <v>0.168560005903572</v>
      </c>
      <c r="R245" t="s">
        <v>780</v>
      </c>
      <c r="S245" t="s">
        <v>791</v>
      </c>
      <c r="T245">
        <v>1324.861555</v>
      </c>
      <c r="U245" s="2">
        <v>44533</v>
      </c>
      <c r="V245" t="s">
        <v>797</v>
      </c>
    </row>
    <row r="246" spans="1:22">
      <c r="A246" s="1" t="s">
        <v>266</v>
      </c>
      <c r="B246">
        <f>HYPERLINK("https://www.suredividend.com/sure-analysis-SIEGY/","Siemens AG")</f>
        <v>0</v>
      </c>
      <c r="C246">
        <v>85.13500000000001</v>
      </c>
      <c r="D246">
        <v>74</v>
      </c>
      <c r="E246">
        <v>1.150472972972973</v>
      </c>
      <c r="F246">
        <v>0.02478416632407353</v>
      </c>
      <c r="G246">
        <v>-0.02764530422118061</v>
      </c>
      <c r="H246">
        <v>0.05</v>
      </c>
      <c r="I246">
        <v>0.04686260553456845</v>
      </c>
      <c r="J246" t="s">
        <v>777</v>
      </c>
      <c r="K246" t="s">
        <v>345</v>
      </c>
      <c r="L246">
        <v>4.6</v>
      </c>
      <c r="M246">
        <v>2.11</v>
      </c>
      <c r="N246">
        <v>0.4586956521739131</v>
      </c>
      <c r="O246">
        <v>0</v>
      </c>
      <c r="P246">
        <v>0.0597253677135221</v>
      </c>
      <c r="Q246">
        <v>0.192533968342905</v>
      </c>
      <c r="R246" t="s">
        <v>780</v>
      </c>
      <c r="S246" t="s">
        <v>786</v>
      </c>
      <c r="T246">
        <v>144729.5</v>
      </c>
      <c r="U246" s="2">
        <v>44513</v>
      </c>
      <c r="V246" t="s">
        <v>797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545.84</v>
      </c>
      <c r="D247">
        <v>370</v>
      </c>
      <c r="E247">
        <v>1.475243243243243</v>
      </c>
      <c r="F247">
        <v>0.00688846548439103</v>
      </c>
      <c r="G247">
        <v>-0.07481779026746416</v>
      </c>
      <c r="H247">
        <v>0.12</v>
      </c>
      <c r="I247">
        <v>0.04525979355379306</v>
      </c>
      <c r="J247" t="s">
        <v>777</v>
      </c>
      <c r="K247" t="s">
        <v>526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0.363187397059796</v>
      </c>
      <c r="R247" t="s">
        <v>780</v>
      </c>
      <c r="S247" t="s">
        <v>788</v>
      </c>
      <c r="T247">
        <v>19861.358358</v>
      </c>
      <c r="U247" s="2">
        <v>44486</v>
      </c>
      <c r="V247" t="s">
        <v>803</v>
      </c>
    </row>
    <row r="248" spans="1:22">
      <c r="A248" s="1" t="s">
        <v>268</v>
      </c>
      <c r="B248">
        <f>HYPERLINK("https://www.suredividend.com/sure-analysis-DE/","Deere &amp; Co.")</f>
        <v>0</v>
      </c>
      <c r="C248">
        <v>349.22</v>
      </c>
      <c r="D248">
        <v>370</v>
      </c>
      <c r="E248">
        <v>0.9438378378378379</v>
      </c>
      <c r="F248">
        <v>0.01202680258862608</v>
      </c>
      <c r="G248">
        <v>0.01162725903714956</v>
      </c>
      <c r="H248">
        <v>0.02</v>
      </c>
      <c r="I248">
        <v>0.04459632247644518</v>
      </c>
      <c r="J248" t="s">
        <v>777</v>
      </c>
      <c r="K248" t="s">
        <v>345</v>
      </c>
      <c r="L248">
        <v>21.75</v>
      </c>
      <c r="M248">
        <v>4.2</v>
      </c>
      <c r="N248">
        <v>0.1931034482758621</v>
      </c>
      <c r="O248">
        <v>1</v>
      </c>
      <c r="P248">
        <v>0.06997394153840619</v>
      </c>
      <c r="Q248">
        <v>0.317588076586269</v>
      </c>
      <c r="R248" t="s">
        <v>780</v>
      </c>
      <c r="S248" t="s">
        <v>786</v>
      </c>
      <c r="T248">
        <v>107352.77102</v>
      </c>
      <c r="U248" s="2">
        <v>44525</v>
      </c>
      <c r="V248" t="s">
        <v>799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135.42</v>
      </c>
      <c r="D249">
        <v>107</v>
      </c>
      <c r="E249">
        <v>1.265607476635514</v>
      </c>
      <c r="F249">
        <v>0.01358735784965293</v>
      </c>
      <c r="G249">
        <v>-0.04601797088708115</v>
      </c>
      <c r="H249">
        <v>0.08</v>
      </c>
      <c r="I249">
        <v>0.04452244739075861</v>
      </c>
      <c r="J249" t="s">
        <v>777</v>
      </c>
      <c r="K249" t="s">
        <v>526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0.448799353806815</v>
      </c>
      <c r="R249" t="s">
        <v>780</v>
      </c>
      <c r="S249" t="s">
        <v>786</v>
      </c>
      <c r="T249">
        <v>42940.977139</v>
      </c>
      <c r="U249" s="2">
        <v>44502</v>
      </c>
      <c r="V249" t="s">
        <v>795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132.99</v>
      </c>
      <c r="D250">
        <v>112</v>
      </c>
      <c r="E250">
        <v>1.187410714285714</v>
      </c>
      <c r="F250">
        <v>0.02977667493796526</v>
      </c>
      <c r="G250">
        <v>-0.03377158012709214</v>
      </c>
      <c r="H250">
        <v>0.05</v>
      </c>
      <c r="I250">
        <v>0.04440185951821252</v>
      </c>
      <c r="J250" t="s">
        <v>777</v>
      </c>
      <c r="K250" t="s">
        <v>777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0.18965619034499</v>
      </c>
      <c r="R250" t="s">
        <v>780</v>
      </c>
      <c r="S250" t="s">
        <v>791</v>
      </c>
      <c r="T250">
        <v>14411.224096</v>
      </c>
      <c r="U250" s="2">
        <v>44525</v>
      </c>
      <c r="V250" t="s">
        <v>799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84.90000000000001</v>
      </c>
      <c r="D251">
        <v>66</v>
      </c>
      <c r="E251">
        <v>1.286363636363636</v>
      </c>
      <c r="F251">
        <v>0.02402826855123675</v>
      </c>
      <c r="G251">
        <v>-0.04911663663106802</v>
      </c>
      <c r="H251">
        <v>0.07000000000000001</v>
      </c>
      <c r="I251">
        <v>0.04364722722731051</v>
      </c>
      <c r="J251" t="s">
        <v>777</v>
      </c>
      <c r="K251" t="s">
        <v>777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0.22963462906022</v>
      </c>
      <c r="R251" t="s">
        <v>780</v>
      </c>
      <c r="S251" t="s">
        <v>786</v>
      </c>
      <c r="T251">
        <v>127076.430296</v>
      </c>
      <c r="U251" s="2">
        <v>44497</v>
      </c>
      <c r="V251" t="s">
        <v>799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62.28</v>
      </c>
      <c r="D252">
        <v>51</v>
      </c>
      <c r="E252">
        <v>1.221176470588235</v>
      </c>
      <c r="F252">
        <v>0.02376364804110469</v>
      </c>
      <c r="G252">
        <v>-0.03917495606797117</v>
      </c>
      <c r="H252">
        <v>0.06</v>
      </c>
      <c r="I252">
        <v>0.04359368365927185</v>
      </c>
      <c r="J252" t="s">
        <v>777</v>
      </c>
      <c r="K252" t="s">
        <v>777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0.444646249556376</v>
      </c>
      <c r="R252" t="s">
        <v>780</v>
      </c>
      <c r="S252" t="s">
        <v>787</v>
      </c>
      <c r="T252">
        <v>262672.536245</v>
      </c>
      <c r="U252" s="2">
        <v>44518</v>
      </c>
      <c r="V252" t="s">
        <v>796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25.35</v>
      </c>
      <c r="D253">
        <v>21</v>
      </c>
      <c r="E253">
        <v>1.207142857142857</v>
      </c>
      <c r="F253">
        <v>0.03155818540433925</v>
      </c>
      <c r="G253">
        <v>-0.03695126256816972</v>
      </c>
      <c r="H253">
        <v>0.05</v>
      </c>
      <c r="I253">
        <v>0.04306169434469886</v>
      </c>
      <c r="J253" t="s">
        <v>777</v>
      </c>
      <c r="K253" t="s">
        <v>777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0.53411360307912</v>
      </c>
      <c r="R253" t="s">
        <v>780</v>
      </c>
      <c r="S253" t="s">
        <v>791</v>
      </c>
      <c r="T253">
        <v>911.189475</v>
      </c>
      <c r="U253" s="2">
        <v>44513</v>
      </c>
      <c r="V253" t="s">
        <v>802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232.13</v>
      </c>
      <c r="D254">
        <v>204</v>
      </c>
      <c r="E254">
        <v>1.137892156862745</v>
      </c>
      <c r="F254">
        <v>0.01723172360315341</v>
      </c>
      <c r="G254">
        <v>-0.02550463189323138</v>
      </c>
      <c r="H254">
        <v>0.05</v>
      </c>
      <c r="I254">
        <v>0.04161067412665131</v>
      </c>
      <c r="J254" t="s">
        <v>777</v>
      </c>
      <c r="K254" t="s">
        <v>345</v>
      </c>
      <c r="L254">
        <v>12</v>
      </c>
      <c r="M254">
        <v>4</v>
      </c>
      <c r="N254">
        <v>0.3333333333333333</v>
      </c>
      <c r="O254">
        <v>2</v>
      </c>
      <c r="P254">
        <v>0.06498652656427617</v>
      </c>
      <c r="Q254">
        <v>0.4800688356660051</v>
      </c>
      <c r="R254" t="s">
        <v>780</v>
      </c>
      <c r="S254" t="s">
        <v>788</v>
      </c>
      <c r="T254">
        <v>14474.507237</v>
      </c>
      <c r="U254" s="2">
        <v>44517</v>
      </c>
      <c r="V254" t="s">
        <v>799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150.95</v>
      </c>
      <c r="D255">
        <v>120</v>
      </c>
      <c r="E255">
        <v>1.257916666666667</v>
      </c>
      <c r="F255">
        <v>0.03179860881086453</v>
      </c>
      <c r="G255">
        <v>-0.04485429807142305</v>
      </c>
      <c r="H255">
        <v>0.057</v>
      </c>
      <c r="I255">
        <v>0.04119006937600411</v>
      </c>
      <c r="J255" t="s">
        <v>777</v>
      </c>
      <c r="K255" t="s">
        <v>777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0.237963785356188</v>
      </c>
      <c r="R255" t="s">
        <v>780</v>
      </c>
      <c r="S255" t="s">
        <v>789</v>
      </c>
      <c r="T255">
        <v>19424.935389</v>
      </c>
      <c r="U255" s="2">
        <v>44490</v>
      </c>
      <c r="V255" t="s">
        <v>796</v>
      </c>
    </row>
    <row r="256" spans="1:22">
      <c r="A256" s="1" t="s">
        <v>276</v>
      </c>
      <c r="B256">
        <f>HYPERLINK("https://www.suredividend.com/sure-analysis-CONE/","CyrusOne Inc")</f>
        <v>0</v>
      </c>
      <c r="C256">
        <v>89.73</v>
      </c>
      <c r="D256">
        <v>73</v>
      </c>
      <c r="E256">
        <v>1.229178082191781</v>
      </c>
      <c r="F256">
        <v>0.02318065307032208</v>
      </c>
      <c r="G256">
        <v>-0.04042916757339132</v>
      </c>
      <c r="H256">
        <v>0.06</v>
      </c>
      <c r="I256">
        <v>0.04012078065996172</v>
      </c>
      <c r="J256" t="s">
        <v>777</v>
      </c>
      <c r="K256" t="s">
        <v>345</v>
      </c>
      <c r="L256">
        <v>4.06</v>
      </c>
      <c r="M256">
        <v>2.08</v>
      </c>
      <c r="N256">
        <v>0.5123152709359606</v>
      </c>
      <c r="O256">
        <v>8</v>
      </c>
      <c r="P256">
        <v>0.03496752704080697</v>
      </c>
      <c r="Q256">
        <v>0.266419489282785</v>
      </c>
      <c r="R256" t="s">
        <v>782</v>
      </c>
      <c r="S256" t="s">
        <v>794</v>
      </c>
      <c r="T256">
        <v>11387.838077</v>
      </c>
      <c r="U256" s="2">
        <v>44500</v>
      </c>
      <c r="V256" t="s">
        <v>795</v>
      </c>
    </row>
    <row r="257" spans="1:22">
      <c r="A257" s="1" t="s">
        <v>277</v>
      </c>
      <c r="B257">
        <f>HYPERLINK("https://www.suredividend.com/sure-analysis-CVS/","CVS Health Corp")</f>
        <v>0</v>
      </c>
      <c r="C257">
        <v>101.31</v>
      </c>
      <c r="D257">
        <v>87</v>
      </c>
      <c r="E257">
        <v>1.16448275862069</v>
      </c>
      <c r="F257">
        <v>0.02171552660152009</v>
      </c>
      <c r="G257">
        <v>-0.02999630758853944</v>
      </c>
      <c r="H257">
        <v>0.05</v>
      </c>
      <c r="I257">
        <v>0.03967365029992531</v>
      </c>
      <c r="J257" t="s">
        <v>777</v>
      </c>
      <c r="K257" t="s">
        <v>345</v>
      </c>
      <c r="L257">
        <v>7.95</v>
      </c>
      <c r="M257">
        <v>2.2</v>
      </c>
      <c r="N257">
        <v>0.2767295597484277</v>
      </c>
      <c r="O257">
        <v>1</v>
      </c>
      <c r="P257">
        <v>0.02996744995959233</v>
      </c>
      <c r="Q257">
        <v>0.5274023305285981</v>
      </c>
      <c r="R257" t="s">
        <v>780</v>
      </c>
      <c r="S257" t="s">
        <v>785</v>
      </c>
      <c r="T257">
        <v>133735.142541</v>
      </c>
      <c r="U257" s="2">
        <v>44503</v>
      </c>
      <c r="V257" t="s">
        <v>796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68.87</v>
      </c>
      <c r="D258">
        <v>72</v>
      </c>
      <c r="E258">
        <v>0.9565277777777779</v>
      </c>
      <c r="F258">
        <v>0.02265137215042834</v>
      </c>
      <c r="G258">
        <v>0.008928715175320345</v>
      </c>
      <c r="H258">
        <v>0.005</v>
      </c>
      <c r="I258">
        <v>0.03647902628252297</v>
      </c>
      <c r="J258" t="s">
        <v>777</v>
      </c>
      <c r="K258" t="s">
        <v>345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0.6908704778973981</v>
      </c>
      <c r="R258" t="s">
        <v>780</v>
      </c>
      <c r="S258" t="s">
        <v>792</v>
      </c>
      <c r="T258">
        <v>2860.858698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HYPERLINK("https://www.suredividend.com/sure-analysis-ARTNA/","Artesian Resources Corp.")</f>
        <v>0</v>
      </c>
      <c r="C259">
        <v>46.81</v>
      </c>
      <c r="D259">
        <v>44.6</v>
      </c>
      <c r="E259">
        <v>1.049551569506727</v>
      </c>
      <c r="F259">
        <v>0.0228583635975219</v>
      </c>
      <c r="G259">
        <v>-0.00962597013171651</v>
      </c>
      <c r="H259">
        <v>0.023</v>
      </c>
      <c r="I259">
        <v>0.03594265210747172</v>
      </c>
      <c r="J259" t="s">
        <v>777</v>
      </c>
      <c r="K259" t="s">
        <v>777</v>
      </c>
      <c r="L259">
        <v>2.23</v>
      </c>
      <c r="M259">
        <v>1.07</v>
      </c>
      <c r="N259">
        <v>0.4798206278026906</v>
      </c>
      <c r="O259">
        <v>24</v>
      </c>
      <c r="P259">
        <v>0.03158554278749115</v>
      </c>
      <c r="Q259">
        <v>0.297196935057017</v>
      </c>
      <c r="R259" t="s">
        <v>780</v>
      </c>
      <c r="S259" t="s">
        <v>792</v>
      </c>
      <c r="T259">
        <v>399.04762</v>
      </c>
      <c r="U259" s="2">
        <v>44509</v>
      </c>
      <c r="V259" t="s">
        <v>805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110.09</v>
      </c>
      <c r="D260">
        <v>90</v>
      </c>
      <c r="E260">
        <v>1.223222222222222</v>
      </c>
      <c r="F260">
        <v>0.03669724770642202</v>
      </c>
      <c r="G260">
        <v>-0.0394965535055134</v>
      </c>
      <c r="H260">
        <v>0.04</v>
      </c>
      <c r="I260">
        <v>0.0358065414483022</v>
      </c>
      <c r="J260" t="s">
        <v>777</v>
      </c>
      <c r="K260" t="s">
        <v>777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0.196975215687127</v>
      </c>
      <c r="R260" t="s">
        <v>780</v>
      </c>
      <c r="S260" t="s">
        <v>792</v>
      </c>
      <c r="T260">
        <v>22126.031097</v>
      </c>
      <c r="U260" s="2">
        <v>44510</v>
      </c>
      <c r="V260" t="s">
        <v>797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41.27</v>
      </c>
      <c r="D261">
        <v>36</v>
      </c>
      <c r="E261">
        <v>1.146388888888889</v>
      </c>
      <c r="F261">
        <v>0.03198449236733705</v>
      </c>
      <c r="G261">
        <v>-0.02695347417805016</v>
      </c>
      <c r="H261">
        <v>0.03</v>
      </c>
      <c r="I261">
        <v>0.03472812475081444</v>
      </c>
      <c r="J261" t="s">
        <v>777</v>
      </c>
      <c r="K261" t="s">
        <v>776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0.363432135636224</v>
      </c>
      <c r="R261" t="s">
        <v>780</v>
      </c>
      <c r="S261" t="s">
        <v>789</v>
      </c>
      <c r="T261">
        <v>1332.032872</v>
      </c>
      <c r="U261" s="2">
        <v>44495</v>
      </c>
      <c r="V261" t="s">
        <v>796</v>
      </c>
    </row>
    <row r="262" spans="1:22">
      <c r="A262" s="1" t="s">
        <v>282</v>
      </c>
      <c r="B262">
        <f>HYPERLINK("https://www.suredividend.com/sure-analysis-CTSH/","Cognizant Technology Solutions Corp.")</f>
        <v>0</v>
      </c>
      <c r="C262">
        <v>86.29000000000001</v>
      </c>
      <c r="D262">
        <v>65</v>
      </c>
      <c r="E262">
        <v>1.327538461538462</v>
      </c>
      <c r="F262">
        <v>0.01112527523467377</v>
      </c>
      <c r="G262">
        <v>-0.05508971199691404</v>
      </c>
      <c r="H262">
        <v>0.08</v>
      </c>
      <c r="I262">
        <v>0.03290154427361358</v>
      </c>
      <c r="J262" t="s">
        <v>777</v>
      </c>
      <c r="K262" t="s">
        <v>526</v>
      </c>
      <c r="L262">
        <v>4.05</v>
      </c>
      <c r="M262">
        <v>0.96</v>
      </c>
      <c r="N262">
        <v>0.237037037037037</v>
      </c>
      <c r="O262">
        <v>2</v>
      </c>
      <c r="P262">
        <v>0.07214502590085092</v>
      </c>
      <c r="Q262">
        <v>0.07900265092782401</v>
      </c>
      <c r="R262" t="s">
        <v>780</v>
      </c>
      <c r="S262" t="s">
        <v>787</v>
      </c>
      <c r="T262">
        <v>45323.972127</v>
      </c>
      <c r="U262" s="2">
        <v>44504</v>
      </c>
      <c r="V262" t="s">
        <v>803</v>
      </c>
    </row>
    <row r="263" spans="1:22">
      <c r="A263" s="1" t="s">
        <v>283</v>
      </c>
      <c r="B263">
        <f>HYPERLINK("https://www.suredividend.com/sure-analysis-AMX/","America Movil S.A.B.DE C.V.")</f>
        <v>0</v>
      </c>
      <c r="C263">
        <v>20.75</v>
      </c>
      <c r="D263">
        <v>18</v>
      </c>
      <c r="E263">
        <v>1.152777777777778</v>
      </c>
      <c r="F263">
        <v>0.01927710843373494</v>
      </c>
      <c r="G263">
        <v>-0.02803443077401879</v>
      </c>
      <c r="H263">
        <v>0.04</v>
      </c>
      <c r="I263">
        <v>0.03116116559087834</v>
      </c>
      <c r="J263" t="s">
        <v>777</v>
      </c>
      <c r="K263" t="s">
        <v>345</v>
      </c>
      <c r="L263">
        <v>1.35</v>
      </c>
      <c r="M263">
        <v>0.4</v>
      </c>
      <c r="N263">
        <v>0.2962962962962963</v>
      </c>
      <c r="O263">
        <v>0</v>
      </c>
      <c r="P263">
        <v>0.04563955259127317</v>
      </c>
      <c r="Q263">
        <v>0.502762911087131</v>
      </c>
      <c r="R263" t="s">
        <v>780</v>
      </c>
      <c r="S263" t="s">
        <v>784</v>
      </c>
      <c r="T263">
        <v>45877.845696</v>
      </c>
      <c r="U263" s="2">
        <v>44494</v>
      </c>
      <c r="V263" t="s">
        <v>803</v>
      </c>
    </row>
    <row r="264" spans="1:22">
      <c r="A264" s="1" t="s">
        <v>284</v>
      </c>
      <c r="B264">
        <f>HYPERLINK("https://www.suredividend.com/sure-analysis-LRLCF/","L'Oréal SA")</f>
        <v>0</v>
      </c>
      <c r="C264">
        <v>475.08</v>
      </c>
      <c r="D264">
        <v>400</v>
      </c>
      <c r="E264">
        <v>1.1877</v>
      </c>
      <c r="F264">
        <v>0.01094552496421655</v>
      </c>
      <c r="G264">
        <v>-0.03381865317837696</v>
      </c>
      <c r="H264">
        <v>0.055</v>
      </c>
      <c r="I264">
        <v>0.03082731698642327</v>
      </c>
      <c r="J264" t="s">
        <v>777</v>
      </c>
      <c r="K264" t="s">
        <v>526</v>
      </c>
      <c r="L264">
        <v>10</v>
      </c>
      <c r="M264">
        <v>5.2</v>
      </c>
      <c r="N264">
        <v>0.52</v>
      </c>
      <c r="O264">
        <v>21</v>
      </c>
      <c r="P264">
        <v>0.05010553388446692</v>
      </c>
      <c r="Q264">
        <v>0.283167675021607</v>
      </c>
      <c r="R264" t="s">
        <v>780</v>
      </c>
      <c r="S264" t="s">
        <v>791</v>
      </c>
      <c r="T264">
        <v>264938.982888</v>
      </c>
      <c r="U264" s="2">
        <v>44505</v>
      </c>
      <c r="V264" t="s">
        <v>795</v>
      </c>
    </row>
    <row r="265" spans="1:22">
      <c r="A265" s="1" t="s">
        <v>285</v>
      </c>
      <c r="B265">
        <f>HYPERLINK("https://www.suredividend.com/sure-analysis-CLX/","Clorox Co.")</f>
        <v>0</v>
      </c>
      <c r="C265">
        <v>169.83</v>
      </c>
      <c r="D265">
        <v>127</v>
      </c>
      <c r="E265">
        <v>1.337244094488189</v>
      </c>
      <c r="F265">
        <v>0.02732143908614497</v>
      </c>
      <c r="G265">
        <v>-0.05646533128404163</v>
      </c>
      <c r="H265">
        <v>0.06</v>
      </c>
      <c r="I265">
        <v>0.02918847049007622</v>
      </c>
      <c r="J265" t="s">
        <v>777</v>
      </c>
      <c r="K265" t="s">
        <v>777</v>
      </c>
      <c r="L265">
        <v>5.5</v>
      </c>
      <c r="M265">
        <v>4.64</v>
      </c>
      <c r="N265">
        <v>0.8436363636363636</v>
      </c>
      <c r="O265">
        <v>44</v>
      </c>
      <c r="P265">
        <v>0.04017423812999366</v>
      </c>
      <c r="Q265">
        <v>-0.139739302967476</v>
      </c>
      <c r="R265" t="s">
        <v>780</v>
      </c>
      <c r="S265" t="s">
        <v>791</v>
      </c>
      <c r="T265">
        <v>20865.78355</v>
      </c>
      <c r="U265" s="2">
        <v>44519</v>
      </c>
      <c r="V265" t="s">
        <v>801</v>
      </c>
    </row>
    <row r="266" spans="1:22">
      <c r="A266" s="1" t="s">
        <v>286</v>
      </c>
      <c r="B266">
        <f>HYPERLINK("https://www.suredividend.com/sure-analysis-HON/","Honeywell International Inc")</f>
        <v>0</v>
      </c>
      <c r="C266">
        <v>205.22</v>
      </c>
      <c r="D266">
        <v>137</v>
      </c>
      <c r="E266">
        <v>1.497956204379562</v>
      </c>
      <c r="F266">
        <v>0.01910145210018517</v>
      </c>
      <c r="G266">
        <v>-0.07764060287198371</v>
      </c>
      <c r="H266">
        <v>0.09</v>
      </c>
      <c r="I266">
        <v>0.02865692783450413</v>
      </c>
      <c r="J266" t="s">
        <v>777</v>
      </c>
      <c r="K266" t="s">
        <v>345</v>
      </c>
      <c r="L266">
        <v>8.050000000000001</v>
      </c>
      <c r="M266">
        <v>3.92</v>
      </c>
      <c r="N266">
        <v>0.4869565217391304</v>
      </c>
      <c r="O266">
        <v>12</v>
      </c>
      <c r="P266">
        <v>0.08994918009420316</v>
      </c>
      <c r="Q266">
        <v>-0.006015634838372001</v>
      </c>
      <c r="R266" t="s">
        <v>780</v>
      </c>
      <c r="S266" t="s">
        <v>786</v>
      </c>
      <c r="T266">
        <v>141278.16293</v>
      </c>
      <c r="U266" s="2">
        <v>44491</v>
      </c>
      <c r="V266" t="s">
        <v>796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64.58</v>
      </c>
      <c r="D267">
        <v>54</v>
      </c>
      <c r="E267">
        <v>1.195925925925926</v>
      </c>
      <c r="F267">
        <v>0.03158872716011149</v>
      </c>
      <c r="G267">
        <v>-0.03515146040878259</v>
      </c>
      <c r="H267">
        <v>0.03</v>
      </c>
      <c r="I267">
        <v>0.02784622932387326</v>
      </c>
      <c r="J267" t="s">
        <v>777</v>
      </c>
      <c r="K267" t="s">
        <v>777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0.17177860678463</v>
      </c>
      <c r="R267" t="s">
        <v>780</v>
      </c>
      <c r="S267" t="s">
        <v>792</v>
      </c>
      <c r="T267">
        <v>32650.16731</v>
      </c>
      <c r="U267" s="2">
        <v>44513</v>
      </c>
      <c r="V267" t="s">
        <v>798</v>
      </c>
    </row>
    <row r="268" spans="1:22">
      <c r="A268" s="1" t="s">
        <v>288</v>
      </c>
      <c r="B268">
        <f>HYPERLINK("https://www.suredividend.com/sure-analysis-PRGO/","Perrigo Company plc")</f>
        <v>0</v>
      </c>
      <c r="C268">
        <v>39.54</v>
      </c>
      <c r="D268">
        <v>31</v>
      </c>
      <c r="E268">
        <v>1.275483870967742</v>
      </c>
      <c r="F268">
        <v>0.02427921092564492</v>
      </c>
      <c r="G268">
        <v>-0.04749995301334897</v>
      </c>
      <c r="H268">
        <v>0.05</v>
      </c>
      <c r="I268">
        <v>0.02688155288316807</v>
      </c>
      <c r="J268" t="s">
        <v>777</v>
      </c>
      <c r="K268" t="s">
        <v>777</v>
      </c>
      <c r="L268">
        <v>2.05</v>
      </c>
      <c r="M268">
        <v>0.96</v>
      </c>
      <c r="N268">
        <v>0.4682926829268293</v>
      </c>
      <c r="O268">
        <v>19</v>
      </c>
      <c r="P268">
        <v>0.05081623913789235</v>
      </c>
      <c r="Q268">
        <v>-0.07283650125919701</v>
      </c>
      <c r="R268" t="s">
        <v>780</v>
      </c>
      <c r="S268" t="s">
        <v>785</v>
      </c>
      <c r="T268">
        <v>5289.419255</v>
      </c>
      <c r="U268" s="2">
        <v>44510</v>
      </c>
      <c r="V268" t="s">
        <v>796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83.77</v>
      </c>
      <c r="D269">
        <v>65</v>
      </c>
      <c r="E269">
        <v>1.288769230769231</v>
      </c>
      <c r="F269">
        <v>0.03700608809836457</v>
      </c>
      <c r="G269">
        <v>-0.04947188246376899</v>
      </c>
      <c r="H269">
        <v>0.035</v>
      </c>
      <c r="I269">
        <v>0.0241806072365891</v>
      </c>
      <c r="J269" t="s">
        <v>777</v>
      </c>
      <c r="K269" t="s">
        <v>776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0.231600242291655</v>
      </c>
      <c r="R269" t="s">
        <v>780</v>
      </c>
      <c r="S269" t="s">
        <v>792</v>
      </c>
      <c r="T269">
        <v>29602.794056</v>
      </c>
      <c r="U269" s="2">
        <v>44507</v>
      </c>
      <c r="V269" t="s">
        <v>796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287.53</v>
      </c>
      <c r="D270">
        <v>216</v>
      </c>
      <c r="E270">
        <v>1.331157407407407</v>
      </c>
      <c r="F270">
        <v>0.0151636350989462</v>
      </c>
      <c r="G270">
        <v>-0.05560404694961685</v>
      </c>
      <c r="H270">
        <v>0.065</v>
      </c>
      <c r="I270">
        <v>0.02390098264319374</v>
      </c>
      <c r="J270" t="s">
        <v>777</v>
      </c>
      <c r="K270" t="s">
        <v>526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0.252757412609136</v>
      </c>
      <c r="R270" t="s">
        <v>780</v>
      </c>
      <c r="S270" t="s">
        <v>786</v>
      </c>
      <c r="T270">
        <v>73028.30475</v>
      </c>
      <c r="U270" s="2">
        <v>44503</v>
      </c>
      <c r="V270" t="s">
        <v>797</v>
      </c>
    </row>
    <row r="271" spans="1:22">
      <c r="A271" s="1" t="s">
        <v>291</v>
      </c>
      <c r="B271">
        <f>HYPERLINK("https://www.suredividend.com/sure-analysis-INGR/","Ingredion Inc")</f>
        <v>0</v>
      </c>
      <c r="C271">
        <v>94.81</v>
      </c>
      <c r="D271">
        <v>79</v>
      </c>
      <c r="E271">
        <v>1.200126582278481</v>
      </c>
      <c r="F271">
        <v>0.02742326758780719</v>
      </c>
      <c r="G271">
        <v>-0.03582783632403697</v>
      </c>
      <c r="H271">
        <v>0.03</v>
      </c>
      <c r="I271">
        <v>0.0238575108214798</v>
      </c>
      <c r="J271" t="s">
        <v>777</v>
      </c>
      <c r="K271" t="s">
        <v>777</v>
      </c>
      <c r="L271">
        <v>5.3</v>
      </c>
      <c r="M271">
        <v>2.6</v>
      </c>
      <c r="N271">
        <v>0.4905660377358491</v>
      </c>
      <c r="O271">
        <v>11</v>
      </c>
      <c r="P271">
        <v>0.05010553388446692</v>
      </c>
      <c r="Q271">
        <v>0.226391542412761</v>
      </c>
      <c r="R271" t="s">
        <v>780</v>
      </c>
      <c r="S271" t="s">
        <v>791</v>
      </c>
      <c r="T271">
        <v>6308.271713</v>
      </c>
      <c r="U271" s="2">
        <v>44509</v>
      </c>
      <c r="V271" t="s">
        <v>806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66.61</v>
      </c>
      <c r="D272">
        <v>53</v>
      </c>
      <c r="E272">
        <v>1.256792452830189</v>
      </c>
      <c r="F272">
        <v>0.02747335234949707</v>
      </c>
      <c r="G272">
        <v>-0.04468348163919045</v>
      </c>
      <c r="H272">
        <v>0.04</v>
      </c>
      <c r="I272">
        <v>0.02346639846183174</v>
      </c>
      <c r="J272" t="s">
        <v>777</v>
      </c>
      <c r="K272" t="s">
        <v>777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0.05760543902295701</v>
      </c>
      <c r="R272" t="s">
        <v>780</v>
      </c>
      <c r="S272" t="s">
        <v>792</v>
      </c>
      <c r="T272">
        <v>35881.179718</v>
      </c>
      <c r="U272" s="2">
        <v>44502</v>
      </c>
      <c r="V272" t="s">
        <v>799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166.45</v>
      </c>
      <c r="D273">
        <v>136</v>
      </c>
      <c r="E273">
        <v>1.223897058823529</v>
      </c>
      <c r="F273">
        <v>0.01153499549414239</v>
      </c>
      <c r="G273">
        <v>-0.03960249801823923</v>
      </c>
      <c r="H273">
        <v>0.05</v>
      </c>
      <c r="I273">
        <v>0.02103957706109116</v>
      </c>
      <c r="J273" t="s">
        <v>777</v>
      </c>
      <c r="K273" t="s">
        <v>526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0.371213818737807</v>
      </c>
      <c r="R273" t="s">
        <v>780</v>
      </c>
      <c r="S273" t="s">
        <v>789</v>
      </c>
      <c r="T273">
        <v>34501.4231</v>
      </c>
      <c r="U273" s="2">
        <v>44518</v>
      </c>
      <c r="V273" t="s">
        <v>801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374.28</v>
      </c>
      <c r="D274">
        <v>244</v>
      </c>
      <c r="E274">
        <v>1.533934426229508</v>
      </c>
      <c r="F274">
        <v>0.006198567917067436</v>
      </c>
      <c r="G274">
        <v>-0.08200853980331102</v>
      </c>
      <c r="H274">
        <v>0.1</v>
      </c>
      <c r="I274">
        <v>0.02021687002174244</v>
      </c>
      <c r="J274" t="s">
        <v>777</v>
      </c>
      <c r="K274" t="s">
        <v>526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0.38168976804608</v>
      </c>
      <c r="R274" t="s">
        <v>780</v>
      </c>
      <c r="S274" t="s">
        <v>787</v>
      </c>
      <c r="T274">
        <v>41003.666015</v>
      </c>
      <c r="U274" s="2">
        <v>44502</v>
      </c>
      <c r="V274" t="s">
        <v>795</v>
      </c>
    </row>
    <row r="275" spans="1:22">
      <c r="A275" s="1" t="s">
        <v>295</v>
      </c>
      <c r="B275">
        <f>HYPERLINK("https://www.suredividend.com/sure-analysis-PEP/","PepsiCo Inc")</f>
        <v>0</v>
      </c>
      <c r="C275">
        <v>169.78</v>
      </c>
      <c r="D275">
        <v>124</v>
      </c>
      <c r="E275">
        <v>1.369193548387097</v>
      </c>
      <c r="F275">
        <v>0.02532689362704676</v>
      </c>
      <c r="G275">
        <v>-0.06091039950707011</v>
      </c>
      <c r="H275">
        <v>0.055</v>
      </c>
      <c r="I275">
        <v>0.01992492223442754</v>
      </c>
      <c r="J275" t="s">
        <v>777</v>
      </c>
      <c r="K275" t="s">
        <v>777</v>
      </c>
      <c r="L275">
        <v>6.2</v>
      </c>
      <c r="M275">
        <v>4.3</v>
      </c>
      <c r="N275">
        <v>0.6935483870967741</v>
      </c>
      <c r="O275">
        <v>49</v>
      </c>
      <c r="P275">
        <v>0.0550027021888726</v>
      </c>
      <c r="Q275">
        <v>0.210025436333974</v>
      </c>
      <c r="R275" t="s">
        <v>780</v>
      </c>
      <c r="S275" t="s">
        <v>791</v>
      </c>
      <c r="T275">
        <v>234746.816663</v>
      </c>
      <c r="U275" s="2">
        <v>44474</v>
      </c>
      <c r="V275" t="s">
        <v>796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14.12</v>
      </c>
      <c r="D276">
        <v>11</v>
      </c>
      <c r="E276">
        <v>1.283636363636363</v>
      </c>
      <c r="F276">
        <v>0.01628895184135978</v>
      </c>
      <c r="G276">
        <v>-0.04871292149968998</v>
      </c>
      <c r="H276">
        <v>0.05</v>
      </c>
      <c r="I276">
        <v>0.01664833748691152</v>
      </c>
      <c r="J276" t="s">
        <v>777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0.181461430974036</v>
      </c>
      <c r="R276" t="s">
        <v>780</v>
      </c>
      <c r="S276" t="s">
        <v>786</v>
      </c>
      <c r="T276">
        <v>2230.946402</v>
      </c>
      <c r="U276" s="2">
        <v>44511</v>
      </c>
      <c r="V276" t="s">
        <v>795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143.09</v>
      </c>
      <c r="D277">
        <v>113</v>
      </c>
      <c r="E277">
        <v>1.266283185840708</v>
      </c>
      <c r="F277">
        <v>0.02208400307498777</v>
      </c>
      <c r="G277">
        <v>-0.04611980467601862</v>
      </c>
      <c r="H277">
        <v>0.04</v>
      </c>
      <c r="I277">
        <v>0.01647097625617588</v>
      </c>
      <c r="J277" t="s">
        <v>777</v>
      </c>
      <c r="K277" t="s">
        <v>345</v>
      </c>
      <c r="L277">
        <v>5.63</v>
      </c>
      <c r="M277">
        <v>3.16</v>
      </c>
      <c r="N277">
        <v>0.5612788632326821</v>
      </c>
      <c r="O277">
        <v>19</v>
      </c>
      <c r="P277">
        <v>0.03974975894363819</v>
      </c>
      <c r="Q277">
        <v>0.325796181884893</v>
      </c>
      <c r="R277" t="s">
        <v>780</v>
      </c>
      <c r="S277" t="s">
        <v>790</v>
      </c>
      <c r="T277">
        <v>36423.129371</v>
      </c>
      <c r="U277" s="2">
        <v>44516</v>
      </c>
      <c r="V277" t="s">
        <v>800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52.82</v>
      </c>
      <c r="D278">
        <v>40</v>
      </c>
      <c r="E278">
        <v>1.3205</v>
      </c>
      <c r="F278">
        <v>0.01135933358576297</v>
      </c>
      <c r="G278">
        <v>-0.05408455028859571</v>
      </c>
      <c r="H278">
        <v>0.06</v>
      </c>
      <c r="I278">
        <v>0.01532717313380472</v>
      </c>
      <c r="J278" t="s">
        <v>777</v>
      </c>
      <c r="K278" t="s">
        <v>526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0.394712660674489</v>
      </c>
      <c r="R278" t="s">
        <v>780</v>
      </c>
      <c r="S278" t="s">
        <v>786</v>
      </c>
      <c r="T278">
        <v>45773.016108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51.17</v>
      </c>
      <c r="D279">
        <v>42</v>
      </c>
      <c r="E279">
        <v>1.218333333333333</v>
      </c>
      <c r="F279">
        <v>0.02286495993746335</v>
      </c>
      <c r="G279">
        <v>-0.03872693236131708</v>
      </c>
      <c r="H279">
        <v>0.03</v>
      </c>
      <c r="I279">
        <v>0.01468924546969319</v>
      </c>
      <c r="J279" t="s">
        <v>777</v>
      </c>
      <c r="K279" t="s">
        <v>777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0.241679871294312</v>
      </c>
      <c r="R279" t="s">
        <v>780</v>
      </c>
      <c r="S279" t="s">
        <v>785</v>
      </c>
      <c r="T279">
        <v>287601.066872</v>
      </c>
      <c r="U279" s="2">
        <v>44490</v>
      </c>
      <c r="V279" t="s">
        <v>806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258.82</v>
      </c>
      <c r="D280">
        <v>151</v>
      </c>
      <c r="E280">
        <v>1.714039735099338</v>
      </c>
      <c r="F280">
        <v>0.006490997604512789</v>
      </c>
      <c r="G280">
        <v>-0.1021664646416296</v>
      </c>
      <c r="H280">
        <v>0.12</v>
      </c>
      <c r="I280">
        <v>0.01396749440704803</v>
      </c>
      <c r="J280" t="s">
        <v>777</v>
      </c>
      <c r="K280" t="s">
        <v>526</v>
      </c>
      <c r="L280">
        <v>6.3</v>
      </c>
      <c r="M280">
        <v>1.68</v>
      </c>
      <c r="N280">
        <v>0.2666666666666667</v>
      </c>
      <c r="O280">
        <v>1</v>
      </c>
      <c r="P280">
        <v>0.1003529239440031</v>
      </c>
      <c r="Q280">
        <v>0.241314348638496</v>
      </c>
      <c r="R280" t="s">
        <v>780</v>
      </c>
      <c r="S280" t="s">
        <v>785</v>
      </c>
      <c r="T280">
        <v>37716.063612</v>
      </c>
      <c r="U280" s="2">
        <v>44508</v>
      </c>
      <c r="V280" t="s">
        <v>797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245.64</v>
      </c>
      <c r="D281">
        <v>169</v>
      </c>
      <c r="E281">
        <v>1.453491124260355</v>
      </c>
      <c r="F281">
        <v>0.01921511154535092</v>
      </c>
      <c r="G281">
        <v>-0.07206506973905202</v>
      </c>
      <c r="H281">
        <v>0.07000000000000001</v>
      </c>
      <c r="I281">
        <v>0.0136031410514621</v>
      </c>
      <c r="J281" t="s">
        <v>777</v>
      </c>
      <c r="K281" t="s">
        <v>345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0.244481552146735</v>
      </c>
      <c r="R281" t="s">
        <v>780</v>
      </c>
      <c r="S281" t="s">
        <v>786</v>
      </c>
      <c r="T281">
        <v>157915.986948</v>
      </c>
      <c r="U281" s="2">
        <v>44490</v>
      </c>
      <c r="V281" t="s">
        <v>796</v>
      </c>
    </row>
    <row r="282" spans="1:22">
      <c r="A282" s="1" t="s">
        <v>302</v>
      </c>
      <c r="B282">
        <f>HYPERLINK("https://www.suredividend.com/sure-analysis-MGRC/","McGrath Rentcorp")</f>
        <v>0</v>
      </c>
      <c r="C282">
        <v>79.59999999999999</v>
      </c>
      <c r="D282">
        <v>65</v>
      </c>
      <c r="E282">
        <v>1.224615384615384</v>
      </c>
      <c r="F282">
        <v>0.02185929648241206</v>
      </c>
      <c r="G282">
        <v>-0.03971519302880999</v>
      </c>
      <c r="H282">
        <v>0.03</v>
      </c>
      <c r="I282">
        <v>0.01291844434756162</v>
      </c>
      <c r="J282" t="s">
        <v>777</v>
      </c>
      <c r="K282" t="s">
        <v>777</v>
      </c>
      <c r="L282">
        <v>3.69</v>
      </c>
      <c r="M282">
        <v>1.74</v>
      </c>
      <c r="N282">
        <v>0.4715447154471545</v>
      </c>
      <c r="O282">
        <v>30</v>
      </c>
      <c r="P282">
        <v>0.0302922291651091</v>
      </c>
      <c r="Q282">
        <v>0.275438672390117</v>
      </c>
      <c r="R282" t="s">
        <v>780</v>
      </c>
      <c r="S282" t="s">
        <v>786</v>
      </c>
      <c r="T282">
        <v>1930.026813</v>
      </c>
      <c r="U282" s="2">
        <v>44498</v>
      </c>
      <c r="V282" t="s">
        <v>796</v>
      </c>
    </row>
    <row r="283" spans="1:22">
      <c r="A283" s="1" t="s">
        <v>303</v>
      </c>
      <c r="B283">
        <f>HYPERLINK("https://www.suredividend.com/sure-analysis-HSY/","Hershey Company")</f>
        <v>0</v>
      </c>
      <c r="C283">
        <v>188.46</v>
      </c>
      <c r="D283">
        <v>141</v>
      </c>
      <c r="E283">
        <v>1.336595744680851</v>
      </c>
      <c r="F283">
        <v>0.01910219675262655</v>
      </c>
      <c r="G283">
        <v>-0.05637381193549973</v>
      </c>
      <c r="H283">
        <v>0.05</v>
      </c>
      <c r="I283">
        <v>0.01279536183760244</v>
      </c>
      <c r="J283" t="s">
        <v>777</v>
      </c>
      <c r="K283" t="s">
        <v>345</v>
      </c>
      <c r="L283">
        <v>7.05</v>
      </c>
      <c r="M283">
        <v>3.6</v>
      </c>
      <c r="N283">
        <v>0.5106382978723405</v>
      </c>
      <c r="O283">
        <v>12</v>
      </c>
      <c r="P283">
        <v>0.04978904632428516</v>
      </c>
      <c r="Q283">
        <v>0.286595539583669</v>
      </c>
      <c r="R283" t="s">
        <v>780</v>
      </c>
      <c r="S283" t="s">
        <v>791</v>
      </c>
      <c r="T283">
        <v>39226.44132</v>
      </c>
      <c r="U283" s="2">
        <v>44500</v>
      </c>
      <c r="V283" t="s">
        <v>799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90.7</v>
      </c>
      <c r="D284">
        <v>61</v>
      </c>
      <c r="E284">
        <v>1.486885245901639</v>
      </c>
      <c r="F284">
        <v>0.01697905181918412</v>
      </c>
      <c r="G284">
        <v>-0.07627114612271779</v>
      </c>
      <c r="H284">
        <v>0.07000000000000001</v>
      </c>
      <c r="I284">
        <v>0.01018522072973682</v>
      </c>
      <c r="J284" t="s">
        <v>777</v>
      </c>
      <c r="K284" t="s">
        <v>345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0.237706517541453</v>
      </c>
      <c r="R284" t="s">
        <v>780</v>
      </c>
      <c r="S284" t="s">
        <v>792</v>
      </c>
      <c r="T284">
        <v>177687.644646</v>
      </c>
      <c r="U284" s="2">
        <v>44498</v>
      </c>
      <c r="V284" t="s">
        <v>804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182.08</v>
      </c>
      <c r="D285">
        <v>136</v>
      </c>
      <c r="E285">
        <v>1.338823529411765</v>
      </c>
      <c r="F285">
        <v>0.01323594024604569</v>
      </c>
      <c r="G285">
        <v>-0.05668805747666872</v>
      </c>
      <c r="H285">
        <v>0.05</v>
      </c>
      <c r="I285">
        <v>0.007808430346688322</v>
      </c>
      <c r="J285" t="s">
        <v>777</v>
      </c>
      <c r="K285" t="s">
        <v>526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0.252963298112091</v>
      </c>
      <c r="R285" t="s">
        <v>780</v>
      </c>
      <c r="S285" t="s">
        <v>792</v>
      </c>
      <c r="T285">
        <v>33054.393156</v>
      </c>
      <c r="U285" s="2">
        <v>44504</v>
      </c>
      <c r="V285" t="s">
        <v>795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299.48</v>
      </c>
      <c r="D286">
        <v>200</v>
      </c>
      <c r="E286">
        <v>1.4974</v>
      </c>
      <c r="F286">
        <v>0.02003472685989047</v>
      </c>
      <c r="G286">
        <v>-0.07757209156848432</v>
      </c>
      <c r="H286">
        <v>0.06</v>
      </c>
      <c r="I286">
        <v>0.003381461213965542</v>
      </c>
      <c r="J286" t="s">
        <v>777</v>
      </c>
      <c r="K286" t="s">
        <v>777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0.148993556382135</v>
      </c>
      <c r="R286" t="s">
        <v>780</v>
      </c>
      <c r="S286" t="s">
        <v>790</v>
      </c>
      <c r="T286">
        <v>66390.029737</v>
      </c>
      <c r="U286" s="2">
        <v>44506</v>
      </c>
      <c r="V286" t="s">
        <v>797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108.43</v>
      </c>
      <c r="D287">
        <v>75</v>
      </c>
      <c r="E287">
        <v>1.445733333333333</v>
      </c>
      <c r="F287">
        <v>0.01457161302222632</v>
      </c>
      <c r="G287">
        <v>-0.07107134243644131</v>
      </c>
      <c r="H287">
        <v>0.06</v>
      </c>
      <c r="I287">
        <v>0.003061581987283235</v>
      </c>
      <c r="J287" t="s">
        <v>777</v>
      </c>
      <c r="K287" t="s">
        <v>526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0.588299056659049</v>
      </c>
      <c r="R287" t="s">
        <v>780</v>
      </c>
      <c r="S287" t="s">
        <v>785</v>
      </c>
      <c r="T287">
        <v>192199.11452</v>
      </c>
      <c r="U287" s="2">
        <v>44516</v>
      </c>
      <c r="V287" t="s">
        <v>800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121.67</v>
      </c>
      <c r="D288">
        <v>79</v>
      </c>
      <c r="E288">
        <v>1.540126582278481</v>
      </c>
      <c r="F288">
        <v>0.01635571628174571</v>
      </c>
      <c r="G288">
        <v>-0.08274789593590137</v>
      </c>
      <c r="H288">
        <v>0.07000000000000001</v>
      </c>
      <c r="I288">
        <v>0.002247896857041853</v>
      </c>
      <c r="J288" t="s">
        <v>777</v>
      </c>
      <c r="K288" t="s">
        <v>345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0.131212043452228</v>
      </c>
      <c r="R288" t="s">
        <v>780</v>
      </c>
      <c r="S288" t="s">
        <v>786</v>
      </c>
      <c r="T288">
        <v>85782.363899</v>
      </c>
      <c r="U288" s="2">
        <v>44490</v>
      </c>
      <c r="V288" t="s">
        <v>796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190.16</v>
      </c>
      <c r="D289">
        <v>128</v>
      </c>
      <c r="E289">
        <v>1.485625</v>
      </c>
      <c r="F289">
        <v>0.02334875893984014</v>
      </c>
      <c r="G289">
        <v>-0.07611448065259485</v>
      </c>
      <c r="H289">
        <v>0.055</v>
      </c>
      <c r="I289">
        <v>0.001878386307120783</v>
      </c>
      <c r="J289" t="s">
        <v>777</v>
      </c>
      <c r="K289" t="s">
        <v>345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-0.227165914667997</v>
      </c>
      <c r="R289" t="s">
        <v>780</v>
      </c>
      <c r="S289" t="s">
        <v>789</v>
      </c>
      <c r="T289">
        <v>8783.313171</v>
      </c>
      <c r="U289" s="2">
        <v>44504</v>
      </c>
      <c r="V289" t="s">
        <v>797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340.12</v>
      </c>
      <c r="D290">
        <v>216</v>
      </c>
      <c r="E290">
        <v>1.57462962962963</v>
      </c>
      <c r="F290">
        <v>0.01317182170998471</v>
      </c>
      <c r="G290">
        <v>-0.08680333631548587</v>
      </c>
      <c r="H290">
        <v>0.065</v>
      </c>
      <c r="I290">
        <v>-0.009972280234370579</v>
      </c>
      <c r="J290" t="s">
        <v>777</v>
      </c>
      <c r="K290" t="s">
        <v>526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0.392286506790323</v>
      </c>
      <c r="R290" t="s">
        <v>780</v>
      </c>
      <c r="S290" t="s">
        <v>786</v>
      </c>
      <c r="T290">
        <v>39448.436245</v>
      </c>
      <c r="U290" s="2">
        <v>44503</v>
      </c>
      <c r="V290" t="s">
        <v>797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105.19</v>
      </c>
      <c r="D291">
        <v>97</v>
      </c>
      <c r="E291">
        <v>1.084432989690722</v>
      </c>
      <c r="F291">
        <v>0.01406977849605476</v>
      </c>
      <c r="G291">
        <v>-0.01608075368398398</v>
      </c>
      <c r="H291">
        <v>-0.015</v>
      </c>
      <c r="I291">
        <v>-0.01396867459492723</v>
      </c>
      <c r="J291" t="s">
        <v>777</v>
      </c>
      <c r="K291" t="s">
        <v>526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0.529115558049407</v>
      </c>
      <c r="R291" t="s">
        <v>780</v>
      </c>
      <c r="S291" t="s">
        <v>789</v>
      </c>
      <c r="T291">
        <v>5086.861856</v>
      </c>
      <c r="U291" s="2">
        <v>44512</v>
      </c>
      <c r="V291" t="s">
        <v>801</v>
      </c>
    </row>
    <row r="292" spans="1:22">
      <c r="A292" s="1" t="s">
        <v>312</v>
      </c>
      <c r="B292">
        <f>HYPERLINK("https://www.suredividend.com/sure-analysis-CFR/","Cullen Frost Bankers Inc.")</f>
        <v>0</v>
      </c>
      <c r="C292">
        <v>125.48</v>
      </c>
      <c r="D292">
        <v>86</v>
      </c>
      <c r="E292">
        <v>1.45906976744186</v>
      </c>
      <c r="F292">
        <v>0.02390819254064393</v>
      </c>
      <c r="G292">
        <v>-0.07277573528241787</v>
      </c>
      <c r="H292">
        <v>0.03</v>
      </c>
      <c r="I292">
        <v>-0.01457792694561688</v>
      </c>
      <c r="J292" t="s">
        <v>777</v>
      </c>
      <c r="K292" t="s">
        <v>777</v>
      </c>
      <c r="L292">
        <v>6.6</v>
      </c>
      <c r="M292">
        <v>3</v>
      </c>
      <c r="N292">
        <v>0.4545454545454546</v>
      </c>
      <c r="O292">
        <v>28</v>
      </c>
      <c r="P292">
        <v>0.04000235313991807</v>
      </c>
      <c r="Q292">
        <v>0.464702057796666</v>
      </c>
      <c r="R292" t="s">
        <v>780</v>
      </c>
      <c r="S292" t="s">
        <v>789</v>
      </c>
      <c r="T292">
        <v>7994.959204</v>
      </c>
      <c r="U292" s="2">
        <v>44504</v>
      </c>
      <c r="V292" t="s">
        <v>799</v>
      </c>
    </row>
    <row r="293" spans="1:22">
      <c r="A293" s="1" t="s">
        <v>313</v>
      </c>
      <c r="B293">
        <f>HYPERLINK("https://www.suredividend.com/sure-analysis-WTRG/","Essential Utilities Inc")</f>
        <v>0</v>
      </c>
      <c r="C293">
        <v>52.22</v>
      </c>
      <c r="D293">
        <v>30</v>
      </c>
      <c r="E293">
        <v>1.740666666666667</v>
      </c>
      <c r="F293">
        <v>0.02049023362696285</v>
      </c>
      <c r="G293">
        <v>-0.1049302549575785</v>
      </c>
      <c r="H293">
        <v>0.07000000000000001</v>
      </c>
      <c r="I293">
        <v>-0.01481452139050832</v>
      </c>
      <c r="J293" t="s">
        <v>777</v>
      </c>
      <c r="K293" t="s">
        <v>345</v>
      </c>
      <c r="L293">
        <v>1.68</v>
      </c>
      <c r="M293">
        <v>1.07</v>
      </c>
      <c r="N293">
        <v>0.636904761904762</v>
      </c>
      <c r="O293">
        <v>30</v>
      </c>
      <c r="P293">
        <v>0.05971834352437777</v>
      </c>
      <c r="Q293">
        <v>0.175435160862646</v>
      </c>
      <c r="R293" t="s">
        <v>780</v>
      </c>
      <c r="S293" t="s">
        <v>792</v>
      </c>
      <c r="T293">
        <v>13198.233298</v>
      </c>
      <c r="U293" s="2">
        <v>44502</v>
      </c>
      <c r="V293" t="s">
        <v>803</v>
      </c>
    </row>
    <row r="294" spans="1:22">
      <c r="A294" s="1" t="s">
        <v>314</v>
      </c>
      <c r="B294">
        <f>HYPERLINK("https://www.suredividend.com/sure-analysis-OTIS/","Otis Worldwide Corp")</f>
        <v>0</v>
      </c>
      <c r="C294">
        <v>85.25</v>
      </c>
      <c r="D294">
        <v>52</v>
      </c>
      <c r="E294">
        <v>1.639423076923077</v>
      </c>
      <c r="F294">
        <v>0.01126099706744868</v>
      </c>
      <c r="G294">
        <v>-0.09413852276822643</v>
      </c>
      <c r="H294">
        <v>0.07000000000000001</v>
      </c>
      <c r="I294">
        <v>-0.01548795263077529</v>
      </c>
      <c r="J294" t="s">
        <v>777</v>
      </c>
      <c r="K294" t="s">
        <v>526</v>
      </c>
      <c r="L294">
        <v>2.95</v>
      </c>
      <c r="M294">
        <v>0.96</v>
      </c>
      <c r="N294">
        <v>0.3254237288135593</v>
      </c>
      <c r="O294">
        <v>1</v>
      </c>
      <c r="P294">
        <v>0.07056368416916192</v>
      </c>
      <c r="Q294">
        <v>0.314148562760806</v>
      </c>
      <c r="R294" t="s">
        <v>780</v>
      </c>
      <c r="S294" t="s">
        <v>786</v>
      </c>
      <c r="T294">
        <v>36211.554266</v>
      </c>
      <c r="U294" s="2">
        <v>44495</v>
      </c>
      <c r="V294" t="s">
        <v>799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132.38</v>
      </c>
      <c r="D295">
        <v>78.2</v>
      </c>
      <c r="E295">
        <v>1.692838874680307</v>
      </c>
      <c r="F295">
        <v>0.03233116785012842</v>
      </c>
      <c r="G295">
        <v>-0.09992877997527705</v>
      </c>
      <c r="H295">
        <v>0.05</v>
      </c>
      <c r="I295">
        <v>-0.01642306727033316</v>
      </c>
      <c r="J295" t="s">
        <v>777</v>
      </c>
      <c r="K295" t="s">
        <v>777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0.600497147928106</v>
      </c>
      <c r="R295" t="s">
        <v>782</v>
      </c>
      <c r="S295" t="s">
        <v>794</v>
      </c>
      <c r="T295">
        <v>10297.772819</v>
      </c>
      <c r="U295" s="2">
        <v>44509</v>
      </c>
      <c r="V295" t="s">
        <v>805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342.67</v>
      </c>
      <c r="D296">
        <v>224</v>
      </c>
      <c r="E296">
        <v>1.529776785714286</v>
      </c>
      <c r="F296">
        <v>0.02439664983803659</v>
      </c>
      <c r="G296">
        <v>-0.08151009636036144</v>
      </c>
      <c r="H296">
        <v>0.038</v>
      </c>
      <c r="I296">
        <v>-0.01756054699283394</v>
      </c>
      <c r="J296" t="s">
        <v>777</v>
      </c>
      <c r="K296" t="s">
        <v>345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0.526551264671566</v>
      </c>
      <c r="R296" t="s">
        <v>782</v>
      </c>
      <c r="S296" t="s">
        <v>794</v>
      </c>
      <c r="T296">
        <v>22303.647049</v>
      </c>
      <c r="U296" s="2">
        <v>44503</v>
      </c>
      <c r="V296" t="s">
        <v>805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197.3</v>
      </c>
      <c r="D297">
        <v>121</v>
      </c>
      <c r="E297">
        <v>1.630578512396694</v>
      </c>
      <c r="F297">
        <v>0.0119614799797263</v>
      </c>
      <c r="G297">
        <v>-0.09315793541756356</v>
      </c>
      <c r="H297">
        <v>0.06</v>
      </c>
      <c r="I297">
        <v>-0.02255367500976235</v>
      </c>
      <c r="J297" t="s">
        <v>777</v>
      </c>
      <c r="K297" t="s">
        <v>526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0.4028436558119891</v>
      </c>
      <c r="R297" t="s">
        <v>780</v>
      </c>
      <c r="S297" t="s">
        <v>786</v>
      </c>
      <c r="T297">
        <v>46866.677119</v>
      </c>
      <c r="U297" s="2">
        <v>44511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161.94</v>
      </c>
      <c r="D298">
        <v>98</v>
      </c>
      <c r="E298">
        <v>1.652448979591837</v>
      </c>
      <c r="F298">
        <v>0.01605532913424725</v>
      </c>
      <c r="G298">
        <v>-0.09557118982410107</v>
      </c>
      <c r="H298">
        <v>0.05</v>
      </c>
      <c r="I298">
        <v>-0.02997838438393285</v>
      </c>
      <c r="J298" t="s">
        <v>777</v>
      </c>
      <c r="K298" t="s">
        <v>526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0.41564729978871</v>
      </c>
      <c r="R298" t="s">
        <v>780</v>
      </c>
      <c r="S298" t="s">
        <v>786</v>
      </c>
      <c r="T298">
        <v>67742.150853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74.17</v>
      </c>
      <c r="D299">
        <v>55</v>
      </c>
      <c r="E299">
        <v>1.348545454545454</v>
      </c>
      <c r="F299">
        <v>0.02318996899015775</v>
      </c>
      <c r="G299">
        <v>-0.05805210029413543</v>
      </c>
      <c r="H299">
        <v>-0.02</v>
      </c>
      <c r="I299">
        <v>-0.0460845925488691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0.211304638952173</v>
      </c>
      <c r="R299" t="s">
        <v>780</v>
      </c>
      <c r="S299" t="s">
        <v>789</v>
      </c>
      <c r="T299">
        <v>4000.066275</v>
      </c>
      <c r="U299" s="2">
        <v>44501</v>
      </c>
      <c r="V299" t="s">
        <v>801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117.5</v>
      </c>
      <c r="D300">
        <v>54</v>
      </c>
      <c r="E300">
        <v>2.175925925925926</v>
      </c>
      <c r="F300">
        <v>0.009531914893617021</v>
      </c>
      <c r="G300">
        <v>-0.1440050970912601</v>
      </c>
      <c r="H300">
        <v>0.09</v>
      </c>
      <c r="I300">
        <v>-0.05089792767992296</v>
      </c>
      <c r="J300" t="s">
        <v>777</v>
      </c>
      <c r="K300" t="s">
        <v>526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0.189424146626135</v>
      </c>
      <c r="R300" t="s">
        <v>780</v>
      </c>
      <c r="S300" t="s">
        <v>786</v>
      </c>
      <c r="T300">
        <v>21188.21946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242.51</v>
      </c>
      <c r="D301">
        <v>92</v>
      </c>
      <c r="E301">
        <v>2.635978260869565</v>
      </c>
      <c r="F301">
        <v>0.00536060368644592</v>
      </c>
      <c r="G301">
        <v>-0.1762192576965772</v>
      </c>
      <c r="H301">
        <v>0.12</v>
      </c>
      <c r="I301">
        <v>-0.06788113492637116</v>
      </c>
      <c r="J301" t="s">
        <v>777</v>
      </c>
      <c r="K301" t="s">
        <v>526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0.523108847861203</v>
      </c>
      <c r="R301" t="s">
        <v>780</v>
      </c>
      <c r="S301" t="s">
        <v>785</v>
      </c>
      <c r="T301">
        <v>114737.743093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273.1</v>
      </c>
      <c r="D302">
        <v>140</v>
      </c>
      <c r="E302">
        <v>1.950714285714286</v>
      </c>
      <c r="F302">
        <v>0.01435371658733065</v>
      </c>
      <c r="G302">
        <v>-0.125094257403657</v>
      </c>
      <c r="H302">
        <v>0.04</v>
      </c>
      <c r="I302">
        <v>-0.0682528505330191</v>
      </c>
      <c r="J302" t="s">
        <v>777</v>
      </c>
      <c r="K302" t="s">
        <v>526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0.6753624788739301</v>
      </c>
      <c r="R302" t="s">
        <v>780</v>
      </c>
      <c r="S302" t="s">
        <v>785</v>
      </c>
      <c r="T302">
        <v>261245.382528</v>
      </c>
      <c r="U302" s="2">
        <v>44496</v>
      </c>
      <c r="V302" t="s">
        <v>796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4.27</v>
      </c>
      <c r="D303">
        <v>12</v>
      </c>
      <c r="E303">
        <v>0.3558333333333333</v>
      </c>
      <c r="F303">
        <v>0.009367681498829042</v>
      </c>
      <c r="G303">
        <v>0.2295626837644569</v>
      </c>
      <c r="H303">
        <v>0</v>
      </c>
      <c r="I303">
        <v>0.276639087669432</v>
      </c>
      <c r="J303" t="s">
        <v>345</v>
      </c>
      <c r="K303" t="s">
        <v>526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-0.678679198428763</v>
      </c>
      <c r="R303" t="s">
        <v>781</v>
      </c>
      <c r="S303" t="s">
        <v>793</v>
      </c>
      <c r="T303">
        <v>142.451649</v>
      </c>
      <c r="U303" s="2">
        <v>44527</v>
      </c>
      <c r="V303" t="s">
        <v>795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84.86</v>
      </c>
      <c r="D304">
        <v>130</v>
      </c>
      <c r="E304">
        <v>0.6527692307692308</v>
      </c>
      <c r="F304">
        <v>0.02074004242281405</v>
      </c>
      <c r="G304">
        <v>0.08905061592022201</v>
      </c>
      <c r="H304">
        <v>0.09</v>
      </c>
      <c r="I304">
        <v>0.2003044572623478</v>
      </c>
      <c r="J304" t="s">
        <v>345</v>
      </c>
      <c r="K304" t="s">
        <v>526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-0.078648220811736</v>
      </c>
      <c r="R304" t="s">
        <v>780</v>
      </c>
      <c r="S304" t="s">
        <v>788</v>
      </c>
      <c r="T304">
        <v>1783.193814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5.33</v>
      </c>
      <c r="D305">
        <v>9.17</v>
      </c>
      <c r="E305">
        <v>0.5812431842966195</v>
      </c>
      <c r="F305">
        <v>0.03377110694183865</v>
      </c>
      <c r="G305">
        <v>0.1146240906282341</v>
      </c>
      <c r="H305">
        <v>0.04</v>
      </c>
      <c r="I305">
        <v>0.1796078129858858</v>
      </c>
      <c r="J305" t="s">
        <v>345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-0.057154481611858</v>
      </c>
      <c r="R305" t="s">
        <v>780</v>
      </c>
      <c r="S305" t="s">
        <v>787</v>
      </c>
      <c r="T305">
        <v>1789.041406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13.63</v>
      </c>
      <c r="D306">
        <v>26.6</v>
      </c>
      <c r="E306">
        <v>0.512406015037594</v>
      </c>
      <c r="F306">
        <v>0.01614086573734409</v>
      </c>
      <c r="G306">
        <v>0.1430813950172247</v>
      </c>
      <c r="H306">
        <v>0.02</v>
      </c>
      <c r="I306">
        <v>0.1750059944620845</v>
      </c>
      <c r="J306" t="s">
        <v>345</v>
      </c>
      <c r="K306" t="s">
        <v>526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-0.219925941611771</v>
      </c>
      <c r="R306" t="s">
        <v>780</v>
      </c>
      <c r="S306" t="s">
        <v>785</v>
      </c>
      <c r="T306">
        <v>16484.03226</v>
      </c>
      <c r="U306" s="2">
        <v>44515</v>
      </c>
      <c r="V306" t="s">
        <v>806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103.94</v>
      </c>
      <c r="D307">
        <v>162</v>
      </c>
      <c r="E307">
        <v>0.6416049382716049</v>
      </c>
      <c r="F307">
        <v>0.01683663652106985</v>
      </c>
      <c r="G307">
        <v>0.09281452919608535</v>
      </c>
      <c r="H307">
        <v>0.05</v>
      </c>
      <c r="I307">
        <v>0.1598479551345737</v>
      </c>
      <c r="J307" t="s">
        <v>345</v>
      </c>
      <c r="K307" t="s">
        <v>526</v>
      </c>
      <c r="L307">
        <v>14.7</v>
      </c>
      <c r="M307">
        <v>1.75</v>
      </c>
      <c r="N307">
        <v>0.1190476190476191</v>
      </c>
      <c r="O307">
        <v>7</v>
      </c>
      <c r="P307">
        <v>0.08979006975364512</v>
      </c>
      <c r="Q307">
        <v>0.8918476183542341</v>
      </c>
      <c r="R307" t="s">
        <v>780</v>
      </c>
      <c r="S307" t="s">
        <v>788</v>
      </c>
      <c r="T307">
        <v>6538.896166</v>
      </c>
      <c r="U307" s="2">
        <v>44532</v>
      </c>
      <c r="V307" t="s">
        <v>802</v>
      </c>
    </row>
    <row r="308" spans="1:22">
      <c r="A308" s="1" t="s">
        <v>328</v>
      </c>
      <c r="B308">
        <f>HYPERLINK("https://www.suredividend.com/sure-analysis-MMP/","Magellan Midstream Partners L.P.")</f>
        <v>0</v>
      </c>
      <c r="C308">
        <v>44.43</v>
      </c>
      <c r="D308">
        <v>60</v>
      </c>
      <c r="E308">
        <v>0.7405</v>
      </c>
      <c r="F308">
        <v>0.09340535674094082</v>
      </c>
      <c r="G308">
        <v>0.06192779307652452</v>
      </c>
      <c r="H308">
        <v>0.03</v>
      </c>
      <c r="I308">
        <v>0.1554232415438253</v>
      </c>
      <c r="J308" t="s">
        <v>345</v>
      </c>
      <c r="K308" t="s">
        <v>776</v>
      </c>
      <c r="L308">
        <v>5</v>
      </c>
      <c r="M308">
        <v>4.15</v>
      </c>
      <c r="N308">
        <v>0.8300000000000001</v>
      </c>
      <c r="O308">
        <v>21</v>
      </c>
      <c r="P308">
        <v>0.01857417298664354</v>
      </c>
      <c r="Q308">
        <v>0.113963785521228</v>
      </c>
      <c r="R308" t="s">
        <v>781</v>
      </c>
      <c r="S308" t="s">
        <v>793</v>
      </c>
      <c r="T308">
        <v>9483.371923999999</v>
      </c>
      <c r="U308" s="2">
        <v>44504</v>
      </c>
      <c r="V308" t="s">
        <v>803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41.92</v>
      </c>
      <c r="D309">
        <v>84</v>
      </c>
      <c r="E309">
        <v>0.4990476190476191</v>
      </c>
      <c r="F309">
        <v>0.02862595419847328</v>
      </c>
      <c r="G309">
        <v>0.1491364551835743</v>
      </c>
      <c r="H309">
        <v>-0.02</v>
      </c>
      <c r="I309">
        <v>0.1524678100051766</v>
      </c>
      <c r="J309" t="s">
        <v>345</v>
      </c>
      <c r="K309" t="s">
        <v>345</v>
      </c>
      <c r="L309">
        <v>7.6</v>
      </c>
      <c r="M309">
        <v>1.2</v>
      </c>
      <c r="N309">
        <v>0.1578947368421053</v>
      </c>
      <c r="O309">
        <v>1</v>
      </c>
      <c r="P309">
        <v>0.1496540121887568</v>
      </c>
      <c r="Q309">
        <v>0.062330843073055</v>
      </c>
      <c r="R309" t="s">
        <v>780</v>
      </c>
      <c r="S309" t="s">
        <v>788</v>
      </c>
      <c r="T309">
        <v>4207.445927</v>
      </c>
      <c r="U309" s="2">
        <v>44535</v>
      </c>
      <c r="V309" t="s">
        <v>801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59.01</v>
      </c>
      <c r="D310">
        <v>81</v>
      </c>
      <c r="E310">
        <v>0.7285185185185185</v>
      </c>
      <c r="F310">
        <v>0.04406032875783766</v>
      </c>
      <c r="G310">
        <v>0.06539800900355308</v>
      </c>
      <c r="H310">
        <v>0.05</v>
      </c>
      <c r="I310">
        <v>0.1513464016145645</v>
      </c>
      <c r="J310" t="s">
        <v>345</v>
      </c>
      <c r="K310" t="s">
        <v>777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0.28076850451123</v>
      </c>
      <c r="R310" t="s">
        <v>780</v>
      </c>
      <c r="S310" t="s">
        <v>786</v>
      </c>
      <c r="T310">
        <v>3940.183973</v>
      </c>
      <c r="U310" s="2">
        <v>44497</v>
      </c>
      <c r="V310" t="s">
        <v>795</v>
      </c>
    </row>
    <row r="311" spans="1:22">
      <c r="A311" s="1" t="s">
        <v>331</v>
      </c>
      <c r="B311">
        <f>HYPERLINK("https://www.suredividend.com/sure-analysis-MDC/","M.D.C. Holdings, Inc.")</f>
        <v>0</v>
      </c>
      <c r="C311">
        <v>53.93</v>
      </c>
      <c r="D311">
        <v>65</v>
      </c>
      <c r="E311">
        <v>0.8296923076923077</v>
      </c>
      <c r="F311">
        <v>0.03708511032820323</v>
      </c>
      <c r="G311">
        <v>0.03804597130346288</v>
      </c>
      <c r="H311">
        <v>0.08</v>
      </c>
      <c r="I311">
        <v>0.1493830462233077</v>
      </c>
      <c r="J311" t="s">
        <v>345</v>
      </c>
      <c r="K311" t="s">
        <v>777</v>
      </c>
      <c r="L311">
        <v>8.09</v>
      </c>
      <c r="M311">
        <v>2</v>
      </c>
      <c r="N311">
        <v>0.2472187886279357</v>
      </c>
      <c r="O311">
        <v>6</v>
      </c>
      <c r="P311">
        <v>0.08009875865888949</v>
      </c>
      <c r="Q311">
        <v>0.209255185805546</v>
      </c>
      <c r="R311" t="s">
        <v>780</v>
      </c>
      <c r="S311" t="s">
        <v>789</v>
      </c>
      <c r="T311">
        <v>3811.739395</v>
      </c>
      <c r="U311" s="2">
        <v>44502</v>
      </c>
      <c r="V311" t="s">
        <v>795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90.55</v>
      </c>
      <c r="D312">
        <v>190</v>
      </c>
      <c r="E312">
        <v>0.476578947368421</v>
      </c>
      <c r="F312">
        <v>0.04991717283268912</v>
      </c>
      <c r="G312">
        <v>0.1597730942348432</v>
      </c>
      <c r="H312">
        <v>-0.05</v>
      </c>
      <c r="I312">
        <v>0.1395863536323214</v>
      </c>
      <c r="J312" t="s">
        <v>345</v>
      </c>
      <c r="K312" t="s">
        <v>777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0.030371787271181</v>
      </c>
      <c r="R312" t="s">
        <v>780</v>
      </c>
      <c r="S312" t="s">
        <v>790</v>
      </c>
      <c r="T312">
        <v>30133.586129</v>
      </c>
      <c r="U312" s="2">
        <v>44502</v>
      </c>
      <c r="V312" t="s">
        <v>795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47.58</v>
      </c>
      <c r="D313">
        <v>68</v>
      </c>
      <c r="E313">
        <v>0.6997058823529412</v>
      </c>
      <c r="F313">
        <v>0.02101723413198823</v>
      </c>
      <c r="G313">
        <v>0.0740311936806235</v>
      </c>
      <c r="H313">
        <v>0.04</v>
      </c>
      <c r="I313">
        <v>0.1345612041879145</v>
      </c>
      <c r="J313" t="s">
        <v>345</v>
      </c>
      <c r="K313" t="s">
        <v>526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0.389899131532131</v>
      </c>
      <c r="R313" t="s">
        <v>780</v>
      </c>
      <c r="S313" t="s">
        <v>789</v>
      </c>
      <c r="T313">
        <v>16483.80552</v>
      </c>
      <c r="U313" s="2">
        <v>44498</v>
      </c>
      <c r="V313" t="s">
        <v>797</v>
      </c>
    </row>
    <row r="314" spans="1:22">
      <c r="A314" s="1" t="s">
        <v>334</v>
      </c>
      <c r="B314">
        <f>HYPERLINK("https://www.suredividend.com/sure-analysis-TFC/","Truist Financial Corporation")</f>
        <v>0</v>
      </c>
      <c r="C314">
        <v>57.77</v>
      </c>
      <c r="D314">
        <v>70</v>
      </c>
      <c r="E314">
        <v>0.8252857142857143</v>
      </c>
      <c r="F314">
        <v>0.03323524320581617</v>
      </c>
      <c r="G314">
        <v>0.03915213563032505</v>
      </c>
      <c r="H314">
        <v>0.06</v>
      </c>
      <c r="I314">
        <v>0.1265319747893874</v>
      </c>
      <c r="J314" t="s">
        <v>345</v>
      </c>
      <c r="K314" t="s">
        <v>345</v>
      </c>
      <c r="L314">
        <v>5.38</v>
      </c>
      <c r="M314">
        <v>1.92</v>
      </c>
      <c r="N314">
        <v>0.3568773234200743</v>
      </c>
      <c r="O314">
        <v>10</v>
      </c>
      <c r="P314">
        <v>0.04996052445273014</v>
      </c>
      <c r="Q314">
        <v>0.260858178008642</v>
      </c>
      <c r="R314" t="s">
        <v>780</v>
      </c>
      <c r="S314" t="s">
        <v>789</v>
      </c>
      <c r="T314">
        <v>77116.68345700001</v>
      </c>
      <c r="U314" s="2">
        <v>44493</v>
      </c>
      <c r="V314" t="s">
        <v>802</v>
      </c>
    </row>
    <row r="315" spans="1:22">
      <c r="A315" s="1" t="s">
        <v>335</v>
      </c>
      <c r="B315">
        <f>HYPERLINK("https://www.suredividend.com/sure-analysis-TYCB/","Calvin b. Taylor Bankshares, Inc.")</f>
        <v>0</v>
      </c>
      <c r="C315">
        <v>36.6</v>
      </c>
      <c r="D315">
        <v>43</v>
      </c>
      <c r="E315">
        <v>0.8511627906976744</v>
      </c>
      <c r="F315">
        <v>0.03169398907103825</v>
      </c>
      <c r="G315">
        <v>0.03275539898584601</v>
      </c>
      <c r="H315">
        <v>0.06</v>
      </c>
      <c r="I315">
        <v>0.1206527182429904</v>
      </c>
      <c r="J315" t="s">
        <v>345</v>
      </c>
      <c r="K315" t="s">
        <v>777</v>
      </c>
      <c r="L315">
        <v>3.45</v>
      </c>
      <c r="M315">
        <v>1.16</v>
      </c>
      <c r="N315">
        <v>0.336231884057971</v>
      </c>
      <c r="O315">
        <v>30</v>
      </c>
      <c r="P315">
        <v>0.07039956279333892</v>
      </c>
      <c r="Q315">
        <v>0.041749684059521</v>
      </c>
      <c r="R315" t="s">
        <v>780</v>
      </c>
      <c r="S315" t="s">
        <v>789</v>
      </c>
      <c r="T315">
        <v>101.043816</v>
      </c>
      <c r="U315" s="2">
        <v>44529</v>
      </c>
      <c r="V315" t="s">
        <v>797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100.87</v>
      </c>
      <c r="D316">
        <v>152</v>
      </c>
      <c r="E316">
        <v>0.6636184210526316</v>
      </c>
      <c r="F316">
        <v>0.0170516506394369</v>
      </c>
      <c r="G316">
        <v>0.08546622195793607</v>
      </c>
      <c r="H316">
        <v>0.02</v>
      </c>
      <c r="I316">
        <v>0.1194842148785162</v>
      </c>
      <c r="J316" t="s">
        <v>345</v>
      </c>
      <c r="K316" t="s">
        <v>526</v>
      </c>
      <c r="L316">
        <v>14.5</v>
      </c>
      <c r="M316">
        <v>1.72</v>
      </c>
      <c r="N316">
        <v>0.1186206896551724</v>
      </c>
      <c r="O316">
        <v>11</v>
      </c>
      <c r="P316">
        <v>0.03471404488278096</v>
      </c>
      <c r="Q316">
        <v>0.001294426422181</v>
      </c>
      <c r="R316" t="s">
        <v>780</v>
      </c>
      <c r="S316" t="s">
        <v>788</v>
      </c>
      <c r="T316">
        <v>5610.243038</v>
      </c>
      <c r="U316" s="2">
        <v>44547</v>
      </c>
      <c r="V316" t="s">
        <v>802</v>
      </c>
    </row>
    <row r="317" spans="1:22">
      <c r="A317" s="1" t="s">
        <v>337</v>
      </c>
      <c r="B317">
        <f>HYPERLINK("https://www.suredividend.com/sure-analysis-DHI/","D.R. Horton Inc.")</f>
        <v>0</v>
      </c>
      <c r="C317">
        <v>104.92</v>
      </c>
      <c r="D317">
        <v>127</v>
      </c>
      <c r="E317">
        <v>0.8261417322834645</v>
      </c>
      <c r="F317">
        <v>0.00857796416317194</v>
      </c>
      <c r="G317">
        <v>0.03893669999603633</v>
      </c>
      <c r="H317">
        <v>0.07000000000000001</v>
      </c>
      <c r="I317">
        <v>0.1191077743290647</v>
      </c>
      <c r="J317" t="s">
        <v>345</v>
      </c>
      <c r="K317" t="s">
        <v>526</v>
      </c>
      <c r="L317">
        <v>13.35</v>
      </c>
      <c r="M317">
        <v>0.9</v>
      </c>
      <c r="N317">
        <v>0.06741573033707865</v>
      </c>
      <c r="O317">
        <v>7</v>
      </c>
      <c r="P317">
        <v>0.100082101138866</v>
      </c>
      <c r="Q317">
        <v>0.4923080424195531</v>
      </c>
      <c r="R317" t="s">
        <v>780</v>
      </c>
      <c r="S317" t="s">
        <v>788</v>
      </c>
      <c r="T317">
        <v>37370.551649</v>
      </c>
      <c r="U317" s="2">
        <v>44513</v>
      </c>
      <c r="V317" t="s">
        <v>802</v>
      </c>
    </row>
    <row r="318" spans="1:22">
      <c r="A318" s="1" t="s">
        <v>338</v>
      </c>
      <c r="B318">
        <f>HYPERLINK("https://www.suredividend.com/sure-analysis-SVC/","Service Properties Trust")</f>
        <v>0</v>
      </c>
      <c r="C318">
        <v>8.960000000000001</v>
      </c>
      <c r="D318">
        <v>14</v>
      </c>
      <c r="E318">
        <v>0.64</v>
      </c>
      <c r="F318">
        <v>0.004464285714285714</v>
      </c>
      <c r="G318">
        <v>0.09336207394327811</v>
      </c>
      <c r="H318">
        <v>0.02</v>
      </c>
      <c r="I318">
        <v>0.1181004865863418</v>
      </c>
      <c r="J318" t="s">
        <v>345</v>
      </c>
      <c r="K318" t="s">
        <v>778</v>
      </c>
      <c r="L318">
        <v>0.3</v>
      </c>
      <c r="M318">
        <v>0.04</v>
      </c>
      <c r="N318">
        <v>0.1333333333333333</v>
      </c>
      <c r="O318">
        <v>0</v>
      </c>
      <c r="P318">
        <v>0</v>
      </c>
      <c r="Q318">
        <v>-0.209200109441056</v>
      </c>
      <c r="R318" t="s">
        <v>782</v>
      </c>
      <c r="S318" t="s">
        <v>794</v>
      </c>
      <c r="T318">
        <v>1479.227304</v>
      </c>
      <c r="U318" s="2">
        <v>44512</v>
      </c>
      <c r="V318" t="s">
        <v>797</v>
      </c>
    </row>
    <row r="319" spans="1:22">
      <c r="A319" s="1" t="s">
        <v>339</v>
      </c>
      <c r="B319">
        <f>HYPERLINK("https://www.suredividend.com/sure-analysis-BTI/","British American Tobacco Plc")</f>
        <v>0</v>
      </c>
      <c r="C319">
        <v>37.07</v>
      </c>
      <c r="D319">
        <v>42</v>
      </c>
      <c r="E319">
        <v>0.8826190476190476</v>
      </c>
      <c r="F319">
        <v>0.07823037496628001</v>
      </c>
      <c r="G319">
        <v>0.02528674042449164</v>
      </c>
      <c r="H319">
        <v>0.03</v>
      </c>
      <c r="I319">
        <v>0.1164833864090844</v>
      </c>
      <c r="J319" t="s">
        <v>345</v>
      </c>
      <c r="K319" t="s">
        <v>776</v>
      </c>
      <c r="L319">
        <v>4.4</v>
      </c>
      <c r="M319">
        <v>2.9</v>
      </c>
      <c r="N319">
        <v>0.6590909090909091</v>
      </c>
      <c r="O319">
        <v>2</v>
      </c>
      <c r="P319">
        <v>0.02493227484012395</v>
      </c>
      <c r="Q319">
        <v>0.08586761027107101</v>
      </c>
      <c r="R319" t="s">
        <v>780</v>
      </c>
      <c r="S319" t="s">
        <v>791</v>
      </c>
      <c r="T319">
        <v>85061.846429</v>
      </c>
      <c r="U319" s="2">
        <v>44462</v>
      </c>
      <c r="V319" t="s">
        <v>797</v>
      </c>
    </row>
    <row r="320" spans="1:22">
      <c r="A320" s="1" t="s">
        <v>340</v>
      </c>
      <c r="B320">
        <f>HYPERLINK("https://www.suredividend.com/sure-analysis-GWLIF/","Great-West Lifeco, Inc.")</f>
        <v>0</v>
      </c>
      <c r="C320">
        <v>29.42</v>
      </c>
      <c r="D320">
        <v>34</v>
      </c>
      <c r="E320">
        <v>0.8652941176470589</v>
      </c>
      <c r="F320">
        <v>0.05336505778382053</v>
      </c>
      <c r="G320">
        <v>0.02935990941012356</v>
      </c>
      <c r="H320">
        <v>0.045</v>
      </c>
      <c r="I320">
        <v>0.1161165180887371</v>
      </c>
      <c r="J320" t="s">
        <v>345</v>
      </c>
      <c r="K320" t="s">
        <v>776</v>
      </c>
      <c r="L320">
        <v>2.8</v>
      </c>
      <c r="M320">
        <v>1.57</v>
      </c>
      <c r="N320">
        <v>0.5607142857142857</v>
      </c>
      <c r="O320">
        <v>6</v>
      </c>
      <c r="P320">
        <v>0.02999317534988744</v>
      </c>
      <c r="Q320">
        <v>0.290917068889864</v>
      </c>
      <c r="R320" t="s">
        <v>780</v>
      </c>
      <c r="S320" t="s">
        <v>789</v>
      </c>
      <c r="T320">
        <v>27374.868288</v>
      </c>
      <c r="U320" s="2">
        <v>44514</v>
      </c>
      <c r="V320" t="s">
        <v>802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50.9</v>
      </c>
      <c r="D321">
        <v>75</v>
      </c>
      <c r="E321">
        <v>0.6786666666666666</v>
      </c>
      <c r="F321">
        <v>0.03457760314341847</v>
      </c>
      <c r="G321">
        <v>0.0806092884108498</v>
      </c>
      <c r="H321">
        <v>0.01</v>
      </c>
      <c r="I321">
        <v>0.1161164840662661</v>
      </c>
      <c r="J321" t="s">
        <v>345</v>
      </c>
      <c r="K321" t="s">
        <v>777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0.369339703856749</v>
      </c>
      <c r="R321" t="s">
        <v>780</v>
      </c>
      <c r="S321" t="s">
        <v>789</v>
      </c>
      <c r="T321">
        <v>14482.665413</v>
      </c>
      <c r="U321" s="2">
        <v>44511</v>
      </c>
      <c r="V321" t="s">
        <v>799</v>
      </c>
    </row>
    <row r="322" spans="1:22">
      <c r="A322" s="1" t="s">
        <v>342</v>
      </c>
      <c r="B322">
        <f>HYPERLINK("https://www.suredividend.com/sure-analysis-TX/","Ternium S.A.")</f>
        <v>0</v>
      </c>
      <c r="C322">
        <v>42.61</v>
      </c>
      <c r="D322">
        <v>135</v>
      </c>
      <c r="E322">
        <v>0.3156296296296296</v>
      </c>
      <c r="F322">
        <v>0.04928420558554331</v>
      </c>
      <c r="G322">
        <v>0.2594021977969989</v>
      </c>
      <c r="H322">
        <v>-0.15</v>
      </c>
      <c r="I322">
        <v>0.1154980382394235</v>
      </c>
      <c r="J322" t="s">
        <v>345</v>
      </c>
      <c r="K322" t="s">
        <v>777</v>
      </c>
      <c r="L322">
        <v>18</v>
      </c>
      <c r="M322">
        <v>2.1</v>
      </c>
      <c r="N322">
        <v>0.1166666666666667</v>
      </c>
      <c r="O322">
        <v>1</v>
      </c>
      <c r="P322">
        <v>0.08992507843838271</v>
      </c>
      <c r="Q322">
        <v>0.52610240394258</v>
      </c>
      <c r="R322" t="s">
        <v>780</v>
      </c>
      <c r="S322" t="s">
        <v>790</v>
      </c>
      <c r="T322">
        <v>8542.211798</v>
      </c>
      <c r="U322" s="2">
        <v>44513</v>
      </c>
      <c r="V322" t="s">
        <v>802</v>
      </c>
    </row>
    <row r="323" spans="1:22">
      <c r="A323" s="1" t="s">
        <v>343</v>
      </c>
      <c r="B323">
        <f>HYPERLINK("https://www.suredividend.com/sure-analysis-MCHP/","Microchip Technology, Inc.")</f>
        <v>0</v>
      </c>
      <c r="C323">
        <v>86.93000000000001</v>
      </c>
      <c r="D323">
        <v>81</v>
      </c>
      <c r="E323">
        <v>1.07320987654321</v>
      </c>
      <c r="F323">
        <v>0.01069826297020591</v>
      </c>
      <c r="G323">
        <v>-0.01403143722556977</v>
      </c>
      <c r="H323">
        <v>0.12</v>
      </c>
      <c r="I323">
        <v>0.1143418183139622</v>
      </c>
      <c r="J323" t="s">
        <v>345</v>
      </c>
      <c r="K323" t="s">
        <v>526</v>
      </c>
      <c r="L323">
        <v>4.5</v>
      </c>
      <c r="M323">
        <v>0.93</v>
      </c>
      <c r="N323">
        <v>0.2066666666666667</v>
      </c>
      <c r="O323">
        <v>19</v>
      </c>
      <c r="P323">
        <v>0.1201396745310872</v>
      </c>
      <c r="Q323">
        <v>1.58545565942057</v>
      </c>
      <c r="R323" t="s">
        <v>780</v>
      </c>
      <c r="S323" t="s">
        <v>787</v>
      </c>
      <c r="T323">
        <v>48234.910994</v>
      </c>
      <c r="U323" s="2">
        <v>44513</v>
      </c>
      <c r="V323" t="s">
        <v>795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49.83</v>
      </c>
      <c r="D324">
        <v>61</v>
      </c>
      <c r="E324">
        <v>0.8168852459016394</v>
      </c>
      <c r="F324">
        <v>0.03873168773831025</v>
      </c>
      <c r="G324">
        <v>0.0412806297325119</v>
      </c>
      <c r="H324">
        <v>0.04</v>
      </c>
      <c r="I324">
        <v>0.1129620493946586</v>
      </c>
      <c r="J324" t="s">
        <v>345</v>
      </c>
      <c r="K324" t="s">
        <v>777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0.086845095674212</v>
      </c>
      <c r="R324" t="s">
        <v>780</v>
      </c>
      <c r="S324" t="s">
        <v>785</v>
      </c>
      <c r="T324">
        <v>125913.734275</v>
      </c>
      <c r="U324" s="2">
        <v>44501</v>
      </c>
      <c r="V324" t="s">
        <v>796</v>
      </c>
    </row>
    <row r="325" spans="1:22">
      <c r="A325" s="1" t="s">
        <v>345</v>
      </c>
      <c r="B325">
        <f>HYPERLINK("https://www.suredividend.com/sure-analysis-C/","Citigroup Inc")</f>
        <v>0</v>
      </c>
      <c r="C325">
        <v>60.21</v>
      </c>
      <c r="D325">
        <v>105</v>
      </c>
      <c r="E325">
        <v>0.5734285714285714</v>
      </c>
      <c r="F325">
        <v>0.03388141504733433</v>
      </c>
      <c r="G325">
        <v>0.1176456557593613</v>
      </c>
      <c r="H325">
        <v>-0.03</v>
      </c>
      <c r="I325">
        <v>0.1119611028976297</v>
      </c>
      <c r="J325" t="s">
        <v>345</v>
      </c>
      <c r="K325" t="s">
        <v>777</v>
      </c>
      <c r="L325">
        <v>10.5</v>
      </c>
      <c r="M325">
        <v>2.04</v>
      </c>
      <c r="N325">
        <v>0.1942857142857143</v>
      </c>
      <c r="O325">
        <v>6</v>
      </c>
      <c r="P325">
        <v>0.06000153927394081</v>
      </c>
      <c r="Q325">
        <v>0.020871835738144</v>
      </c>
      <c r="R325" t="s">
        <v>780</v>
      </c>
      <c r="S325" t="s">
        <v>789</v>
      </c>
      <c r="T325">
        <v>122032.735868</v>
      </c>
      <c r="U325" s="2">
        <v>44485</v>
      </c>
      <c r="V325" t="s">
        <v>801</v>
      </c>
    </row>
    <row r="326" spans="1:22">
      <c r="A326" s="1" t="s">
        <v>346</v>
      </c>
      <c r="B326">
        <f>HYPERLINK("https://www.suredividend.com/sure-analysis-SYF/","Synchrony Financial")</f>
        <v>0</v>
      </c>
      <c r="C326">
        <v>46.16</v>
      </c>
      <c r="D326">
        <v>63</v>
      </c>
      <c r="E326">
        <v>0.7326984126984126</v>
      </c>
      <c r="F326">
        <v>0.01906412478336222</v>
      </c>
      <c r="G326">
        <v>0.0641796501984313</v>
      </c>
      <c r="H326">
        <v>0.03</v>
      </c>
      <c r="I326">
        <v>0.1114711982644849</v>
      </c>
      <c r="J326" t="s">
        <v>345</v>
      </c>
      <c r="K326" t="s">
        <v>526</v>
      </c>
      <c r="L326">
        <v>7</v>
      </c>
      <c r="M326">
        <v>0.88</v>
      </c>
      <c r="N326">
        <v>0.1257142857142857</v>
      </c>
      <c r="O326">
        <v>4</v>
      </c>
      <c r="P326">
        <v>0.06042477819475911</v>
      </c>
      <c r="Q326">
        <v>0.380271329767034</v>
      </c>
      <c r="R326" t="s">
        <v>780</v>
      </c>
      <c r="S326" t="s">
        <v>789</v>
      </c>
      <c r="T326">
        <v>25261.48361</v>
      </c>
      <c r="U326" s="2">
        <v>44500</v>
      </c>
      <c r="V326" t="s">
        <v>797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114.13</v>
      </c>
      <c r="D327">
        <v>143</v>
      </c>
      <c r="E327">
        <v>0.798111888111888</v>
      </c>
      <c r="F327">
        <v>0.0283886795759222</v>
      </c>
      <c r="G327">
        <v>0.04613382385886533</v>
      </c>
      <c r="H327">
        <v>0.04</v>
      </c>
      <c r="I327">
        <v>0.1105506858315841</v>
      </c>
      <c r="J327" t="s">
        <v>345</v>
      </c>
      <c r="K327" t="s">
        <v>345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0.10539350284702</v>
      </c>
      <c r="R327" t="s">
        <v>780</v>
      </c>
      <c r="S327" t="s">
        <v>789</v>
      </c>
      <c r="T327">
        <v>32718.336559</v>
      </c>
      <c r="U327" s="2">
        <v>44505</v>
      </c>
      <c r="V327" t="s">
        <v>802</v>
      </c>
    </row>
    <row r="328" spans="1:22">
      <c r="A328" s="1" t="s">
        <v>348</v>
      </c>
      <c r="B328">
        <f>HYPERLINK("https://www.suredividend.com/sure-analysis-DDAIF/","Daimler AG")</f>
        <v>0</v>
      </c>
      <c r="C328">
        <v>79.43000000000001</v>
      </c>
      <c r="D328">
        <v>113</v>
      </c>
      <c r="E328">
        <v>0.7029203539823009</v>
      </c>
      <c r="F328">
        <v>0.0200176255822737</v>
      </c>
      <c r="G328">
        <v>0.07304707779707331</v>
      </c>
      <c r="H328">
        <v>0.02</v>
      </c>
      <c r="I328">
        <v>0.1091470485410833</v>
      </c>
      <c r="J328" t="s">
        <v>345</v>
      </c>
      <c r="K328" t="s">
        <v>526</v>
      </c>
      <c r="L328">
        <v>14.1</v>
      </c>
      <c r="M328">
        <v>1.59</v>
      </c>
      <c r="N328">
        <v>0.1127659574468085</v>
      </c>
      <c r="O328">
        <v>1</v>
      </c>
      <c r="P328">
        <v>0.02512087219852699</v>
      </c>
      <c r="Q328">
        <v>0.113244569025928</v>
      </c>
      <c r="R328" t="s">
        <v>780</v>
      </c>
      <c r="S328" t="s">
        <v>788</v>
      </c>
      <c r="T328">
        <v>84977.188415</v>
      </c>
      <c r="U328" s="2">
        <v>44498</v>
      </c>
      <c r="V328" t="s">
        <v>797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68.91</v>
      </c>
      <c r="D329">
        <v>88</v>
      </c>
      <c r="E329">
        <v>0.7830681818181818</v>
      </c>
      <c r="F329">
        <v>0.04962995211144972</v>
      </c>
      <c r="G329">
        <v>0.05012279171435274</v>
      </c>
      <c r="H329">
        <v>0.02</v>
      </c>
      <c r="I329">
        <v>0.1084803980047147</v>
      </c>
      <c r="J329" t="s">
        <v>345</v>
      </c>
      <c r="K329" t="s">
        <v>776</v>
      </c>
      <c r="L329">
        <v>5.06</v>
      </c>
      <c r="M329">
        <v>3.42</v>
      </c>
      <c r="N329">
        <v>0.6758893280632411</v>
      </c>
      <c r="O329">
        <v>10</v>
      </c>
      <c r="P329">
        <v>0.02021836907521135</v>
      </c>
      <c r="Q329">
        <v>-0.07003797581100001</v>
      </c>
      <c r="R329" t="s">
        <v>780</v>
      </c>
      <c r="S329" t="s">
        <v>792</v>
      </c>
      <c r="T329">
        <v>7772.054869</v>
      </c>
      <c r="U329" s="2">
        <v>44513</v>
      </c>
      <c r="V329" t="s">
        <v>798</v>
      </c>
    </row>
    <row r="330" spans="1:22">
      <c r="A330" s="1" t="s">
        <v>350</v>
      </c>
      <c r="B330">
        <f>HYPERLINK("https://www.suredividend.com/sure-analysis-M/","Macy`s Inc")</f>
        <v>0</v>
      </c>
      <c r="C330">
        <v>25.14</v>
      </c>
      <c r="D330">
        <v>37</v>
      </c>
      <c r="E330">
        <v>0.6794594594594595</v>
      </c>
      <c r="F330">
        <v>0.02386634844868735</v>
      </c>
      <c r="G330">
        <v>0.08035699981222511</v>
      </c>
      <c r="H330">
        <v>0.01</v>
      </c>
      <c r="I330">
        <v>0.1074995738150226</v>
      </c>
      <c r="J330" t="s">
        <v>345</v>
      </c>
      <c r="K330" t="s">
        <v>526</v>
      </c>
      <c r="L330">
        <v>4.65</v>
      </c>
      <c r="M330">
        <v>0.6</v>
      </c>
      <c r="N330">
        <v>0.1290322580645161</v>
      </c>
      <c r="O330">
        <v>0</v>
      </c>
      <c r="P330">
        <v>0</v>
      </c>
      <c r="Q330">
        <v>1.288700338662102</v>
      </c>
      <c r="R330" t="s">
        <v>780</v>
      </c>
      <c r="S330" t="s">
        <v>788</v>
      </c>
      <c r="T330">
        <v>7523.633118</v>
      </c>
      <c r="U330" s="2">
        <v>44519</v>
      </c>
      <c r="V330" t="s">
        <v>797</v>
      </c>
    </row>
    <row r="331" spans="1:22">
      <c r="A331" s="1" t="s">
        <v>351</v>
      </c>
      <c r="B331">
        <f>HYPERLINK("https://www.suredividend.com/sure-analysis-LNC/","Lincoln National Corp.")</f>
        <v>0</v>
      </c>
      <c r="C331">
        <v>67.87</v>
      </c>
      <c r="D331">
        <v>76</v>
      </c>
      <c r="E331">
        <v>0.8930263157894738</v>
      </c>
      <c r="F331">
        <v>0.0265212907028142</v>
      </c>
      <c r="G331">
        <v>0.02288579757532849</v>
      </c>
      <c r="H331">
        <v>0.06</v>
      </c>
      <c r="I331">
        <v>0.1068835587139791</v>
      </c>
      <c r="J331" t="s">
        <v>345</v>
      </c>
      <c r="K331" t="s">
        <v>345</v>
      </c>
      <c r="L331">
        <v>8.960000000000001</v>
      </c>
      <c r="M331">
        <v>1.8</v>
      </c>
      <c r="N331">
        <v>0.2008928571428571</v>
      </c>
      <c r="O331">
        <v>11</v>
      </c>
      <c r="P331">
        <v>0.06961037572506878</v>
      </c>
      <c r="Q331">
        <v>0.3968785824985741</v>
      </c>
      <c r="R331" t="s">
        <v>780</v>
      </c>
      <c r="S331" t="s">
        <v>789</v>
      </c>
      <c r="T331">
        <v>12264.698587</v>
      </c>
      <c r="U331" s="2">
        <v>44505</v>
      </c>
      <c r="V331" t="s">
        <v>802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115.34</v>
      </c>
      <c r="D332">
        <v>154</v>
      </c>
      <c r="E332">
        <v>0.7489610389610389</v>
      </c>
      <c r="F332">
        <v>0.01734003814808393</v>
      </c>
      <c r="G332">
        <v>0.05951754982948798</v>
      </c>
      <c r="H332">
        <v>0.03</v>
      </c>
      <c r="I332">
        <v>0.1055486611019694</v>
      </c>
      <c r="J332" t="s">
        <v>345</v>
      </c>
      <c r="K332" t="s">
        <v>526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0.326978012938438</v>
      </c>
      <c r="R332" t="s">
        <v>780</v>
      </c>
      <c r="S332" t="s">
        <v>789</v>
      </c>
      <c r="T332">
        <v>33803.357466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HYPERLINK("https://www.suredividend.com/sure-analysis-GLOP/","Gaslog Partners LP")</f>
        <v>0</v>
      </c>
      <c r="C333">
        <v>4.27</v>
      </c>
      <c r="D333">
        <v>5.25</v>
      </c>
      <c r="E333">
        <v>0.8133333333333332</v>
      </c>
      <c r="F333">
        <v>0.009367681498829042</v>
      </c>
      <c r="G333">
        <v>0.04218852166805176</v>
      </c>
      <c r="H333">
        <v>0.05</v>
      </c>
      <c r="I333">
        <v>0.102559074715229</v>
      </c>
      <c r="J333" t="s">
        <v>345</v>
      </c>
      <c r="K333" t="s">
        <v>526</v>
      </c>
      <c r="L333">
        <v>1.25</v>
      </c>
      <c r="M333">
        <v>0.04</v>
      </c>
      <c r="N333">
        <v>0.032</v>
      </c>
      <c r="O333">
        <v>0</v>
      </c>
      <c r="P333">
        <v>0.08447177119769855</v>
      </c>
      <c r="Q333">
        <v>0.414703641122486</v>
      </c>
      <c r="R333" t="s">
        <v>780</v>
      </c>
      <c r="S333" t="s">
        <v>793</v>
      </c>
      <c r="T333">
        <v>202.901108</v>
      </c>
      <c r="U333" s="2">
        <v>44498</v>
      </c>
      <c r="V333" t="s">
        <v>795</v>
      </c>
    </row>
    <row r="334" spans="1:22">
      <c r="A334" s="1" t="s">
        <v>354</v>
      </c>
      <c r="B334">
        <f>HYPERLINK("https://www.suredividend.com/sure-analysis-MPLX/","MPLX LP")</f>
        <v>0</v>
      </c>
      <c r="C334">
        <v>28.86</v>
      </c>
      <c r="D334">
        <v>29</v>
      </c>
      <c r="E334">
        <v>0.9951724137931034</v>
      </c>
      <c r="F334">
        <v>0.0977130977130977</v>
      </c>
      <c r="G334">
        <v>0.0009683238512598891</v>
      </c>
      <c r="H334">
        <v>0.02</v>
      </c>
      <c r="I334">
        <v>0.1023455993536511</v>
      </c>
      <c r="J334" t="s">
        <v>345</v>
      </c>
      <c r="K334" t="s">
        <v>776</v>
      </c>
      <c r="L334">
        <v>4.1</v>
      </c>
      <c r="M334">
        <v>2.82</v>
      </c>
      <c r="N334">
        <v>0.6878048780487805</v>
      </c>
      <c r="O334">
        <v>9</v>
      </c>
      <c r="P334">
        <v>0.01977005769334617</v>
      </c>
      <c r="Q334">
        <v>0.446855870895937</v>
      </c>
      <c r="R334" t="s">
        <v>781</v>
      </c>
      <c r="S334" t="s">
        <v>793</v>
      </c>
      <c r="T334">
        <v>29433.264593</v>
      </c>
      <c r="U334" s="2">
        <v>44509</v>
      </c>
      <c r="V334" t="s">
        <v>799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161.14</v>
      </c>
      <c r="D335">
        <v>174</v>
      </c>
      <c r="E335">
        <v>0.9260919540229884</v>
      </c>
      <c r="F335">
        <v>0.01638326920690083</v>
      </c>
      <c r="G335">
        <v>0.01547486397957587</v>
      </c>
      <c r="H335">
        <v>0.07000000000000001</v>
      </c>
      <c r="I335">
        <v>0.1002483954995324</v>
      </c>
      <c r="J335" t="s">
        <v>345</v>
      </c>
      <c r="K335" t="s">
        <v>526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-0.184762124475298</v>
      </c>
      <c r="R335" t="s">
        <v>780</v>
      </c>
      <c r="S335" t="s">
        <v>790</v>
      </c>
      <c r="T335">
        <v>8887.69507</v>
      </c>
      <c r="U335" s="2">
        <v>44503</v>
      </c>
      <c r="V335" t="s">
        <v>795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17.26</v>
      </c>
      <c r="D336">
        <v>19.6</v>
      </c>
      <c r="E336">
        <v>0.8806122448979592</v>
      </c>
      <c r="F336">
        <v>0.05446118192352259</v>
      </c>
      <c r="G336">
        <v>0.02575361451968194</v>
      </c>
      <c r="H336">
        <v>0.03</v>
      </c>
      <c r="I336">
        <v>0.0998306093470489</v>
      </c>
      <c r="J336" t="s">
        <v>345</v>
      </c>
      <c r="K336" t="s">
        <v>776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-0.08050140908098001</v>
      </c>
      <c r="R336" t="s">
        <v>780</v>
      </c>
      <c r="S336" t="s">
        <v>790</v>
      </c>
      <c r="T336">
        <v>63411.769034</v>
      </c>
      <c r="U336" s="2">
        <v>44497</v>
      </c>
      <c r="V336" t="s">
        <v>806</v>
      </c>
    </row>
    <row r="337" spans="1:22">
      <c r="A337" s="1" t="s">
        <v>357</v>
      </c>
      <c r="B337">
        <f>HYPERLINK("https://www.suredividend.com/sure-analysis-AEG/","Aegon N. V.")</f>
        <v>0</v>
      </c>
      <c r="C337">
        <v>4.93</v>
      </c>
      <c r="D337">
        <v>5.6</v>
      </c>
      <c r="E337">
        <v>0.8803571428571428</v>
      </c>
      <c r="F337">
        <v>0.03448275862068966</v>
      </c>
      <c r="G337">
        <v>0.0258130543772126</v>
      </c>
      <c r="H337">
        <v>0.04</v>
      </c>
      <c r="I337">
        <v>0.09864260995749596</v>
      </c>
      <c r="J337" t="s">
        <v>345</v>
      </c>
      <c r="K337" t="s">
        <v>345</v>
      </c>
      <c r="L337">
        <v>0.7</v>
      </c>
      <c r="M337">
        <v>0.17</v>
      </c>
      <c r="N337">
        <v>0.2428571428571429</v>
      </c>
      <c r="O337">
        <v>0</v>
      </c>
      <c r="P337">
        <v>0.0801851873035635</v>
      </c>
      <c r="Q337">
        <v>0.3427388604423131</v>
      </c>
      <c r="R337" t="s">
        <v>780</v>
      </c>
      <c r="S337" t="s">
        <v>789</v>
      </c>
      <c r="T337">
        <v>10378.334703</v>
      </c>
      <c r="U337" s="2">
        <v>44517</v>
      </c>
      <c r="V337" t="s">
        <v>803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56</v>
      </c>
      <c r="D338">
        <v>61</v>
      </c>
      <c r="E338">
        <v>0.9180327868852459</v>
      </c>
      <c r="F338">
        <v>0.06428571428571429</v>
      </c>
      <c r="G338">
        <v>0.01725155312624826</v>
      </c>
      <c r="H338">
        <v>0.03</v>
      </c>
      <c r="I338">
        <v>0.09770637452620701</v>
      </c>
      <c r="J338" t="s">
        <v>345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-0.144633337915654</v>
      </c>
      <c r="R338" t="s">
        <v>782</v>
      </c>
      <c r="S338" t="s">
        <v>794</v>
      </c>
      <c r="T338">
        <v>2567.633544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HYPERLINK("https://www.suredividend.com/sure-analysis-EQNR/","Equinor ASA")</f>
        <v>0</v>
      </c>
      <c r="C339">
        <v>27.44</v>
      </c>
      <c r="D339">
        <v>34.8</v>
      </c>
      <c r="E339">
        <v>0.7885057471264368</v>
      </c>
      <c r="F339">
        <v>0.02623906705539358</v>
      </c>
      <c r="G339">
        <v>0.04867044272977727</v>
      </c>
      <c r="H339">
        <v>0.02</v>
      </c>
      <c r="I339">
        <v>0.09755403256247752</v>
      </c>
      <c r="J339" t="s">
        <v>345</v>
      </c>
      <c r="K339" t="s">
        <v>526</v>
      </c>
      <c r="L339">
        <v>2.9</v>
      </c>
      <c r="M339">
        <v>0.72</v>
      </c>
      <c r="N339">
        <v>0.2482758620689655</v>
      </c>
      <c r="O339">
        <v>0</v>
      </c>
      <c r="P339">
        <v>0.1305865872992673</v>
      </c>
      <c r="Q339">
        <v>0.7243329521032591</v>
      </c>
      <c r="R339" t="s">
        <v>780</v>
      </c>
      <c r="S339" t="s">
        <v>793</v>
      </c>
      <c r="T339">
        <v>89390.95067999999</v>
      </c>
      <c r="U339" s="2">
        <v>44502</v>
      </c>
      <c r="V339" t="s">
        <v>795</v>
      </c>
    </row>
    <row r="340" spans="1:22">
      <c r="A340" s="1" t="s">
        <v>360</v>
      </c>
      <c r="B340">
        <f>HYPERLINK("https://www.suredividend.com/sure-analysis-ROST/","Ross Stores, Inc.")</f>
        <v>0</v>
      </c>
      <c r="C340">
        <v>110.16</v>
      </c>
      <c r="D340">
        <v>90</v>
      </c>
      <c r="E340">
        <v>1.224</v>
      </c>
      <c r="F340">
        <v>0.01034858387799564</v>
      </c>
      <c r="G340">
        <v>-0.03961865288340116</v>
      </c>
      <c r="H340">
        <v>0.13</v>
      </c>
      <c r="I340">
        <v>0.09652072182020199</v>
      </c>
      <c r="J340" t="s">
        <v>345</v>
      </c>
      <c r="K340" t="s">
        <v>778</v>
      </c>
      <c r="L340">
        <v>4.8</v>
      </c>
      <c r="M340">
        <v>1.14</v>
      </c>
      <c r="N340">
        <v>0.2375</v>
      </c>
      <c r="O340">
        <v>0</v>
      </c>
      <c r="P340">
        <v>0.1486983549970351</v>
      </c>
      <c r="Q340">
        <v>-0.05841566640426001</v>
      </c>
      <c r="R340" t="s">
        <v>780</v>
      </c>
      <c r="S340" t="s">
        <v>788</v>
      </c>
      <c r="T340">
        <v>38922.803608</v>
      </c>
      <c r="U340" s="2">
        <v>44522</v>
      </c>
      <c r="V340" t="s">
        <v>803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31.72</v>
      </c>
      <c r="D341">
        <v>39</v>
      </c>
      <c r="E341">
        <v>0.8133333333333334</v>
      </c>
      <c r="F341">
        <v>0.03152585119798235</v>
      </c>
      <c r="G341">
        <v>0.04218852166805176</v>
      </c>
      <c r="H341">
        <v>0.03</v>
      </c>
      <c r="I341">
        <v>0.09621144027581008</v>
      </c>
      <c r="J341" t="s">
        <v>345</v>
      </c>
      <c r="K341" t="s">
        <v>345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0.230917289498397</v>
      </c>
      <c r="R341" t="s">
        <v>780</v>
      </c>
      <c r="S341" t="s">
        <v>790</v>
      </c>
      <c r="T341">
        <v>5169.118035</v>
      </c>
      <c r="U341" s="2">
        <v>44505</v>
      </c>
      <c r="V341" t="s">
        <v>796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52.82</v>
      </c>
      <c r="D342">
        <v>54</v>
      </c>
      <c r="E342">
        <v>0.9781481481481481</v>
      </c>
      <c r="F342">
        <v>0.0384324119651647</v>
      </c>
      <c r="G342">
        <v>0.004428605355504045</v>
      </c>
      <c r="H342">
        <v>0.06</v>
      </c>
      <c r="I342">
        <v>0.09591533818257147</v>
      </c>
      <c r="J342" t="s">
        <v>345</v>
      </c>
      <c r="K342" t="s">
        <v>777</v>
      </c>
      <c r="L342">
        <v>2.98</v>
      </c>
      <c r="M342">
        <v>2.03</v>
      </c>
      <c r="N342">
        <v>0.6812080536912751</v>
      </c>
      <c r="O342">
        <v>6</v>
      </c>
      <c r="P342">
        <v>0.03405357579605606</v>
      </c>
      <c r="Q342">
        <v>-0.06211990731287201</v>
      </c>
      <c r="R342" t="s">
        <v>780</v>
      </c>
      <c r="S342" t="s">
        <v>791</v>
      </c>
      <c r="T342">
        <v>135701.268385</v>
      </c>
      <c r="U342" s="2">
        <v>44516</v>
      </c>
      <c r="V342" t="s">
        <v>803</v>
      </c>
    </row>
    <row r="343" spans="1:22">
      <c r="A343" s="1" t="s">
        <v>363</v>
      </c>
      <c r="B343">
        <f>HYPERLINK("https://www.suredividend.com/sure-analysis-RLJ/","RLJ Lodging Trust")</f>
        <v>0</v>
      </c>
      <c r="C343">
        <v>14.04</v>
      </c>
      <c r="D343">
        <v>18.7</v>
      </c>
      <c r="E343">
        <v>0.7508021390374331</v>
      </c>
      <c r="F343">
        <v>0.002849002849002849</v>
      </c>
      <c r="G343">
        <v>0.05899741438402728</v>
      </c>
      <c r="H343">
        <v>0.01</v>
      </c>
      <c r="I343">
        <v>0.0953126912168305</v>
      </c>
      <c r="J343" t="s">
        <v>345</v>
      </c>
      <c r="K343" t="s">
        <v>778</v>
      </c>
      <c r="L343">
        <v>0.2</v>
      </c>
      <c r="M343">
        <v>0.04</v>
      </c>
      <c r="N343">
        <v>0.2</v>
      </c>
      <c r="O343">
        <v>0</v>
      </c>
      <c r="P343">
        <v>1</v>
      </c>
      <c r="Q343">
        <v>-0.012095497435247</v>
      </c>
      <c r="R343" t="s">
        <v>782</v>
      </c>
      <c r="S343" t="s">
        <v>794</v>
      </c>
      <c r="T343">
        <v>2338.780139</v>
      </c>
      <c r="U343" s="2">
        <v>44526</v>
      </c>
      <c r="V343" t="s">
        <v>803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23.34</v>
      </c>
      <c r="D344">
        <v>30</v>
      </c>
      <c r="E344">
        <v>0.778</v>
      </c>
      <c r="F344">
        <v>0.02913453299057412</v>
      </c>
      <c r="G344">
        <v>0.05148741866760775</v>
      </c>
      <c r="H344">
        <v>0.02</v>
      </c>
      <c r="I344">
        <v>0.09526938525155204</v>
      </c>
      <c r="J344" t="s">
        <v>345</v>
      </c>
      <c r="K344" t="s">
        <v>345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0.36507193823839</v>
      </c>
      <c r="R344" t="s">
        <v>780</v>
      </c>
      <c r="S344" t="s">
        <v>789</v>
      </c>
      <c r="T344">
        <v>10764.560107</v>
      </c>
      <c r="U344" s="2">
        <v>44505</v>
      </c>
      <c r="V344" t="s">
        <v>797</v>
      </c>
    </row>
    <row r="345" spans="1:22">
      <c r="A345" s="1" t="s">
        <v>365</v>
      </c>
      <c r="B345">
        <f>HYPERLINK("https://www.suredividend.com/sure-analysis-SJI/","South Jersey Industries Inc.")</f>
        <v>0</v>
      </c>
      <c r="C345">
        <v>25.8</v>
      </c>
      <c r="D345">
        <v>29</v>
      </c>
      <c r="E345">
        <v>0.8896551724137931</v>
      </c>
      <c r="F345">
        <v>0.04651162790697674</v>
      </c>
      <c r="G345">
        <v>0.02365982329484795</v>
      </c>
      <c r="H345">
        <v>0.03</v>
      </c>
      <c r="I345">
        <v>0.09278713713194753</v>
      </c>
      <c r="J345" t="s">
        <v>345</v>
      </c>
      <c r="K345" t="s">
        <v>776</v>
      </c>
      <c r="L345">
        <v>1.6</v>
      </c>
      <c r="M345">
        <v>1.2</v>
      </c>
      <c r="N345">
        <v>0.7499999999999999</v>
      </c>
      <c r="O345">
        <v>23</v>
      </c>
      <c r="P345">
        <v>0.03131030647754507</v>
      </c>
      <c r="Q345">
        <v>0.25584723445889</v>
      </c>
      <c r="R345" t="s">
        <v>780</v>
      </c>
      <c r="S345" t="s">
        <v>792</v>
      </c>
      <c r="T345">
        <v>2901.135154</v>
      </c>
      <c r="U345" s="2">
        <v>44517</v>
      </c>
      <c r="V345" t="s">
        <v>800</v>
      </c>
    </row>
    <row r="346" spans="1:22">
      <c r="A346" s="1" t="s">
        <v>366</v>
      </c>
      <c r="B346">
        <f>HYPERLINK("https://www.suredividend.com/sure-analysis-PHM/","PulteGroup Inc")</f>
        <v>0</v>
      </c>
      <c r="C346">
        <v>54.65</v>
      </c>
      <c r="D346">
        <v>61</v>
      </c>
      <c r="E346">
        <v>0.8959016393442623</v>
      </c>
      <c r="F346">
        <v>0.01097895699908509</v>
      </c>
      <c r="G346">
        <v>0.02222837928083954</v>
      </c>
      <c r="H346">
        <v>0.06</v>
      </c>
      <c r="I346">
        <v>0.09224256798132036</v>
      </c>
      <c r="J346" t="s">
        <v>345</v>
      </c>
      <c r="K346" t="s">
        <v>526</v>
      </c>
      <c r="L346">
        <v>7.13</v>
      </c>
      <c r="M346">
        <v>0.6</v>
      </c>
      <c r="N346">
        <v>0.08415147265077139</v>
      </c>
      <c r="O346">
        <v>4</v>
      </c>
      <c r="P346">
        <v>0.03424021252947318</v>
      </c>
      <c r="Q346">
        <v>0.247585869977125</v>
      </c>
      <c r="R346" t="s">
        <v>780</v>
      </c>
      <c r="S346" t="s">
        <v>788</v>
      </c>
      <c r="T346">
        <v>13836.596702</v>
      </c>
      <c r="U346" s="2">
        <v>44498</v>
      </c>
      <c r="V346" t="s">
        <v>802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55.4</v>
      </c>
      <c r="D347">
        <v>49</v>
      </c>
      <c r="E347">
        <v>1.130612244897959</v>
      </c>
      <c r="F347">
        <v>0.009566787003610109</v>
      </c>
      <c r="G347">
        <v>-0.0242529137872366</v>
      </c>
      <c r="H347">
        <v>0.11</v>
      </c>
      <c r="I347">
        <v>0.09126827632532297</v>
      </c>
      <c r="J347" t="s">
        <v>345</v>
      </c>
      <c r="K347" t="s">
        <v>778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0.7427631289204301</v>
      </c>
      <c r="R347" t="s">
        <v>780</v>
      </c>
      <c r="S347" t="s">
        <v>786</v>
      </c>
      <c r="T347">
        <v>6162.784418</v>
      </c>
      <c r="U347" s="2">
        <v>44511</v>
      </c>
      <c r="V347" t="s">
        <v>795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17.28</v>
      </c>
      <c r="D348">
        <v>20</v>
      </c>
      <c r="E348">
        <v>0.8640000000000001</v>
      </c>
      <c r="F348">
        <v>0.02777777777777778</v>
      </c>
      <c r="G348">
        <v>0.02966808427901979</v>
      </c>
      <c r="H348">
        <v>0.04</v>
      </c>
      <c r="I348">
        <v>0.09119151590579166</v>
      </c>
      <c r="J348" t="s">
        <v>345</v>
      </c>
      <c r="K348" t="s">
        <v>345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-0.154226420635309</v>
      </c>
      <c r="R348" t="s">
        <v>780</v>
      </c>
      <c r="S348" t="s">
        <v>788</v>
      </c>
      <c r="T348">
        <v>6452.408056</v>
      </c>
      <c r="U348" s="2">
        <v>44528</v>
      </c>
      <c r="V348" t="s">
        <v>798</v>
      </c>
    </row>
    <row r="349" spans="1:22">
      <c r="A349" s="1" t="s">
        <v>369</v>
      </c>
      <c r="B349">
        <f>HYPERLINK("https://www.suredividend.com/sure-analysis-OGS/","ONE Gas Inc")</f>
        <v>0</v>
      </c>
      <c r="C349">
        <v>75.70999999999999</v>
      </c>
      <c r="D349">
        <v>77</v>
      </c>
      <c r="E349">
        <v>0.9832467532467531</v>
      </c>
      <c r="F349">
        <v>0.03064324395720512</v>
      </c>
      <c r="G349">
        <v>0.003384749318567915</v>
      </c>
      <c r="H349">
        <v>0.06</v>
      </c>
      <c r="I349">
        <v>0.09116875203155894</v>
      </c>
      <c r="J349" t="s">
        <v>345</v>
      </c>
      <c r="K349" t="s">
        <v>777</v>
      </c>
      <c r="L349">
        <v>3.85</v>
      </c>
      <c r="M349">
        <v>2.32</v>
      </c>
      <c r="N349">
        <v>0.6025974025974026</v>
      </c>
      <c r="O349">
        <v>7</v>
      </c>
      <c r="P349">
        <v>0.06509372738446295</v>
      </c>
      <c r="Q349">
        <v>0.028586023674732</v>
      </c>
      <c r="R349" t="s">
        <v>780</v>
      </c>
      <c r="S349" t="s">
        <v>792</v>
      </c>
      <c r="T349">
        <v>4057.110231</v>
      </c>
      <c r="U349" s="2">
        <v>44502</v>
      </c>
      <c r="V349" t="s">
        <v>795</v>
      </c>
    </row>
    <row r="350" spans="1:22">
      <c r="A350" s="1" t="s">
        <v>370</v>
      </c>
      <c r="B350">
        <f>HYPERLINK("https://www.suredividend.com/sure-analysis-JBL/","Jabil Inc")</f>
        <v>0</v>
      </c>
      <c r="C350">
        <v>69.81</v>
      </c>
      <c r="D350">
        <v>75</v>
      </c>
      <c r="E350">
        <v>0.9308000000000001</v>
      </c>
      <c r="F350">
        <v>0.004583870505658215</v>
      </c>
      <c r="G350">
        <v>0.01444551188417265</v>
      </c>
      <c r="H350">
        <v>0.07000000000000001</v>
      </c>
      <c r="I350">
        <v>0.08927066670003891</v>
      </c>
      <c r="J350" t="s">
        <v>345</v>
      </c>
      <c r="K350" t="s">
        <v>778</v>
      </c>
      <c r="L350">
        <v>6.55</v>
      </c>
      <c r="M350">
        <v>0.32</v>
      </c>
      <c r="N350">
        <v>0.04885496183206107</v>
      </c>
      <c r="O350">
        <v>0</v>
      </c>
      <c r="P350">
        <v>0.05081623913789235</v>
      </c>
      <c r="Q350">
        <v>0.620744414108207</v>
      </c>
      <c r="R350" t="s">
        <v>780</v>
      </c>
      <c r="S350" t="s">
        <v>787</v>
      </c>
      <c r="T350">
        <v>10006.214744</v>
      </c>
      <c r="U350" s="2">
        <v>44551</v>
      </c>
      <c r="V350" t="s">
        <v>802</v>
      </c>
    </row>
    <row r="351" spans="1:22">
      <c r="A351" s="1" t="s">
        <v>371</v>
      </c>
      <c r="B351">
        <f>HYPERLINK("https://www.suredividend.com/sure-analysis-SR/","Spire Inc.")</f>
        <v>0</v>
      </c>
      <c r="C351">
        <v>64.22</v>
      </c>
      <c r="D351">
        <v>63</v>
      </c>
      <c r="E351">
        <v>1.019365079365079</v>
      </c>
      <c r="F351">
        <v>0.0426658361881034</v>
      </c>
      <c r="G351">
        <v>-0.003828644433566564</v>
      </c>
      <c r="H351">
        <v>0.055</v>
      </c>
      <c r="I351">
        <v>0.08874774383256945</v>
      </c>
      <c r="J351" t="s">
        <v>345</v>
      </c>
      <c r="K351" t="s">
        <v>777</v>
      </c>
      <c r="L351">
        <v>3.96</v>
      </c>
      <c r="M351">
        <v>2.74</v>
      </c>
      <c r="N351">
        <v>0.6919191919191919</v>
      </c>
      <c r="O351">
        <v>19</v>
      </c>
      <c r="P351">
        <v>0.05017940304678881</v>
      </c>
      <c r="Q351">
        <v>0.05556423047526601</v>
      </c>
      <c r="R351" t="s">
        <v>780</v>
      </c>
      <c r="S351" t="s">
        <v>792</v>
      </c>
      <c r="T351">
        <v>3322.867323</v>
      </c>
      <c r="U351" s="2">
        <v>44527</v>
      </c>
      <c r="V351" t="s">
        <v>798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161.32</v>
      </c>
      <c r="D352">
        <v>197</v>
      </c>
      <c r="E352">
        <v>0.8188832487309644</v>
      </c>
      <c r="F352">
        <v>0.01686089759484255</v>
      </c>
      <c r="G352">
        <v>0.04077200653091073</v>
      </c>
      <c r="H352">
        <v>0.03</v>
      </c>
      <c r="I352">
        <v>0.08861853689012</v>
      </c>
      <c r="J352" t="s">
        <v>345</v>
      </c>
      <c r="K352" t="s">
        <v>526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0.270021216880606</v>
      </c>
      <c r="R352" t="s">
        <v>780</v>
      </c>
      <c r="S352" t="s">
        <v>786</v>
      </c>
      <c r="T352">
        <v>17563.045199</v>
      </c>
      <c r="U352" s="2">
        <v>44494</v>
      </c>
      <c r="V352" t="s">
        <v>802</v>
      </c>
    </row>
    <row r="353" spans="1:22">
      <c r="A353" s="1" t="s">
        <v>373</v>
      </c>
      <c r="B353">
        <f>HYPERLINK("https://www.suredividend.com/sure-analysis-OGE/","Oge Energy Corp.")</f>
        <v>0</v>
      </c>
      <c r="C353">
        <v>37.21</v>
      </c>
      <c r="D353">
        <v>37</v>
      </c>
      <c r="E353">
        <v>1.005675675675676</v>
      </c>
      <c r="F353">
        <v>0.04407417360924482</v>
      </c>
      <c r="G353">
        <v>-0.001131285556337458</v>
      </c>
      <c r="H353">
        <v>0.05</v>
      </c>
      <c r="I353">
        <v>0.08821557645307387</v>
      </c>
      <c r="J353" t="s">
        <v>345</v>
      </c>
      <c r="K353" t="s">
        <v>777</v>
      </c>
      <c r="L353">
        <v>2.17</v>
      </c>
      <c r="M353">
        <v>1.64</v>
      </c>
      <c r="N353">
        <v>0.7557603686635944</v>
      </c>
      <c r="O353">
        <v>15</v>
      </c>
      <c r="P353">
        <v>0.05168994430952489</v>
      </c>
      <c r="Q353">
        <v>0.263681963750225</v>
      </c>
      <c r="R353" t="s">
        <v>780</v>
      </c>
      <c r="S353" t="s">
        <v>792</v>
      </c>
      <c r="T353">
        <v>7448.487973</v>
      </c>
      <c r="U353" s="2">
        <v>44508</v>
      </c>
      <c r="V353" t="s">
        <v>803</v>
      </c>
    </row>
    <row r="354" spans="1:22">
      <c r="A354" s="1" t="s">
        <v>374</v>
      </c>
      <c r="B354">
        <f>HYPERLINK("https://www.suredividend.com/sure-analysis-DGX/","Quest Diagnostics, Inc.")</f>
        <v>0</v>
      </c>
      <c r="C354">
        <v>167.05</v>
      </c>
      <c r="D354">
        <v>206</v>
      </c>
      <c r="E354">
        <v>0.8109223300970875</v>
      </c>
      <c r="F354">
        <v>0.01484585453457049</v>
      </c>
      <c r="G354">
        <v>0.04280750497534247</v>
      </c>
      <c r="H354">
        <v>0.03</v>
      </c>
      <c r="I354">
        <v>0.08748472527285278</v>
      </c>
      <c r="J354" t="s">
        <v>345</v>
      </c>
      <c r="K354" t="s">
        <v>526</v>
      </c>
      <c r="L354">
        <v>13.7</v>
      </c>
      <c r="M354">
        <v>2.48</v>
      </c>
      <c r="N354">
        <v>0.181021897810219</v>
      </c>
      <c r="O354">
        <v>10</v>
      </c>
      <c r="P354">
        <v>0.07010283006626494</v>
      </c>
      <c r="Q354">
        <v>0.39517597340772</v>
      </c>
      <c r="R354" t="s">
        <v>780</v>
      </c>
      <c r="S354" t="s">
        <v>785</v>
      </c>
      <c r="T354">
        <v>20492.820496</v>
      </c>
      <c r="U354" s="2">
        <v>44490</v>
      </c>
      <c r="V354" t="s">
        <v>798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76.38</v>
      </c>
      <c r="D355">
        <v>82</v>
      </c>
      <c r="E355">
        <v>0.9314634146341463</v>
      </c>
      <c r="F355">
        <v>0.02539931919350616</v>
      </c>
      <c r="G355">
        <v>0.01430096733184283</v>
      </c>
      <c r="H355">
        <v>0.05</v>
      </c>
      <c r="I355">
        <v>0.08701945603961869</v>
      </c>
      <c r="J355" t="s">
        <v>345</v>
      </c>
      <c r="K355" t="s">
        <v>345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0.499128550567619</v>
      </c>
      <c r="R355" t="s">
        <v>780</v>
      </c>
      <c r="S355" t="s">
        <v>789</v>
      </c>
      <c r="T355">
        <v>8384.002391</v>
      </c>
      <c r="U355" s="2">
        <v>44494</v>
      </c>
      <c r="V355" t="s">
        <v>802</v>
      </c>
    </row>
    <row r="356" spans="1:22">
      <c r="A356" s="1" t="s">
        <v>376</v>
      </c>
      <c r="B356">
        <f>HYPERLINK("https://www.suredividend.com/sure-analysis-HPQ/","HP Inc")</f>
        <v>0</v>
      </c>
      <c r="C356">
        <v>37.65</v>
      </c>
      <c r="D356">
        <v>42</v>
      </c>
      <c r="E356">
        <v>0.8964285714285714</v>
      </c>
      <c r="F356">
        <v>0.02656042496679947</v>
      </c>
      <c r="G356">
        <v>0.0221081752531409</v>
      </c>
      <c r="H356">
        <v>0.04</v>
      </c>
      <c r="I356">
        <v>0.08678417650987624</v>
      </c>
      <c r="J356" t="s">
        <v>345</v>
      </c>
      <c r="K356" t="s">
        <v>345</v>
      </c>
      <c r="L356">
        <v>4.17</v>
      </c>
      <c r="M356">
        <v>1</v>
      </c>
      <c r="N356">
        <v>0.2398081534772182</v>
      </c>
      <c r="O356">
        <v>11</v>
      </c>
      <c r="P356">
        <v>0.0602809527753625</v>
      </c>
      <c r="Q356">
        <v>0.585930918281381</v>
      </c>
      <c r="R356" t="s">
        <v>780</v>
      </c>
      <c r="S356" t="s">
        <v>787</v>
      </c>
      <c r="T356">
        <v>40764.504346</v>
      </c>
      <c r="U356" s="2">
        <v>44533</v>
      </c>
      <c r="V356" t="s">
        <v>797</v>
      </c>
    </row>
    <row r="357" spans="1:22">
      <c r="A357" s="1" t="s">
        <v>377</v>
      </c>
      <c r="B357">
        <f>HYPERLINK("https://www.suredividend.com/sure-analysis-PM/","Philip Morris International Inc")</f>
        <v>0</v>
      </c>
      <c r="C357">
        <v>92.93000000000001</v>
      </c>
      <c r="D357">
        <v>97</v>
      </c>
      <c r="E357">
        <v>0.9580412371134022</v>
      </c>
      <c r="F357">
        <v>0.05380393844829441</v>
      </c>
      <c r="G357">
        <v>0.00860974385565183</v>
      </c>
      <c r="H357">
        <v>0.03</v>
      </c>
      <c r="I357">
        <v>0.08510448152369765</v>
      </c>
      <c r="J357" t="s">
        <v>345</v>
      </c>
      <c r="K357" t="s">
        <v>777</v>
      </c>
      <c r="L357">
        <v>6.04</v>
      </c>
      <c r="M357">
        <v>5</v>
      </c>
      <c r="N357">
        <v>0.8278145695364238</v>
      </c>
      <c r="O357">
        <v>14</v>
      </c>
      <c r="P357">
        <v>0.03012896281839894</v>
      </c>
      <c r="Q357">
        <v>0.173941109666791</v>
      </c>
      <c r="R357" t="s">
        <v>780</v>
      </c>
      <c r="S357" t="s">
        <v>791</v>
      </c>
      <c r="T357">
        <v>144675.996302</v>
      </c>
      <c r="U357" s="2">
        <v>44488</v>
      </c>
      <c r="V357" t="s">
        <v>795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71.58</v>
      </c>
      <c r="D358">
        <v>72</v>
      </c>
      <c r="E358">
        <v>0.9941666666666666</v>
      </c>
      <c r="F358">
        <v>0.03576417993853032</v>
      </c>
      <c r="G358">
        <v>0.001170767549509399</v>
      </c>
      <c r="H358">
        <v>0.05</v>
      </c>
      <c r="I358">
        <v>0.08412938596073638</v>
      </c>
      <c r="J358" t="s">
        <v>345</v>
      </c>
      <c r="K358" t="s">
        <v>345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0.5308315636167661</v>
      </c>
      <c r="R358" t="s">
        <v>780</v>
      </c>
      <c r="S358" t="s">
        <v>789</v>
      </c>
      <c r="T358">
        <v>18973.669227</v>
      </c>
      <c r="U358" s="2">
        <v>44505</v>
      </c>
      <c r="V358" t="s">
        <v>797</v>
      </c>
    </row>
    <row r="359" spans="1:22">
      <c r="A359" s="1" t="s">
        <v>379</v>
      </c>
      <c r="B359">
        <f>HYPERLINK("https://www.suredividend.com/sure-analysis-PDCO/","Patterson Companies Inc.")</f>
        <v>0</v>
      </c>
      <c r="C359">
        <v>28.86</v>
      </c>
      <c r="D359">
        <v>31</v>
      </c>
      <c r="E359">
        <v>0.9309677419354838</v>
      </c>
      <c r="F359">
        <v>0.03603603603603604</v>
      </c>
      <c r="G359">
        <v>0.01440895265415554</v>
      </c>
      <c r="H359">
        <v>0.04</v>
      </c>
      <c r="I359">
        <v>0.08259263363202884</v>
      </c>
      <c r="J359" t="s">
        <v>345</v>
      </c>
      <c r="K359" t="s">
        <v>777</v>
      </c>
      <c r="L359">
        <v>2.05</v>
      </c>
      <c r="M359">
        <v>1.04</v>
      </c>
      <c r="N359">
        <v>0.5073170731707317</v>
      </c>
      <c r="O359">
        <v>0</v>
      </c>
      <c r="P359">
        <v>0</v>
      </c>
      <c r="Q359">
        <v>-0.07350632590362001</v>
      </c>
      <c r="R359" t="s">
        <v>780</v>
      </c>
      <c r="S359" t="s">
        <v>785</v>
      </c>
      <c r="T359">
        <v>2813.73456</v>
      </c>
      <c r="U359" s="2">
        <v>44545</v>
      </c>
      <c r="V359" t="s">
        <v>800</v>
      </c>
    </row>
    <row r="360" spans="1:22">
      <c r="A360" s="1" t="s">
        <v>380</v>
      </c>
      <c r="B360">
        <f>HYPERLINK("https://www.suredividend.com/sure-analysis-PGR/","Progressive Corp.")</f>
        <v>0</v>
      </c>
      <c r="C360">
        <v>101.25</v>
      </c>
      <c r="D360">
        <v>96</v>
      </c>
      <c r="E360">
        <v>1.0546875</v>
      </c>
      <c r="F360">
        <v>0.01876543209876543</v>
      </c>
      <c r="G360">
        <v>-0.01059240406529405</v>
      </c>
      <c r="H360">
        <v>0.08</v>
      </c>
      <c r="I360">
        <v>0.08258078907604127</v>
      </c>
      <c r="J360" t="s">
        <v>345</v>
      </c>
      <c r="K360" t="s">
        <v>526</v>
      </c>
      <c r="L360">
        <v>7.7</v>
      </c>
      <c r="M360">
        <v>1.9</v>
      </c>
      <c r="N360">
        <v>0.2467532467532467</v>
      </c>
      <c r="O360">
        <v>4</v>
      </c>
      <c r="P360">
        <v>0</v>
      </c>
      <c r="Q360">
        <v>0.106339736445289</v>
      </c>
      <c r="R360" t="s">
        <v>780</v>
      </c>
      <c r="S360" t="s">
        <v>789</v>
      </c>
      <c r="T360">
        <v>59237.693449</v>
      </c>
      <c r="U360" s="2">
        <v>44494</v>
      </c>
      <c r="V360" t="s">
        <v>795</v>
      </c>
    </row>
    <row r="361" spans="1:22">
      <c r="A361" s="1" t="s">
        <v>381</v>
      </c>
      <c r="B361">
        <f>HYPERLINK("https://www.suredividend.com/sure-analysis-WRK/","WestRock Co")</f>
        <v>0</v>
      </c>
      <c r="C361">
        <v>43</v>
      </c>
      <c r="D361">
        <v>52</v>
      </c>
      <c r="E361">
        <v>0.8269230769230769</v>
      </c>
      <c r="F361">
        <v>0.02325581395348837</v>
      </c>
      <c r="G361">
        <v>0.03874029125428868</v>
      </c>
      <c r="H361">
        <v>0.02</v>
      </c>
      <c r="I361">
        <v>0.08193778879565206</v>
      </c>
      <c r="J361" t="s">
        <v>345</v>
      </c>
      <c r="K361" t="s">
        <v>526</v>
      </c>
      <c r="L361">
        <v>4.7</v>
      </c>
      <c r="M361">
        <v>1</v>
      </c>
      <c r="N361">
        <v>0.2127659574468085</v>
      </c>
      <c r="O361">
        <v>1</v>
      </c>
      <c r="P361">
        <v>0.08009875865888949</v>
      </c>
      <c r="Q361">
        <v>-0.014864097065669</v>
      </c>
      <c r="R361" t="s">
        <v>780</v>
      </c>
      <c r="S361" t="s">
        <v>788</v>
      </c>
      <c r="T361">
        <v>11395.066349</v>
      </c>
      <c r="U361" s="2">
        <v>44524</v>
      </c>
      <c r="V361" t="s">
        <v>803</v>
      </c>
    </row>
    <row r="362" spans="1:22">
      <c r="A362" s="1" t="s">
        <v>382</v>
      </c>
      <c r="B362">
        <f>HYPERLINK("https://www.suredividend.com/sure-analysis-VIAC/","ViacomCBS Inc")</f>
        <v>0</v>
      </c>
      <c r="C362">
        <v>30.58</v>
      </c>
      <c r="D362">
        <v>36</v>
      </c>
      <c r="E362">
        <v>0.8494444444444444</v>
      </c>
      <c r="F362">
        <v>0.03139306736429039</v>
      </c>
      <c r="G362">
        <v>0.03317289471671026</v>
      </c>
      <c r="H362">
        <v>0.02</v>
      </c>
      <c r="I362">
        <v>0.08190711127743167</v>
      </c>
      <c r="J362" t="s">
        <v>345</v>
      </c>
      <c r="K362" t="s">
        <v>345</v>
      </c>
      <c r="L362">
        <v>3.64</v>
      </c>
      <c r="M362">
        <v>0.96</v>
      </c>
      <c r="N362">
        <v>0.2637362637362637</v>
      </c>
      <c r="O362">
        <v>1</v>
      </c>
      <c r="P362">
        <v>0.05081623913789235</v>
      </c>
      <c r="Q362">
        <v>-0.130125588473737</v>
      </c>
      <c r="R362" t="s">
        <v>780</v>
      </c>
      <c r="S362" t="s">
        <v>784</v>
      </c>
      <c r="T362">
        <v>19948.533224</v>
      </c>
      <c r="U362" s="2">
        <v>44513</v>
      </c>
      <c r="V362" t="s">
        <v>798</v>
      </c>
    </row>
    <row r="363" spans="1:22">
      <c r="A363" s="1" t="s">
        <v>383</v>
      </c>
      <c r="B363">
        <f>HYPERLINK("https://www.suredividend.com/sure-analysis-PRU/","Prudential Financial Inc.")</f>
        <v>0</v>
      </c>
      <c r="C363">
        <v>108.25</v>
      </c>
      <c r="D363">
        <v>116</v>
      </c>
      <c r="E363">
        <v>0.9331896551724138</v>
      </c>
      <c r="F363">
        <v>0.04249422632794457</v>
      </c>
      <c r="G363">
        <v>0.01392543285310199</v>
      </c>
      <c r="H363">
        <v>0.03</v>
      </c>
      <c r="I363">
        <v>0.08181688227637074</v>
      </c>
      <c r="J363" t="s">
        <v>345</v>
      </c>
      <c r="K363" t="s">
        <v>777</v>
      </c>
      <c r="L363">
        <v>14.5</v>
      </c>
      <c r="M363">
        <v>4.6</v>
      </c>
      <c r="N363">
        <v>0.3172413793103448</v>
      </c>
      <c r="O363">
        <v>13</v>
      </c>
      <c r="P363">
        <v>0.04012620718096094</v>
      </c>
      <c r="Q363">
        <v>0.4775151539140841</v>
      </c>
      <c r="R363" t="s">
        <v>780</v>
      </c>
      <c r="S363" t="s">
        <v>789</v>
      </c>
      <c r="T363">
        <v>40918.5</v>
      </c>
      <c r="U363" s="2">
        <v>44509</v>
      </c>
      <c r="V363" t="s">
        <v>799</v>
      </c>
    </row>
    <row r="364" spans="1:22">
      <c r="A364" s="1" t="s">
        <v>384</v>
      </c>
      <c r="B364">
        <f>HYPERLINK("https://www.suredividend.com/sure-analysis-OKE/","Oneok Inc.")</f>
        <v>0</v>
      </c>
      <c r="C364">
        <v>58.02</v>
      </c>
      <c r="D364">
        <v>57</v>
      </c>
      <c r="E364">
        <v>1.017894736842105</v>
      </c>
      <c r="F364">
        <v>0.06446053085143054</v>
      </c>
      <c r="G364">
        <v>-0.003541017928292312</v>
      </c>
      <c r="H364">
        <v>0.03</v>
      </c>
      <c r="I364">
        <v>0.08172434123420613</v>
      </c>
      <c r="J364" t="s">
        <v>345</v>
      </c>
      <c r="K364" t="s">
        <v>776</v>
      </c>
      <c r="L364">
        <v>5.15</v>
      </c>
      <c r="M364">
        <v>3.74</v>
      </c>
      <c r="N364">
        <v>0.7262135922330097</v>
      </c>
      <c r="O364">
        <v>18</v>
      </c>
      <c r="P364">
        <v>0.02003644710053942</v>
      </c>
      <c r="Q364">
        <v>0.608369509172862</v>
      </c>
      <c r="R364" t="s">
        <v>780</v>
      </c>
      <c r="S364" t="s">
        <v>793</v>
      </c>
      <c r="T364">
        <v>25873.247508</v>
      </c>
      <c r="U364" s="2">
        <v>44506</v>
      </c>
      <c r="V364" t="s">
        <v>797</v>
      </c>
    </row>
    <row r="365" spans="1:22">
      <c r="A365" s="1" t="s">
        <v>385</v>
      </c>
      <c r="B365">
        <f>HYPERLINK("https://www.suredividend.com/sure-analysis-HPE/","Hewlett Packard Enterprise Co")</f>
        <v>0</v>
      </c>
      <c r="C365">
        <v>15.76</v>
      </c>
      <c r="D365">
        <v>15.23</v>
      </c>
      <c r="E365">
        <v>1.034799737360473</v>
      </c>
      <c r="F365">
        <v>0.03045685279187817</v>
      </c>
      <c r="G365">
        <v>-0.006818233153579434</v>
      </c>
      <c r="H365">
        <v>0.06</v>
      </c>
      <c r="I365">
        <v>0.0800197225211785</v>
      </c>
      <c r="J365" t="s">
        <v>345</v>
      </c>
      <c r="K365" t="s">
        <v>345</v>
      </c>
      <c r="L365">
        <v>2.03</v>
      </c>
      <c r="M365">
        <v>0.48</v>
      </c>
      <c r="N365">
        <v>0.2364532019704434</v>
      </c>
      <c r="O365">
        <v>0</v>
      </c>
      <c r="P365">
        <v>0.04910201101938982</v>
      </c>
      <c r="Q365">
        <v>0.3845451031380681</v>
      </c>
      <c r="R365" t="s">
        <v>780</v>
      </c>
      <c r="S365" t="s">
        <v>787</v>
      </c>
      <c r="T365">
        <v>20384.612934</v>
      </c>
      <c r="U365" s="2">
        <v>44534</v>
      </c>
      <c r="V365" t="s">
        <v>795</v>
      </c>
    </row>
    <row r="366" spans="1:22">
      <c r="A366" s="1" t="s">
        <v>386</v>
      </c>
      <c r="B366">
        <f>HYPERLINK("https://www.suredividend.com/sure-analysis-RCI/","Rogers Communications Inc.")</f>
        <v>0</v>
      </c>
      <c r="C366">
        <v>46.8</v>
      </c>
      <c r="D366">
        <v>47</v>
      </c>
      <c r="E366">
        <v>0.9957446808510638</v>
      </c>
      <c r="F366">
        <v>0.03418803418803419</v>
      </c>
      <c r="G366">
        <v>0.0008532435626518176</v>
      </c>
      <c r="H366">
        <v>0.05</v>
      </c>
      <c r="I366">
        <v>0.07986227727748907</v>
      </c>
      <c r="J366" t="s">
        <v>345</v>
      </c>
      <c r="K366" t="s">
        <v>777</v>
      </c>
      <c r="L366">
        <v>3.1</v>
      </c>
      <c r="M366">
        <v>1.6</v>
      </c>
      <c r="N366">
        <v>0.5161290322580645</v>
      </c>
      <c r="O366">
        <v>0</v>
      </c>
      <c r="P366">
        <v>0.02946206823925857</v>
      </c>
      <c r="Q366">
        <v>0.042293044698336</v>
      </c>
      <c r="R366" t="s">
        <v>780</v>
      </c>
      <c r="S366" t="s">
        <v>784</v>
      </c>
      <c r="T366">
        <v>18428.525248</v>
      </c>
      <c r="U366" s="2">
        <v>44496</v>
      </c>
      <c r="V366" t="s">
        <v>803</v>
      </c>
    </row>
    <row r="367" spans="1:22">
      <c r="A367" s="1" t="s">
        <v>387</v>
      </c>
      <c r="B367">
        <f>HYPERLINK("https://www.suredividend.com/sure-analysis-LRCX/","Lam Research Corp.")</f>
        <v>0</v>
      </c>
      <c r="C367">
        <v>698.72</v>
      </c>
      <c r="D367">
        <v>615</v>
      </c>
      <c r="E367">
        <v>1.136130081300813</v>
      </c>
      <c r="F367">
        <v>0.007442179986260591</v>
      </c>
      <c r="G367">
        <v>-0.02520254145144019</v>
      </c>
      <c r="H367">
        <v>0.1</v>
      </c>
      <c r="I367">
        <v>0.07952278620848929</v>
      </c>
      <c r="J367" t="s">
        <v>345</v>
      </c>
      <c r="K367" t="s">
        <v>778</v>
      </c>
      <c r="L367">
        <v>34.16</v>
      </c>
      <c r="M367">
        <v>5.2</v>
      </c>
      <c r="N367">
        <v>0.1522248243559719</v>
      </c>
      <c r="O367">
        <v>7</v>
      </c>
      <c r="P367">
        <v>0.08997698704834534</v>
      </c>
      <c r="Q367">
        <v>0.496586137772371</v>
      </c>
      <c r="R367" t="s">
        <v>780</v>
      </c>
      <c r="S367" t="s">
        <v>787</v>
      </c>
      <c r="T367">
        <v>98378.86556799999</v>
      </c>
      <c r="U367" s="2">
        <v>44499</v>
      </c>
      <c r="V367" t="s">
        <v>798</v>
      </c>
    </row>
    <row r="368" spans="1:22">
      <c r="A368" s="1" t="s">
        <v>388</v>
      </c>
      <c r="B368">
        <f>HYPERLINK("https://www.suredividend.com/sure-analysis-ALE/","Allete, Inc.")</f>
        <v>0</v>
      </c>
      <c r="C368">
        <v>64.62</v>
      </c>
      <c r="D368">
        <v>63</v>
      </c>
      <c r="E368">
        <v>1.025714285714286</v>
      </c>
      <c r="F368">
        <v>0.03899721448467967</v>
      </c>
      <c r="G368">
        <v>-0.005064976330870552</v>
      </c>
      <c r="H368">
        <v>0.05</v>
      </c>
      <c r="I368">
        <v>0.07825219945514594</v>
      </c>
      <c r="J368" t="s">
        <v>345</v>
      </c>
      <c r="K368" t="s">
        <v>777</v>
      </c>
      <c r="L368">
        <v>3.15</v>
      </c>
      <c r="M368">
        <v>2.52</v>
      </c>
      <c r="N368">
        <v>0.8</v>
      </c>
      <c r="O368">
        <v>10</v>
      </c>
      <c r="P368">
        <v>0.02990332946790675</v>
      </c>
      <c r="Q368">
        <v>0.12219451371571</v>
      </c>
      <c r="R368" t="s">
        <v>780</v>
      </c>
      <c r="S368" t="s">
        <v>792</v>
      </c>
      <c r="T368">
        <v>3397.232753</v>
      </c>
      <c r="U368" s="2">
        <v>44513</v>
      </c>
      <c r="V368" t="s">
        <v>802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50.19</v>
      </c>
      <c r="D369">
        <v>80</v>
      </c>
      <c r="E369">
        <v>0.627375</v>
      </c>
      <c r="F369">
        <v>0.01992428770671448</v>
      </c>
      <c r="G369">
        <v>0.09772753559033065</v>
      </c>
      <c r="H369">
        <v>-0.04</v>
      </c>
      <c r="I369">
        <v>0.07354392277478894</v>
      </c>
      <c r="J369" t="s">
        <v>345</v>
      </c>
      <c r="K369" t="s">
        <v>526</v>
      </c>
      <c r="L369">
        <v>7.3</v>
      </c>
      <c r="M369">
        <v>1</v>
      </c>
      <c r="N369">
        <v>0.136986301369863</v>
      </c>
      <c r="O369">
        <v>0</v>
      </c>
      <c r="P369">
        <v>0.08009875865888949</v>
      </c>
      <c r="Q369">
        <v>0.280442070137304</v>
      </c>
      <c r="R369" t="s">
        <v>780</v>
      </c>
      <c r="S369" t="s">
        <v>788</v>
      </c>
      <c r="T369">
        <v>6984.343182</v>
      </c>
      <c r="U369" s="2">
        <v>44535</v>
      </c>
      <c r="V369" t="s">
        <v>801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41.96</v>
      </c>
      <c r="D370">
        <v>46</v>
      </c>
      <c r="E370">
        <v>0.9121739130434783</v>
      </c>
      <c r="F370">
        <v>0.03527168732125834</v>
      </c>
      <c r="G370">
        <v>0.0185549657598898</v>
      </c>
      <c r="H370">
        <v>0.025</v>
      </c>
      <c r="I370">
        <v>0.07332665488396617</v>
      </c>
      <c r="J370" t="s">
        <v>345</v>
      </c>
      <c r="K370" t="s">
        <v>777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-0.09942200749909301</v>
      </c>
      <c r="R370" t="s">
        <v>780</v>
      </c>
      <c r="S370" t="s">
        <v>791</v>
      </c>
      <c r="T370">
        <v>12660.921361</v>
      </c>
      <c r="U370" s="2">
        <v>44546</v>
      </c>
      <c r="V370" t="s">
        <v>802</v>
      </c>
    </row>
    <row r="371" spans="1:22">
      <c r="A371" s="1" t="s">
        <v>391</v>
      </c>
      <c r="B371">
        <f>HYPERLINK("https://www.suredividend.com/sure-analysis-R/","Ryder System, Inc.")</f>
        <v>0</v>
      </c>
      <c r="C371">
        <v>79.34999999999999</v>
      </c>
      <c r="D371">
        <v>101</v>
      </c>
      <c r="E371">
        <v>0.7856435643564356</v>
      </c>
      <c r="F371">
        <v>0.02923755513547574</v>
      </c>
      <c r="G371">
        <v>0.04943341521543254</v>
      </c>
      <c r="H371">
        <v>0</v>
      </c>
      <c r="I371">
        <v>0.07318276456779738</v>
      </c>
      <c r="J371" t="s">
        <v>345</v>
      </c>
      <c r="K371" t="s">
        <v>345</v>
      </c>
      <c r="L371">
        <v>8.449999999999999</v>
      </c>
      <c r="M371">
        <v>2.32</v>
      </c>
      <c r="N371">
        <v>0.2745562130177515</v>
      </c>
      <c r="O371">
        <v>17</v>
      </c>
      <c r="P371">
        <v>0.01013720758985226</v>
      </c>
      <c r="Q371">
        <v>0.274135923889044</v>
      </c>
      <c r="R371" t="s">
        <v>780</v>
      </c>
      <c r="S371" t="s">
        <v>786</v>
      </c>
      <c r="T371">
        <v>4260.560419</v>
      </c>
      <c r="U371" s="2">
        <v>44497</v>
      </c>
      <c r="V371" t="s">
        <v>799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32.84</v>
      </c>
      <c r="D372">
        <v>33</v>
      </c>
      <c r="E372">
        <v>0.9951515151515152</v>
      </c>
      <c r="F372">
        <v>0.02283800243605359</v>
      </c>
      <c r="G372">
        <v>0.0009725279753962646</v>
      </c>
      <c r="H372">
        <v>0.05</v>
      </c>
      <c r="I372">
        <v>0.07244551221774698</v>
      </c>
      <c r="J372" t="s">
        <v>345</v>
      </c>
      <c r="K372" t="s">
        <v>526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0.319771250366714</v>
      </c>
      <c r="R372" t="s">
        <v>780</v>
      </c>
      <c r="S372" t="s">
        <v>790</v>
      </c>
      <c r="T372">
        <v>7160.129961</v>
      </c>
      <c r="U372" s="2">
        <v>44503</v>
      </c>
      <c r="V372" t="s">
        <v>795</v>
      </c>
    </row>
    <row r="373" spans="1:22">
      <c r="A373" s="1" t="s">
        <v>393</v>
      </c>
      <c r="B373">
        <f>HYPERLINK("https://www.suredividend.com/sure-analysis-COLD/","Americold Realty Trust")</f>
        <v>0</v>
      </c>
      <c r="C373">
        <v>31.96</v>
      </c>
      <c r="D373">
        <v>30</v>
      </c>
      <c r="E373">
        <v>1.065333333333333</v>
      </c>
      <c r="F373">
        <v>0.02753441802252816</v>
      </c>
      <c r="G373">
        <v>-0.01257777800666204</v>
      </c>
      <c r="H373">
        <v>0.06</v>
      </c>
      <c r="I373">
        <v>0.07172073056654216</v>
      </c>
      <c r="J373" t="s">
        <v>345</v>
      </c>
      <c r="K373" t="s">
        <v>345</v>
      </c>
      <c r="L373">
        <v>1.18</v>
      </c>
      <c r="M373">
        <v>0.88</v>
      </c>
      <c r="N373">
        <v>0.7457627118644068</v>
      </c>
      <c r="O373">
        <v>3</v>
      </c>
      <c r="P373">
        <v>0.04563955259127317</v>
      </c>
      <c r="Q373">
        <v>-0.09341048988738501</v>
      </c>
      <c r="R373" t="s">
        <v>782</v>
      </c>
      <c r="S373" t="s">
        <v>794</v>
      </c>
      <c r="T373">
        <v>8525.952101000001</v>
      </c>
      <c r="U373" s="2">
        <v>44513</v>
      </c>
      <c r="V373" t="s">
        <v>795</v>
      </c>
    </row>
    <row r="374" spans="1:22">
      <c r="A374" s="1" t="s">
        <v>394</v>
      </c>
      <c r="B374">
        <f>HYPERLINK("https://www.suredividend.com/sure-analysis-SAXPY/","Sampo Plc")</f>
        <v>0</v>
      </c>
      <c r="C374">
        <v>24.76</v>
      </c>
      <c r="D374">
        <v>26</v>
      </c>
      <c r="E374">
        <v>0.9523076923076924</v>
      </c>
      <c r="F374">
        <v>0.04159935379644588</v>
      </c>
      <c r="G374">
        <v>0.009821333864358017</v>
      </c>
      <c r="H374">
        <v>0.025</v>
      </c>
      <c r="I374">
        <v>0.07155024104978902</v>
      </c>
      <c r="J374" t="s">
        <v>345</v>
      </c>
      <c r="K374" t="s">
        <v>777</v>
      </c>
      <c r="L374">
        <v>23.99</v>
      </c>
      <c r="M374">
        <v>1.03</v>
      </c>
      <c r="N374">
        <v>0.0429345560650271</v>
      </c>
      <c r="O374">
        <v>0</v>
      </c>
      <c r="P374">
        <v>0.02581661126327583</v>
      </c>
      <c r="Q374">
        <v>0.196135265700483</v>
      </c>
      <c r="R374" t="s">
        <v>780</v>
      </c>
      <c r="S374" t="s">
        <v>789</v>
      </c>
      <c r="T374">
        <v>27441.599612</v>
      </c>
      <c r="U374" s="2">
        <v>44507</v>
      </c>
      <c r="V374" t="s">
        <v>796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21.66</v>
      </c>
      <c r="D375">
        <v>26</v>
      </c>
      <c r="E375">
        <v>0.833076923076923</v>
      </c>
      <c r="F375">
        <v>0.02954755309325946</v>
      </c>
      <c r="G375">
        <v>0.03720112495535899</v>
      </c>
      <c r="H375">
        <v>0.01</v>
      </c>
      <c r="I375">
        <v>0.07103344582946769</v>
      </c>
      <c r="J375" t="s">
        <v>345</v>
      </c>
      <c r="K375" t="s">
        <v>345</v>
      </c>
      <c r="L375">
        <v>4.35</v>
      </c>
      <c r="M375">
        <v>0.64</v>
      </c>
      <c r="N375">
        <v>0.1471264367816092</v>
      </c>
      <c r="O375">
        <v>0</v>
      </c>
      <c r="P375">
        <v>0</v>
      </c>
      <c r="Q375">
        <v>1.311065586889024</v>
      </c>
      <c r="R375" t="s">
        <v>780</v>
      </c>
      <c r="S375" t="s">
        <v>789</v>
      </c>
      <c r="T375">
        <v>3490.993578</v>
      </c>
      <c r="U375" s="2">
        <v>44505</v>
      </c>
      <c r="V375" t="s">
        <v>797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79.5</v>
      </c>
      <c r="D376">
        <v>65</v>
      </c>
      <c r="E376">
        <v>1.223076923076923</v>
      </c>
      <c r="F376">
        <v>0.02163522012578616</v>
      </c>
      <c r="G376">
        <v>-0.03947373340387061</v>
      </c>
      <c r="H376">
        <v>0.09</v>
      </c>
      <c r="I376">
        <v>0.06855547479392454</v>
      </c>
      <c r="J376" t="s">
        <v>345</v>
      </c>
      <c r="K376" t="s">
        <v>526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0.120467918677988</v>
      </c>
      <c r="R376" t="s">
        <v>780</v>
      </c>
      <c r="S376" t="s">
        <v>788</v>
      </c>
      <c r="T376">
        <v>23909.861592</v>
      </c>
      <c r="U376" s="2">
        <v>44520</v>
      </c>
      <c r="V376" t="s">
        <v>804</v>
      </c>
    </row>
    <row r="377" spans="1:22">
      <c r="A377" s="1" t="s">
        <v>397</v>
      </c>
      <c r="B377">
        <f>HYPERLINK("https://www.suredividend.com/sure-analysis-NLSN/","Nielsen Holdings plc")</f>
        <v>0</v>
      </c>
      <c r="C377">
        <v>21.04</v>
      </c>
      <c r="D377">
        <v>24</v>
      </c>
      <c r="E377">
        <v>0.8766666666666666</v>
      </c>
      <c r="F377">
        <v>0.01140684410646388</v>
      </c>
      <c r="G377">
        <v>0.02667527035245243</v>
      </c>
      <c r="H377">
        <v>0.03</v>
      </c>
      <c r="I377">
        <v>0.06772441613918878</v>
      </c>
      <c r="J377" t="s">
        <v>345</v>
      </c>
      <c r="K377" t="s">
        <v>778</v>
      </c>
      <c r="L377">
        <v>1.68</v>
      </c>
      <c r="M377">
        <v>0.24</v>
      </c>
      <c r="N377">
        <v>0.1428571428571428</v>
      </c>
      <c r="O377">
        <v>0</v>
      </c>
      <c r="P377">
        <v>0.04563955259127317</v>
      </c>
      <c r="Q377">
        <v>0.05046631917400601</v>
      </c>
      <c r="R377" t="s">
        <v>780</v>
      </c>
      <c r="S377" t="s">
        <v>786</v>
      </c>
      <c r="T377">
        <v>7551.83338</v>
      </c>
      <c r="U377" s="2">
        <v>44504</v>
      </c>
      <c r="V377" t="s">
        <v>797</v>
      </c>
    </row>
    <row r="378" spans="1:22">
      <c r="A378" s="1" t="s">
        <v>398</v>
      </c>
      <c r="B378">
        <f>HYPERLINK("https://www.suredividend.com/sure-analysis-WFC/","Wells Fargo &amp; Co.")</f>
        <v>0</v>
      </c>
      <c r="C378">
        <v>48.36</v>
      </c>
      <c r="D378">
        <v>50</v>
      </c>
      <c r="E378">
        <v>0.9671999999999999</v>
      </c>
      <c r="F378">
        <v>0.01654259718775848</v>
      </c>
      <c r="G378">
        <v>0.006692289898521997</v>
      </c>
      <c r="H378">
        <v>0.04</v>
      </c>
      <c r="I378">
        <v>0.06749753562600236</v>
      </c>
      <c r="J378" t="s">
        <v>345</v>
      </c>
      <c r="K378" t="s">
        <v>526</v>
      </c>
      <c r="L378">
        <v>4.35</v>
      </c>
      <c r="M378">
        <v>0.8</v>
      </c>
      <c r="N378">
        <v>0.1839080459770115</v>
      </c>
      <c r="O378">
        <v>0</v>
      </c>
      <c r="P378">
        <v>0.1501306516611158</v>
      </c>
      <c r="Q378">
        <v>0.615122570302584</v>
      </c>
      <c r="R378" t="s">
        <v>780</v>
      </c>
      <c r="S378" t="s">
        <v>789</v>
      </c>
      <c r="T378">
        <v>198586.012409</v>
      </c>
      <c r="U378" s="2">
        <v>44485</v>
      </c>
      <c r="V378" t="s">
        <v>801</v>
      </c>
    </row>
    <row r="379" spans="1:22">
      <c r="A379" s="1" t="s">
        <v>399</v>
      </c>
      <c r="B379">
        <f>HYPERLINK("https://www.suredividend.com/sure-analysis-CFG/","Citizens Financial Group Inc")</f>
        <v>0</v>
      </c>
      <c r="C379">
        <v>46.63</v>
      </c>
      <c r="D379">
        <v>59</v>
      </c>
      <c r="E379">
        <v>0.7903389830508475</v>
      </c>
      <c r="F379">
        <v>0.03345485738794767</v>
      </c>
      <c r="G379">
        <v>0.0481835006559681</v>
      </c>
      <c r="H379">
        <v>-0.02</v>
      </c>
      <c r="I379">
        <v>0.06471366792704325</v>
      </c>
      <c r="J379" t="s">
        <v>345</v>
      </c>
      <c r="K379" t="s">
        <v>345</v>
      </c>
      <c r="L379">
        <v>5.15</v>
      </c>
      <c r="M379">
        <v>1.56</v>
      </c>
      <c r="N379">
        <v>0.3029126213592233</v>
      </c>
      <c r="O379">
        <v>6</v>
      </c>
      <c r="P379">
        <v>0.09979014724923641</v>
      </c>
      <c r="Q379">
        <v>0.367476751722176</v>
      </c>
      <c r="R379" t="s">
        <v>780</v>
      </c>
      <c r="S379" t="s">
        <v>789</v>
      </c>
      <c r="T379">
        <v>19873.686229</v>
      </c>
      <c r="U379" s="2">
        <v>44492</v>
      </c>
      <c r="V379" t="s">
        <v>801</v>
      </c>
    </row>
    <row r="380" spans="1:22">
      <c r="A380" s="1" t="s">
        <v>400</v>
      </c>
      <c r="B380">
        <f>HYPERLINK("https://www.suredividend.com/sure-analysis-GE/","General Electric Co.")</f>
        <v>0</v>
      </c>
      <c r="C380">
        <v>94</v>
      </c>
      <c r="D380">
        <v>72</v>
      </c>
      <c r="E380">
        <v>1.305555555555556</v>
      </c>
      <c r="F380">
        <v>0.003404255319148936</v>
      </c>
      <c r="G380">
        <v>-0.05192885554619187</v>
      </c>
      <c r="H380">
        <v>0.12</v>
      </c>
      <c r="I380">
        <v>0.06450412700724928</v>
      </c>
      <c r="J380" t="s">
        <v>345</v>
      </c>
      <c r="K380" t="s">
        <v>778</v>
      </c>
      <c r="L380">
        <v>2</v>
      </c>
      <c r="M380">
        <v>0.32</v>
      </c>
      <c r="N380">
        <v>0.16</v>
      </c>
      <c r="O380">
        <v>0</v>
      </c>
      <c r="P380">
        <v>0</v>
      </c>
      <c r="Q380">
        <v>0.08536637465692501</v>
      </c>
      <c r="R380" t="s">
        <v>780</v>
      </c>
      <c r="S380" t="s">
        <v>786</v>
      </c>
      <c r="T380">
        <v>103224.890032</v>
      </c>
      <c r="U380" s="2">
        <v>44500</v>
      </c>
      <c r="V380" t="s">
        <v>795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69.22</v>
      </c>
      <c r="D381">
        <v>64</v>
      </c>
      <c r="E381">
        <v>1.0815625</v>
      </c>
      <c r="F381">
        <v>0.04276220745449292</v>
      </c>
      <c r="G381">
        <v>-0.01555903876022002</v>
      </c>
      <c r="H381">
        <v>0.04</v>
      </c>
      <c r="I381">
        <v>0.06367656517008347</v>
      </c>
      <c r="J381" t="s">
        <v>345</v>
      </c>
      <c r="K381" t="s">
        <v>777</v>
      </c>
      <c r="L381">
        <v>3.58</v>
      </c>
      <c r="M381">
        <v>2.96</v>
      </c>
      <c r="N381">
        <v>0.8268156424581006</v>
      </c>
      <c r="O381">
        <v>26</v>
      </c>
      <c r="P381">
        <v>0.03408268602570064</v>
      </c>
      <c r="Q381">
        <v>0.194651166001629</v>
      </c>
      <c r="R381" t="s">
        <v>782</v>
      </c>
      <c r="S381" t="s">
        <v>794</v>
      </c>
      <c r="T381">
        <v>27979.61583</v>
      </c>
      <c r="U381" s="2">
        <v>44507</v>
      </c>
      <c r="V381" t="s">
        <v>797</v>
      </c>
    </row>
    <row r="382" spans="1:22">
      <c r="A382" s="1" t="s">
        <v>402</v>
      </c>
      <c r="B382">
        <f>HYPERLINK("https://www.suredividend.com/sure-analysis-AEP/","American Electric Power Company Inc.")</f>
        <v>0</v>
      </c>
      <c r="C382">
        <v>86.52</v>
      </c>
      <c r="D382">
        <v>79.59999999999999</v>
      </c>
      <c r="E382">
        <v>1.086934673366834</v>
      </c>
      <c r="F382">
        <v>0.03606102635228849</v>
      </c>
      <c r="G382">
        <v>-0.01653408800497491</v>
      </c>
      <c r="H382">
        <v>0.049</v>
      </c>
      <c r="I382">
        <v>0.0633023971342801</v>
      </c>
      <c r="J382" t="s">
        <v>345</v>
      </c>
      <c r="K382" t="s">
        <v>777</v>
      </c>
      <c r="L382">
        <v>4.68</v>
      </c>
      <c r="M382">
        <v>3.12</v>
      </c>
      <c r="N382">
        <v>0.6666666666666667</v>
      </c>
      <c r="O382">
        <v>16</v>
      </c>
      <c r="P382">
        <v>0.01853111887485781</v>
      </c>
      <c r="Q382">
        <v>0.110470794951798</v>
      </c>
      <c r="R382" t="s">
        <v>780</v>
      </c>
      <c r="S382" t="s">
        <v>792</v>
      </c>
      <c r="T382">
        <v>43575.943094</v>
      </c>
      <c r="U382" s="2">
        <v>44503</v>
      </c>
      <c r="V382" t="s">
        <v>805</v>
      </c>
    </row>
    <row r="383" spans="1:22">
      <c r="A383" s="1" t="s">
        <v>403</v>
      </c>
      <c r="B383">
        <f>HYPERLINK("https://www.suredividend.com/sure-analysis-PFE/","Pfizer Inc.")</f>
        <v>0</v>
      </c>
      <c r="C383">
        <v>58.71</v>
      </c>
      <c r="D383">
        <v>56</v>
      </c>
      <c r="E383">
        <v>1.048392857142857</v>
      </c>
      <c r="F383">
        <v>0.02725259751320048</v>
      </c>
      <c r="G383">
        <v>-0.009407149174213592</v>
      </c>
      <c r="H383">
        <v>0.05</v>
      </c>
      <c r="I383">
        <v>0.0627491899643049</v>
      </c>
      <c r="J383" t="s">
        <v>345</v>
      </c>
      <c r="K383" t="s">
        <v>526</v>
      </c>
      <c r="L383">
        <v>4.15</v>
      </c>
      <c r="M383">
        <v>1.6</v>
      </c>
      <c r="N383">
        <v>0.3855421686746988</v>
      </c>
      <c r="O383">
        <v>13</v>
      </c>
      <c r="P383">
        <v>0.004950737119488569</v>
      </c>
      <c r="Q383">
        <v>0.629466392082197</v>
      </c>
      <c r="R383" t="s">
        <v>780</v>
      </c>
      <c r="S383" t="s">
        <v>785</v>
      </c>
      <c r="T383">
        <v>329531.397969</v>
      </c>
      <c r="U383" s="2">
        <v>44504</v>
      </c>
      <c r="V383" t="s">
        <v>800</v>
      </c>
    </row>
    <row r="384" spans="1:22">
      <c r="A384" s="1" t="s">
        <v>404</v>
      </c>
      <c r="B384">
        <f>HYPERLINK("https://www.suredividend.com/sure-analysis-APLE/","Apple Hospitality REIT Inc")</f>
        <v>0</v>
      </c>
      <c r="C384">
        <v>16.21</v>
      </c>
      <c r="D384">
        <v>18.3</v>
      </c>
      <c r="E384">
        <v>0.885792349726776</v>
      </c>
      <c r="F384">
        <v>0.002467612584824183</v>
      </c>
      <c r="G384">
        <v>0.02455107887144425</v>
      </c>
      <c r="H384">
        <v>0.018</v>
      </c>
      <c r="I384">
        <v>0.06263110270308148</v>
      </c>
      <c r="J384" t="s">
        <v>345</v>
      </c>
      <c r="K384" t="s">
        <v>778</v>
      </c>
      <c r="L384">
        <v>0.87</v>
      </c>
      <c r="M384">
        <v>0.04</v>
      </c>
      <c r="N384">
        <v>0.04597701149425287</v>
      </c>
      <c r="O384">
        <v>0</v>
      </c>
      <c r="P384">
        <v>0.888175022589804</v>
      </c>
      <c r="Q384">
        <v>0.249373771628964</v>
      </c>
      <c r="R384" t="s">
        <v>782</v>
      </c>
      <c r="S384" t="s">
        <v>794</v>
      </c>
      <c r="T384">
        <v>3701.621809</v>
      </c>
      <c r="U384" s="2">
        <v>44509</v>
      </c>
      <c r="V384" t="s">
        <v>805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33.79</v>
      </c>
      <c r="D385">
        <v>35</v>
      </c>
      <c r="E385">
        <v>0.9654285714285714</v>
      </c>
      <c r="F385">
        <v>0.022787807043504</v>
      </c>
      <c r="G385">
        <v>0.007061447419824285</v>
      </c>
      <c r="H385">
        <v>0.03</v>
      </c>
      <c r="I385">
        <v>0.06245802791798849</v>
      </c>
      <c r="J385" t="s">
        <v>345</v>
      </c>
      <c r="K385" t="s">
        <v>526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0.130856760374832</v>
      </c>
      <c r="R385" t="s">
        <v>780</v>
      </c>
      <c r="S385" t="s">
        <v>788</v>
      </c>
      <c r="T385">
        <v>61024.253019</v>
      </c>
      <c r="U385" s="2">
        <v>44518</v>
      </c>
      <c r="V385" t="s">
        <v>803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157.26</v>
      </c>
      <c r="D386">
        <v>188</v>
      </c>
      <c r="E386">
        <v>0.8364893617021276</v>
      </c>
      <c r="F386">
        <v>0.02543558438255119</v>
      </c>
      <c r="G386">
        <v>0.03635349316091929</v>
      </c>
      <c r="H386">
        <v>0</v>
      </c>
      <c r="I386">
        <v>0.06189466818185818</v>
      </c>
      <c r="J386" t="s">
        <v>345</v>
      </c>
      <c r="K386" t="s">
        <v>345</v>
      </c>
      <c r="L386">
        <v>15</v>
      </c>
      <c r="M386">
        <v>4</v>
      </c>
      <c r="N386">
        <v>0.2666666666666667</v>
      </c>
      <c r="O386">
        <v>11</v>
      </c>
      <c r="P386">
        <v>0.06615002518126989</v>
      </c>
      <c r="Q386">
        <v>0.28895194584533</v>
      </c>
      <c r="R386" t="s">
        <v>780</v>
      </c>
      <c r="S386" t="s">
        <v>789</v>
      </c>
      <c r="T386">
        <v>464745.140753</v>
      </c>
      <c r="U386" s="2">
        <v>44485</v>
      </c>
      <c r="V386" t="s">
        <v>801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22.74</v>
      </c>
      <c r="D387">
        <v>26</v>
      </c>
      <c r="E387">
        <v>0.8746153846153846</v>
      </c>
      <c r="F387">
        <v>0.03430079155672824</v>
      </c>
      <c r="G387">
        <v>0.02715640243431938</v>
      </c>
      <c r="H387">
        <v>0</v>
      </c>
      <c r="I387">
        <v>0.06054800179620567</v>
      </c>
      <c r="J387" t="s">
        <v>345</v>
      </c>
      <c r="K387" t="s">
        <v>345</v>
      </c>
      <c r="L387">
        <v>2.4</v>
      </c>
      <c r="M387">
        <v>0.78</v>
      </c>
      <c r="N387">
        <v>0.325</v>
      </c>
      <c r="O387">
        <v>11</v>
      </c>
      <c r="P387">
        <v>0.0488372867840543</v>
      </c>
      <c r="Q387">
        <v>0.441640198558359</v>
      </c>
      <c r="R387" t="s">
        <v>780</v>
      </c>
      <c r="S387" t="s">
        <v>789</v>
      </c>
      <c r="T387">
        <v>21172.265401</v>
      </c>
      <c r="U387" s="2">
        <v>44490</v>
      </c>
      <c r="V387" t="s">
        <v>799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58.11</v>
      </c>
      <c r="D388">
        <v>52</v>
      </c>
      <c r="E388">
        <v>1.1175</v>
      </c>
      <c r="F388">
        <v>0.02340388917570126</v>
      </c>
      <c r="G388">
        <v>-0.0219737897904061</v>
      </c>
      <c r="H388">
        <v>0.06</v>
      </c>
      <c r="I388">
        <v>0.05986341474851464</v>
      </c>
      <c r="J388" t="s">
        <v>345</v>
      </c>
      <c r="K388" t="s">
        <v>526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0.456343527654487</v>
      </c>
      <c r="R388" t="s">
        <v>780</v>
      </c>
      <c r="S388" t="s">
        <v>789</v>
      </c>
      <c r="T388">
        <v>47988.461971</v>
      </c>
      <c r="U388" s="2">
        <v>44491</v>
      </c>
      <c r="V388" t="s">
        <v>801</v>
      </c>
    </row>
    <row r="389" spans="1:22">
      <c r="A389" s="1" t="s">
        <v>409</v>
      </c>
      <c r="B389">
        <f>HYPERLINK("https://www.suredividend.com/sure-analysis-AON/","Aon plc.")</f>
        <v>0</v>
      </c>
      <c r="C389">
        <v>292.41</v>
      </c>
      <c r="D389">
        <v>233</v>
      </c>
      <c r="E389">
        <v>1.254978540772532</v>
      </c>
      <c r="F389">
        <v>0.00697650559146404</v>
      </c>
      <c r="G389">
        <v>-0.04440748342702483</v>
      </c>
      <c r="H389">
        <v>0.1</v>
      </c>
      <c r="I389">
        <v>0.05893983467768305</v>
      </c>
      <c r="J389" t="s">
        <v>345</v>
      </c>
      <c r="K389" t="s">
        <v>778</v>
      </c>
      <c r="L389">
        <v>11.65</v>
      </c>
      <c r="M389">
        <v>2.04</v>
      </c>
      <c r="N389">
        <v>0.1751072961373391</v>
      </c>
      <c r="O389">
        <v>10</v>
      </c>
      <c r="P389">
        <v>0.1101602038533911</v>
      </c>
      <c r="Q389">
        <v>0.417632043981936</v>
      </c>
      <c r="R389" t="s">
        <v>780</v>
      </c>
      <c r="S389" t="s">
        <v>789</v>
      </c>
      <c r="T389">
        <v>64427.398838</v>
      </c>
      <c r="U389" s="2">
        <v>44519</v>
      </c>
      <c r="V389" t="s">
        <v>801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9.029999999999999</v>
      </c>
      <c r="D390">
        <v>9.75</v>
      </c>
      <c r="E390">
        <v>0.9261538461538461</v>
      </c>
      <c r="F390">
        <v>0.01550387596899225</v>
      </c>
      <c r="G390">
        <v>0.01546129137853947</v>
      </c>
      <c r="H390">
        <v>0.02</v>
      </c>
      <c r="I390">
        <v>0.05885263366994131</v>
      </c>
      <c r="J390" t="s">
        <v>345</v>
      </c>
      <c r="K390" t="s">
        <v>526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-0.041736971124765</v>
      </c>
      <c r="R390" t="s">
        <v>782</v>
      </c>
      <c r="S390" t="s">
        <v>794</v>
      </c>
      <c r="T390">
        <v>1556.872206</v>
      </c>
      <c r="U390" s="2">
        <v>44500</v>
      </c>
      <c r="V390" t="s">
        <v>795</v>
      </c>
    </row>
    <row r="391" spans="1:22">
      <c r="A391" s="1" t="s">
        <v>411</v>
      </c>
      <c r="B391">
        <f>HYPERLINK("https://www.suredividend.com/sure-analysis-ASML/","ASML Holding NV")</f>
        <v>0</v>
      </c>
      <c r="C391">
        <v>801.41</v>
      </c>
      <c r="D391">
        <v>583</v>
      </c>
      <c r="E391">
        <v>1.374631217838765</v>
      </c>
      <c r="F391">
        <v>0.005215807139915898</v>
      </c>
      <c r="G391">
        <v>-0.06165453479299288</v>
      </c>
      <c r="H391">
        <v>0.12</v>
      </c>
      <c r="I391">
        <v>0.0574964794977173</v>
      </c>
      <c r="J391" t="s">
        <v>345</v>
      </c>
      <c r="K391" t="s">
        <v>778</v>
      </c>
      <c r="L391">
        <v>15.75</v>
      </c>
      <c r="M391">
        <v>4.18</v>
      </c>
      <c r="N391">
        <v>0.2653968253968254</v>
      </c>
      <c r="O391">
        <v>6</v>
      </c>
      <c r="P391">
        <v>0.1500691206588143</v>
      </c>
      <c r="Q391">
        <v>0.6978615347002211</v>
      </c>
      <c r="R391" t="s">
        <v>780</v>
      </c>
      <c r="S391" t="s">
        <v>787</v>
      </c>
      <c r="T391">
        <v>331246.147761</v>
      </c>
      <c r="U391" s="2">
        <v>44494</v>
      </c>
      <c r="V391" t="s">
        <v>801</v>
      </c>
    </row>
    <row r="392" spans="1:22">
      <c r="A392" s="1" t="s">
        <v>412</v>
      </c>
      <c r="B392">
        <f>HYPERLINK("https://www.suredividend.com/sure-analysis-KLAC/","KLA Corp.")</f>
        <v>0</v>
      </c>
      <c r="C392">
        <v>420.76</v>
      </c>
      <c r="D392">
        <v>357</v>
      </c>
      <c r="E392">
        <v>1.17859943977591</v>
      </c>
      <c r="F392">
        <v>0.009981937446525336</v>
      </c>
      <c r="G392">
        <v>-0.03233116575047934</v>
      </c>
      <c r="H392">
        <v>0.08</v>
      </c>
      <c r="I392">
        <v>0.05608292947217564</v>
      </c>
      <c r="J392" t="s">
        <v>345</v>
      </c>
      <c r="K392" t="s">
        <v>526</v>
      </c>
      <c r="L392">
        <v>21</v>
      </c>
      <c r="M392">
        <v>4.2</v>
      </c>
      <c r="N392">
        <v>0.2</v>
      </c>
      <c r="O392">
        <v>12</v>
      </c>
      <c r="P392">
        <v>0.09986525071768737</v>
      </c>
      <c r="Q392">
        <v>0.683740436021385</v>
      </c>
      <c r="R392" t="s">
        <v>780</v>
      </c>
      <c r="S392" t="s">
        <v>787</v>
      </c>
      <c r="T392">
        <v>63796.542145</v>
      </c>
      <c r="U392" s="2">
        <v>44508</v>
      </c>
      <c r="V392" t="s">
        <v>797</v>
      </c>
    </row>
    <row r="393" spans="1:22">
      <c r="A393" s="1" t="s">
        <v>413</v>
      </c>
      <c r="B393">
        <f>HYPERLINK("https://www.suredividend.com/sure-analysis-GIS/","General Mills, Inc.")</f>
        <v>0</v>
      </c>
      <c r="C393">
        <v>65.98999999999999</v>
      </c>
      <c r="D393">
        <v>65</v>
      </c>
      <c r="E393">
        <v>1.015230769230769</v>
      </c>
      <c r="F393">
        <v>0.03182300348537657</v>
      </c>
      <c r="G393">
        <v>-0.003018623865452819</v>
      </c>
      <c r="H393">
        <v>0.03</v>
      </c>
      <c r="I393">
        <v>0.05548700513064264</v>
      </c>
      <c r="J393" t="s">
        <v>345</v>
      </c>
      <c r="K393" t="s">
        <v>777</v>
      </c>
      <c r="L393">
        <v>3.8</v>
      </c>
      <c r="M393">
        <v>2.1</v>
      </c>
      <c r="N393">
        <v>0.5526315789473685</v>
      </c>
      <c r="O393">
        <v>1</v>
      </c>
      <c r="P393">
        <v>0.0183608813392091</v>
      </c>
      <c r="Q393">
        <v>0.147299005349657</v>
      </c>
      <c r="R393" t="s">
        <v>780</v>
      </c>
      <c r="S393" t="s">
        <v>791</v>
      </c>
      <c r="T393">
        <v>39805.610133</v>
      </c>
      <c r="U393" s="2">
        <v>44461</v>
      </c>
      <c r="V393" t="s">
        <v>803</v>
      </c>
    </row>
    <row r="394" spans="1:22">
      <c r="A394" s="1" t="s">
        <v>414</v>
      </c>
      <c r="B394">
        <f>HYPERLINK("https://www.suredividend.com/sure-analysis-PNC/","PNC Financial Services Group")</f>
        <v>0</v>
      </c>
      <c r="C394">
        <v>197.93</v>
      </c>
      <c r="D394">
        <v>180</v>
      </c>
      <c r="E394">
        <v>1.099611111111111</v>
      </c>
      <c r="F394">
        <v>0.02526145607032789</v>
      </c>
      <c r="G394">
        <v>-0.01881211753979428</v>
      </c>
      <c r="H394">
        <v>0.05</v>
      </c>
      <c r="I394">
        <v>0.05508643861270457</v>
      </c>
      <c r="J394" t="s">
        <v>345</v>
      </c>
      <c r="K394" t="s">
        <v>526</v>
      </c>
      <c r="L394">
        <v>14.3</v>
      </c>
      <c r="M394">
        <v>5</v>
      </c>
      <c r="N394">
        <v>0.3496503496503496</v>
      </c>
      <c r="O394">
        <v>11</v>
      </c>
      <c r="P394">
        <v>0.05061112176150684</v>
      </c>
      <c r="Q394">
        <v>0.385383375959437</v>
      </c>
      <c r="R394" t="s">
        <v>780</v>
      </c>
      <c r="S394" t="s">
        <v>789</v>
      </c>
      <c r="T394">
        <v>83653.29493</v>
      </c>
      <c r="U394" s="2">
        <v>44490</v>
      </c>
      <c r="V394" t="s">
        <v>803</v>
      </c>
    </row>
    <row r="395" spans="1:22">
      <c r="A395" s="1" t="s">
        <v>415</v>
      </c>
      <c r="B395">
        <f>HYPERLINK("https://www.suredividend.com/sure-analysis-BWA/","BorgWarner Inc")</f>
        <v>0</v>
      </c>
      <c r="C395">
        <v>43.62</v>
      </c>
      <c r="D395">
        <v>42</v>
      </c>
      <c r="E395">
        <v>1.038571428571428</v>
      </c>
      <c r="F395">
        <v>0.01558917927556167</v>
      </c>
      <c r="G395">
        <v>-0.007540654029009719</v>
      </c>
      <c r="H395">
        <v>0.05</v>
      </c>
      <c r="I395">
        <v>0.05497864414587483</v>
      </c>
      <c r="J395" t="s">
        <v>345</v>
      </c>
      <c r="K395" t="s">
        <v>526</v>
      </c>
      <c r="L395">
        <v>3.8</v>
      </c>
      <c r="M395">
        <v>0.68</v>
      </c>
      <c r="N395">
        <v>0.1789473684210527</v>
      </c>
      <c r="O395">
        <v>0</v>
      </c>
      <c r="P395">
        <v>0</v>
      </c>
      <c r="Q395">
        <v>0.117432927126055</v>
      </c>
      <c r="R395" t="s">
        <v>780</v>
      </c>
      <c r="S395" t="s">
        <v>786</v>
      </c>
      <c r="T395">
        <v>10458.823016</v>
      </c>
      <c r="U395" s="2">
        <v>44506</v>
      </c>
      <c r="V395" t="s">
        <v>796</v>
      </c>
    </row>
    <row r="396" spans="1:22">
      <c r="A396" s="1" t="s">
        <v>416</v>
      </c>
      <c r="B396">
        <f>HYPERLINK("https://www.suredividend.com/sure-analysis-HAL/","Halliburton Co.")</f>
        <v>0</v>
      </c>
      <c r="C396">
        <v>22.71</v>
      </c>
      <c r="D396">
        <v>14</v>
      </c>
      <c r="E396">
        <v>1.622142857142857</v>
      </c>
      <c r="F396">
        <v>0.007926023778071334</v>
      </c>
      <c r="G396">
        <v>-0.09221671820011557</v>
      </c>
      <c r="H396">
        <v>0.149</v>
      </c>
      <c r="I396">
        <v>0.05477365247166888</v>
      </c>
      <c r="J396" t="s">
        <v>345</v>
      </c>
      <c r="K396" t="s">
        <v>778</v>
      </c>
      <c r="L396">
        <v>1.1</v>
      </c>
      <c r="M396">
        <v>0.18</v>
      </c>
      <c r="N396">
        <v>0.1636363636363636</v>
      </c>
      <c r="O396">
        <v>0</v>
      </c>
      <c r="P396">
        <v>0.2011244339814313</v>
      </c>
      <c r="Q396">
        <v>0.172964485672375</v>
      </c>
      <c r="R396" t="s">
        <v>780</v>
      </c>
      <c r="S396" t="s">
        <v>793</v>
      </c>
      <c r="T396">
        <v>20223.240511</v>
      </c>
      <c r="U396" s="2">
        <v>44491</v>
      </c>
      <c r="V396" t="s">
        <v>803</v>
      </c>
    </row>
    <row r="397" spans="1:22">
      <c r="A397" s="1" t="s">
        <v>417</v>
      </c>
      <c r="B397">
        <f>HYPERLINK("https://www.suredividend.com/sure-analysis-PKX/","Posco")</f>
        <v>0</v>
      </c>
      <c r="C397">
        <v>60.14</v>
      </c>
      <c r="D397">
        <v>90</v>
      </c>
      <c r="E397">
        <v>0.6682222222222223</v>
      </c>
      <c r="F397">
        <v>0.02909876953774526</v>
      </c>
      <c r="G397">
        <v>0.08396639168259634</v>
      </c>
      <c r="H397">
        <v>-0.05</v>
      </c>
      <c r="I397">
        <v>0.05443487896861354</v>
      </c>
      <c r="J397" t="s">
        <v>345</v>
      </c>
      <c r="K397" t="s">
        <v>345</v>
      </c>
      <c r="L397">
        <v>9</v>
      </c>
      <c r="M397">
        <v>1.75</v>
      </c>
      <c r="N397">
        <v>0.1944444444444444</v>
      </c>
      <c r="O397">
        <v>0</v>
      </c>
      <c r="P397">
        <v>0</v>
      </c>
      <c r="Q397">
        <v>0.040857192800882</v>
      </c>
      <c r="R397" t="s">
        <v>780</v>
      </c>
      <c r="S397" t="s">
        <v>790</v>
      </c>
      <c r="T397">
        <v>20973.665028</v>
      </c>
      <c r="U397" s="2">
        <v>44509</v>
      </c>
      <c r="V397" t="s">
        <v>795</v>
      </c>
    </row>
    <row r="398" spans="1:22">
      <c r="A398" s="1" t="s">
        <v>418</v>
      </c>
      <c r="B398">
        <f>HYPERLINK("https://www.suredividend.com/sure-analysis-USB/","U.S. Bancorp.")</f>
        <v>0</v>
      </c>
      <c r="C398">
        <v>56.31</v>
      </c>
      <c r="D398">
        <v>62</v>
      </c>
      <c r="E398">
        <v>0.908225806451613</v>
      </c>
      <c r="F398">
        <v>0.0326762564375777</v>
      </c>
      <c r="G398">
        <v>0.01943897264336947</v>
      </c>
      <c r="H398">
        <v>0</v>
      </c>
      <c r="I398">
        <v>0.05325442073280628</v>
      </c>
      <c r="J398" t="s">
        <v>345</v>
      </c>
      <c r="K398" t="s">
        <v>345</v>
      </c>
      <c r="L398">
        <v>5.15</v>
      </c>
      <c r="M398">
        <v>1.84</v>
      </c>
      <c r="N398">
        <v>0.3572815533980582</v>
      </c>
      <c r="O398">
        <v>10</v>
      </c>
      <c r="P398">
        <v>0.05979888147511248</v>
      </c>
      <c r="Q398">
        <v>0.243815161689344</v>
      </c>
      <c r="R398" t="s">
        <v>780</v>
      </c>
      <c r="S398" t="s">
        <v>789</v>
      </c>
      <c r="T398">
        <v>83496.337304</v>
      </c>
      <c r="U398" s="2">
        <v>44491</v>
      </c>
      <c r="V398" t="s">
        <v>801</v>
      </c>
    </row>
    <row r="399" spans="1:22">
      <c r="A399" s="1" t="s">
        <v>419</v>
      </c>
      <c r="B399">
        <f>HYPERLINK("https://www.suredividend.com/sure-analysis-GOLD/","Barrick Gold Corp.")</f>
        <v>0</v>
      </c>
      <c r="C399">
        <v>18.57</v>
      </c>
      <c r="D399">
        <v>22</v>
      </c>
      <c r="E399">
        <v>0.8440909090909091</v>
      </c>
      <c r="F399">
        <v>0.01938610662358643</v>
      </c>
      <c r="G399">
        <v>0.03448013509614634</v>
      </c>
      <c r="H399">
        <v>0</v>
      </c>
      <c r="I399">
        <v>0.05293442192706865</v>
      </c>
      <c r="J399" t="s">
        <v>345</v>
      </c>
      <c r="K399" t="s">
        <v>526</v>
      </c>
      <c r="L399">
        <v>1.2</v>
      </c>
      <c r="M399">
        <v>0.36</v>
      </c>
      <c r="N399">
        <v>0.3</v>
      </c>
      <c r="O399">
        <v>5</v>
      </c>
      <c r="P399">
        <v>0.04095039696925684</v>
      </c>
      <c r="Q399">
        <v>-0.170244994437022</v>
      </c>
      <c r="R399" t="s">
        <v>780</v>
      </c>
      <c r="S399" t="s">
        <v>790</v>
      </c>
      <c r="T399">
        <v>33025.74404</v>
      </c>
      <c r="U399" s="2">
        <v>44527</v>
      </c>
      <c r="V399" t="s">
        <v>801</v>
      </c>
    </row>
    <row r="400" spans="1:22">
      <c r="A400" s="1" t="s">
        <v>420</v>
      </c>
      <c r="B400">
        <f>HYPERLINK("https://www.suredividend.com/sure-analysis-SO/","Southern Company")</f>
        <v>0</v>
      </c>
      <c r="C400">
        <v>66.54000000000001</v>
      </c>
      <c r="D400">
        <v>56</v>
      </c>
      <c r="E400">
        <v>1.188214285714286</v>
      </c>
      <c r="F400">
        <v>0.03967538322813345</v>
      </c>
      <c r="G400">
        <v>-0.03390230464074517</v>
      </c>
      <c r="H400">
        <v>0.05</v>
      </c>
      <c r="I400">
        <v>0.05242007826191597</v>
      </c>
      <c r="J400" t="s">
        <v>345</v>
      </c>
      <c r="K400" t="s">
        <v>777</v>
      </c>
      <c r="L400">
        <v>3.38</v>
      </c>
      <c r="M400">
        <v>2.64</v>
      </c>
      <c r="N400">
        <v>0.7810650887573966</v>
      </c>
      <c r="O400">
        <v>20</v>
      </c>
      <c r="P400">
        <v>0.02996744995959233</v>
      </c>
      <c r="Q400">
        <v>0.167716687433094</v>
      </c>
      <c r="R400" t="s">
        <v>780</v>
      </c>
      <c r="S400" t="s">
        <v>792</v>
      </c>
      <c r="T400">
        <v>70519.353569</v>
      </c>
      <c r="U400" s="2">
        <v>44512</v>
      </c>
      <c r="V400" t="s">
        <v>803</v>
      </c>
    </row>
    <row r="401" spans="1:22">
      <c r="A401" s="1" t="s">
        <v>421</v>
      </c>
      <c r="B401">
        <f>HYPERLINK("https://www.suredividend.com/sure-analysis-COP/","Conoco Phillips")</f>
        <v>0</v>
      </c>
      <c r="C401">
        <v>71.19</v>
      </c>
      <c r="D401">
        <v>74</v>
      </c>
      <c r="E401">
        <v>0.962027027027027</v>
      </c>
      <c r="F401">
        <v>0.02584632673128249</v>
      </c>
      <c r="G401">
        <v>0.007772597840372875</v>
      </c>
      <c r="H401">
        <v>0.02</v>
      </c>
      <c r="I401">
        <v>0.05213015176076952</v>
      </c>
      <c r="J401" t="s">
        <v>345</v>
      </c>
      <c r="K401" t="s">
        <v>526</v>
      </c>
      <c r="L401">
        <v>5.8</v>
      </c>
      <c r="M401">
        <v>1.84</v>
      </c>
      <c r="N401">
        <v>0.3172413793103449</v>
      </c>
      <c r="O401">
        <v>6</v>
      </c>
      <c r="P401">
        <v>0.03066894385040531</v>
      </c>
      <c r="Q401">
        <v>0.8312069142915931</v>
      </c>
      <c r="R401" t="s">
        <v>780</v>
      </c>
      <c r="S401" t="s">
        <v>793</v>
      </c>
      <c r="T401">
        <v>93895.827462</v>
      </c>
      <c r="U401" s="2">
        <v>44504</v>
      </c>
      <c r="V401" t="s">
        <v>803</v>
      </c>
    </row>
    <row r="402" spans="1:22">
      <c r="A402" s="1" t="s">
        <v>422</v>
      </c>
      <c r="B402">
        <f>HYPERLINK("https://www.suredividend.com/sure-analysis-MA/","Mastercard Incorporated")</f>
        <v>0</v>
      </c>
      <c r="C402">
        <v>360.58</v>
      </c>
      <c r="D402">
        <v>222</v>
      </c>
      <c r="E402">
        <v>1.624234234234234</v>
      </c>
      <c r="F402">
        <v>0.005435686948804704</v>
      </c>
      <c r="G402">
        <v>-0.09245061251091924</v>
      </c>
      <c r="H402">
        <v>0.15</v>
      </c>
      <c r="I402">
        <v>0.05022273074643757</v>
      </c>
      <c r="J402" t="s">
        <v>345</v>
      </c>
      <c r="K402" t="s">
        <v>778</v>
      </c>
      <c r="L402">
        <v>8.24</v>
      </c>
      <c r="M402">
        <v>1.96</v>
      </c>
      <c r="N402">
        <v>0.2378640776699029</v>
      </c>
      <c r="O402">
        <v>11</v>
      </c>
      <c r="P402">
        <v>0.1255102076739985</v>
      </c>
      <c r="Q402">
        <v>0.09929943974081201</v>
      </c>
      <c r="R402" t="s">
        <v>780</v>
      </c>
      <c r="S402" t="s">
        <v>789</v>
      </c>
      <c r="T402">
        <v>351460.607639</v>
      </c>
      <c r="U402" s="2">
        <v>44499</v>
      </c>
      <c r="V402" t="s">
        <v>796</v>
      </c>
    </row>
    <row r="403" spans="1:22">
      <c r="A403" s="1" t="s">
        <v>423</v>
      </c>
      <c r="B403">
        <f>HYPERLINK("https://www.suredividend.com/sure-analysis-CUBE/","CubeSmart")</f>
        <v>0</v>
      </c>
      <c r="C403">
        <v>55.8</v>
      </c>
      <c r="D403">
        <v>42</v>
      </c>
      <c r="E403">
        <v>1.328571428571429</v>
      </c>
      <c r="F403">
        <v>0.03082437275985663</v>
      </c>
      <c r="G403">
        <v>-0.05523669165538636</v>
      </c>
      <c r="H403">
        <v>0.075</v>
      </c>
      <c r="I403">
        <v>0.04995639052971335</v>
      </c>
      <c r="J403" t="s">
        <v>345</v>
      </c>
      <c r="K403" t="s">
        <v>345</v>
      </c>
      <c r="L403">
        <v>2.1</v>
      </c>
      <c r="M403">
        <v>1.72</v>
      </c>
      <c r="N403">
        <v>0.819047619047619</v>
      </c>
      <c r="O403">
        <v>12</v>
      </c>
      <c r="P403">
        <v>0.08023542380212056</v>
      </c>
      <c r="Q403">
        <v>0.728528148987974</v>
      </c>
      <c r="R403" t="s">
        <v>782</v>
      </c>
      <c r="S403" t="s">
        <v>794</v>
      </c>
      <c r="T403">
        <v>12209.638343</v>
      </c>
      <c r="U403" s="2">
        <v>44507</v>
      </c>
      <c r="V403" t="s">
        <v>795</v>
      </c>
    </row>
    <row r="404" spans="1:22">
      <c r="A404" s="1" t="s">
        <v>424</v>
      </c>
      <c r="B404">
        <f>HYPERLINK("https://www.suredividend.com/sure-analysis-AGM/","Federal Agricultural Mortgage Corp.")</f>
        <v>0</v>
      </c>
      <c r="C404">
        <v>120.67</v>
      </c>
      <c r="D404">
        <v>94</v>
      </c>
      <c r="E404">
        <v>1.283723404255319</v>
      </c>
      <c r="F404">
        <v>0.02917046490428441</v>
      </c>
      <c r="G404">
        <v>-0.04872582192069885</v>
      </c>
      <c r="H404">
        <v>0.065</v>
      </c>
      <c r="I404">
        <v>0.04598258658635634</v>
      </c>
      <c r="J404" t="s">
        <v>345</v>
      </c>
      <c r="K404" t="s">
        <v>345</v>
      </c>
      <c r="L404">
        <v>10.46</v>
      </c>
      <c r="M404">
        <v>3.52</v>
      </c>
      <c r="N404">
        <v>0.3365200764818355</v>
      </c>
      <c r="O404">
        <v>10</v>
      </c>
      <c r="P404">
        <v>0.0799150058822331</v>
      </c>
      <c r="Q404">
        <v>0.674067969906453</v>
      </c>
      <c r="R404" t="s">
        <v>780</v>
      </c>
      <c r="S404" t="s">
        <v>789</v>
      </c>
      <c r="T404">
        <v>1230.890327</v>
      </c>
      <c r="U404" s="2">
        <v>44513</v>
      </c>
      <c r="V404" t="s">
        <v>802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180.65</v>
      </c>
      <c r="D405">
        <v>161</v>
      </c>
      <c r="E405">
        <v>1.122049689440994</v>
      </c>
      <c r="F405">
        <v>0.02324937724882369</v>
      </c>
      <c r="G405">
        <v>-0.02276821988707578</v>
      </c>
      <c r="H405">
        <v>0.045</v>
      </c>
      <c r="I405">
        <v>0.04556323559205988</v>
      </c>
      <c r="J405" t="s">
        <v>345</v>
      </c>
      <c r="K405" t="s">
        <v>526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0.423620195626613</v>
      </c>
      <c r="R405" t="s">
        <v>782</v>
      </c>
      <c r="S405" t="s">
        <v>794</v>
      </c>
      <c r="T405">
        <v>4977.014987</v>
      </c>
      <c r="U405" s="2">
        <v>44513</v>
      </c>
      <c r="V405" t="s">
        <v>795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38.64</v>
      </c>
      <c r="D406">
        <v>55.8</v>
      </c>
      <c r="E406">
        <v>0.6924731182795699</v>
      </c>
      <c r="F406">
        <v>0.01759834368530021</v>
      </c>
      <c r="G406">
        <v>0.07626549299801866</v>
      </c>
      <c r="H406">
        <v>-0.053</v>
      </c>
      <c r="I406">
        <v>0.04325836919216952</v>
      </c>
      <c r="J406" t="s">
        <v>345</v>
      </c>
      <c r="K406" t="s">
        <v>526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0.188100545776001</v>
      </c>
      <c r="R406" t="s">
        <v>782</v>
      </c>
      <c r="S406" t="s">
        <v>794</v>
      </c>
      <c r="T406">
        <v>28943.0988</v>
      </c>
      <c r="U406" s="2">
        <v>44506</v>
      </c>
      <c r="V406" t="s">
        <v>805</v>
      </c>
    </row>
    <row r="407" spans="1:22">
      <c r="A407" s="1" t="s">
        <v>427</v>
      </c>
      <c r="B407">
        <f>HYPERLINK("https://www.suredividend.com/sure-analysis-BUD/","Anheuser-Busch In Bev SA/NV")</f>
        <v>0</v>
      </c>
      <c r="C407">
        <v>60.77</v>
      </c>
      <c r="D407">
        <v>62</v>
      </c>
      <c r="E407">
        <v>0.9801612903225807</v>
      </c>
      <c r="F407">
        <v>0.00937962810597334</v>
      </c>
      <c r="G407">
        <v>0.004015669058337501</v>
      </c>
      <c r="H407">
        <v>0.03</v>
      </c>
      <c r="I407">
        <v>0.04221022311842115</v>
      </c>
      <c r="J407" t="s">
        <v>345</v>
      </c>
      <c r="K407" t="s">
        <v>778</v>
      </c>
      <c r="L407">
        <v>3.08</v>
      </c>
      <c r="M407">
        <v>0.57</v>
      </c>
      <c r="N407">
        <v>0.185064935064935</v>
      </c>
      <c r="O407">
        <v>0</v>
      </c>
      <c r="P407">
        <v>0</v>
      </c>
      <c r="Q407">
        <v>-0.130776822622402</v>
      </c>
      <c r="R407" t="s">
        <v>780</v>
      </c>
      <c r="S407" t="s">
        <v>791</v>
      </c>
      <c r="T407">
        <v>105564.810719</v>
      </c>
      <c r="U407" s="2">
        <v>44530</v>
      </c>
      <c r="V407" t="s">
        <v>800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36.24</v>
      </c>
      <c r="D408">
        <v>47</v>
      </c>
      <c r="E408">
        <v>0.7710638297872341</v>
      </c>
      <c r="F408">
        <v>0.01655629139072847</v>
      </c>
      <c r="G408">
        <v>0.05337239711008901</v>
      </c>
      <c r="H408">
        <v>-0.036</v>
      </c>
      <c r="I408">
        <v>0.04193133224397827</v>
      </c>
      <c r="J408" t="s">
        <v>345</v>
      </c>
      <c r="K408" t="s">
        <v>526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-0.019923357141118</v>
      </c>
      <c r="R408" t="s">
        <v>780</v>
      </c>
      <c r="S408" t="s">
        <v>788</v>
      </c>
      <c r="T408">
        <v>5575.378786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94.65000000000001</v>
      </c>
      <c r="D409">
        <v>77</v>
      </c>
      <c r="E409">
        <v>1.229220779220779</v>
      </c>
      <c r="F409">
        <v>0.03074484944532488</v>
      </c>
      <c r="G409">
        <v>-0.0404358338116475</v>
      </c>
      <c r="H409">
        <v>0.052</v>
      </c>
      <c r="I409">
        <v>0.04055005737875494</v>
      </c>
      <c r="J409" t="s">
        <v>345</v>
      </c>
      <c r="K409" t="s">
        <v>777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0.099497239930858</v>
      </c>
      <c r="R409" t="s">
        <v>780</v>
      </c>
      <c r="S409" t="s">
        <v>792</v>
      </c>
      <c r="T409">
        <v>29855.878359</v>
      </c>
      <c r="U409" s="2">
        <v>44502</v>
      </c>
      <c r="V409" t="s">
        <v>796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44.42</v>
      </c>
      <c r="D410">
        <v>39</v>
      </c>
      <c r="E410">
        <v>1.138974358974359</v>
      </c>
      <c r="F410">
        <v>0.01891040072039622</v>
      </c>
      <c r="G410">
        <v>-0.02568988663214311</v>
      </c>
      <c r="H410">
        <v>0.04</v>
      </c>
      <c r="I410">
        <v>0.03627605194325501</v>
      </c>
      <c r="J410" t="s">
        <v>345</v>
      </c>
      <c r="K410" t="s">
        <v>526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0.506661601497842</v>
      </c>
      <c r="R410" t="s">
        <v>780</v>
      </c>
      <c r="S410" t="s">
        <v>789</v>
      </c>
      <c r="T410">
        <v>363537.012701</v>
      </c>
      <c r="U410" s="2">
        <v>44485</v>
      </c>
      <c r="V410" t="s">
        <v>801</v>
      </c>
    </row>
    <row r="411" spans="1:22">
      <c r="A411" s="1" t="s">
        <v>431</v>
      </c>
      <c r="B411">
        <f>HYPERLINK("https://www.suredividend.com/sure-analysis-WPC/","W. P. Carey Inc")</f>
        <v>0</v>
      </c>
      <c r="C411">
        <v>80.83</v>
      </c>
      <c r="D411">
        <v>62</v>
      </c>
      <c r="E411">
        <v>1.303709677419355</v>
      </c>
      <c r="F411">
        <v>0.05220833848818508</v>
      </c>
      <c r="G411">
        <v>-0.05166053913358781</v>
      </c>
      <c r="H411">
        <v>0.035</v>
      </c>
      <c r="I411">
        <v>0.03501979362346996</v>
      </c>
      <c r="J411" t="s">
        <v>345</v>
      </c>
      <c r="K411" t="s">
        <v>776</v>
      </c>
      <c r="L411">
        <v>4.98</v>
      </c>
      <c r="M411">
        <v>4.22</v>
      </c>
      <c r="N411">
        <v>0.8473895582329316</v>
      </c>
      <c r="O411">
        <v>23</v>
      </c>
      <c r="P411">
        <v>0.01959594688439426</v>
      </c>
      <c r="Q411">
        <v>0.225068202485601</v>
      </c>
      <c r="R411" t="s">
        <v>782</v>
      </c>
      <c r="S411" t="s">
        <v>794</v>
      </c>
      <c r="T411">
        <v>15057.412913</v>
      </c>
      <c r="U411" s="2">
        <v>44533</v>
      </c>
      <c r="V411" t="s">
        <v>797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34.13</v>
      </c>
      <c r="D412">
        <v>26</v>
      </c>
      <c r="E412">
        <v>1.312692307692308</v>
      </c>
      <c r="F412">
        <v>0.01406387342513917</v>
      </c>
      <c r="G412">
        <v>-0.05296198588369572</v>
      </c>
      <c r="H412">
        <v>0.075</v>
      </c>
      <c r="I412">
        <v>0.03364490240407259</v>
      </c>
      <c r="J412" t="s">
        <v>345</v>
      </c>
      <c r="K412" t="s">
        <v>778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0.015380953797637</v>
      </c>
      <c r="R412" t="s">
        <v>780</v>
      </c>
      <c r="S412" t="s">
        <v>786</v>
      </c>
      <c r="T412">
        <v>8072.430365</v>
      </c>
      <c r="U412" s="2">
        <v>44493</v>
      </c>
      <c r="V412" t="s">
        <v>802</v>
      </c>
    </row>
    <row r="413" spans="1:22">
      <c r="A413" s="1" t="s">
        <v>433</v>
      </c>
      <c r="B413">
        <f>HYPERLINK("https://www.suredividend.com/sure-analysis-PACW/","Pacwest Bancorp")</f>
        <v>0</v>
      </c>
      <c r="C413">
        <v>44.19</v>
      </c>
      <c r="D413">
        <v>50</v>
      </c>
      <c r="E413">
        <v>0.8837999999999999</v>
      </c>
      <c r="F413">
        <v>0.0226295541977823</v>
      </c>
      <c r="G413">
        <v>0.02501259186073956</v>
      </c>
      <c r="H413">
        <v>-0.02</v>
      </c>
      <c r="I413">
        <v>0.02911421030190486</v>
      </c>
      <c r="J413" t="s">
        <v>345</v>
      </c>
      <c r="K413" t="s">
        <v>526</v>
      </c>
      <c r="L413">
        <v>5</v>
      </c>
      <c r="M413">
        <v>1</v>
      </c>
      <c r="N413">
        <v>0.2</v>
      </c>
      <c r="O413">
        <v>0</v>
      </c>
      <c r="P413">
        <v>0.05061112176150684</v>
      </c>
      <c r="Q413">
        <v>0.788120470519683</v>
      </c>
      <c r="R413" t="s">
        <v>780</v>
      </c>
      <c r="S413" t="s">
        <v>789</v>
      </c>
      <c r="T413">
        <v>5181.622756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46.36</v>
      </c>
      <c r="D414">
        <v>39.1</v>
      </c>
      <c r="E414">
        <v>1.185677749360614</v>
      </c>
      <c r="F414">
        <v>0.0457290767903365</v>
      </c>
      <c r="G414">
        <v>-0.03348930074933743</v>
      </c>
      <c r="H414">
        <v>0.015</v>
      </c>
      <c r="I414">
        <v>0.02812263771822709</v>
      </c>
      <c r="J414" t="s">
        <v>345</v>
      </c>
      <c r="K414" t="s">
        <v>777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0.172388678710878</v>
      </c>
      <c r="R414" t="s">
        <v>782</v>
      </c>
      <c r="S414" t="s">
        <v>794</v>
      </c>
      <c r="T414">
        <v>8141.599113</v>
      </c>
      <c r="U414" s="2">
        <v>44506</v>
      </c>
      <c r="V414" t="s">
        <v>805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385.04</v>
      </c>
      <c r="D415">
        <v>671</v>
      </c>
      <c r="E415">
        <v>0.5738301043219076</v>
      </c>
      <c r="F415">
        <v>0.02077706212341575</v>
      </c>
      <c r="G415">
        <v>0.1174891992915228</v>
      </c>
      <c r="H415">
        <v>-0.1</v>
      </c>
      <c r="I415">
        <v>0.02763853450728981</v>
      </c>
      <c r="J415" t="s">
        <v>345</v>
      </c>
      <c r="K415" t="s">
        <v>526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0.5277806985557421</v>
      </c>
      <c r="R415" t="s">
        <v>780</v>
      </c>
      <c r="S415" t="s">
        <v>789</v>
      </c>
      <c r="T415">
        <v>128908.689019</v>
      </c>
      <c r="U415" s="2">
        <v>44485</v>
      </c>
      <c r="V415" t="s">
        <v>801</v>
      </c>
    </row>
    <row r="416" spans="1:22">
      <c r="A416" s="1" t="s">
        <v>436</v>
      </c>
      <c r="B416">
        <f>HYPERLINK("https://www.suredividend.com/sure-analysis-DUK/","Duke Energy Corp.")</f>
        <v>0</v>
      </c>
      <c r="C416">
        <v>102.97</v>
      </c>
      <c r="D416">
        <v>78.3</v>
      </c>
      <c r="E416">
        <v>1.31507024265645</v>
      </c>
      <c r="F416">
        <v>0.03826357191414975</v>
      </c>
      <c r="G416">
        <v>-0.05330472429299926</v>
      </c>
      <c r="H416">
        <v>0.043</v>
      </c>
      <c r="I416">
        <v>0.02761727474081721</v>
      </c>
      <c r="J416" t="s">
        <v>345</v>
      </c>
      <c r="K416" t="s">
        <v>777</v>
      </c>
      <c r="L416">
        <v>5.22</v>
      </c>
      <c r="M416">
        <v>3.94</v>
      </c>
      <c r="N416">
        <v>0.7547892720306514</v>
      </c>
      <c r="O416">
        <v>10</v>
      </c>
      <c r="P416">
        <v>0.02693571566003095</v>
      </c>
      <c r="Q416">
        <v>0.202288516550878</v>
      </c>
      <c r="R416" t="s">
        <v>780</v>
      </c>
      <c r="S416" t="s">
        <v>792</v>
      </c>
      <c r="T416">
        <v>79218.69246599999</v>
      </c>
      <c r="U416" s="2">
        <v>44509</v>
      </c>
      <c r="V416" t="s">
        <v>805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170.57</v>
      </c>
      <c r="D417">
        <v>135</v>
      </c>
      <c r="E417">
        <v>1.263481481481481</v>
      </c>
      <c r="F417">
        <v>0.01254616872838131</v>
      </c>
      <c r="G417">
        <v>-0.04569714347421017</v>
      </c>
      <c r="H417">
        <v>0.062</v>
      </c>
      <c r="I417">
        <v>0.02728800868436321</v>
      </c>
      <c r="J417" t="s">
        <v>345</v>
      </c>
      <c r="K417" t="s">
        <v>778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0.5231613031124031</v>
      </c>
      <c r="R417" t="s">
        <v>780</v>
      </c>
      <c r="S417" t="s">
        <v>789</v>
      </c>
      <c r="T417">
        <v>86120.00274900001</v>
      </c>
      <c r="U417" s="2">
        <v>44505</v>
      </c>
      <c r="V417" t="s">
        <v>802</v>
      </c>
    </row>
    <row r="418" spans="1:22">
      <c r="A418" s="1" t="s">
        <v>438</v>
      </c>
      <c r="B418">
        <f>HYPERLINK("https://www.suredividend.com/sure-analysis-FITB/","Fifth Third Bancorp")</f>
        <v>0</v>
      </c>
      <c r="C418">
        <v>43.07</v>
      </c>
      <c r="D418">
        <v>36</v>
      </c>
      <c r="E418">
        <v>1.196388888888889</v>
      </c>
      <c r="F418">
        <v>0.02786162061759926</v>
      </c>
      <c r="G418">
        <v>-0.0352261448697434</v>
      </c>
      <c r="H418">
        <v>0.03</v>
      </c>
      <c r="I418">
        <v>0.02315474678282126</v>
      </c>
      <c r="J418" t="s">
        <v>345</v>
      </c>
      <c r="K418" t="s">
        <v>345</v>
      </c>
      <c r="L418">
        <v>3.64</v>
      </c>
      <c r="M418">
        <v>1.2</v>
      </c>
      <c r="N418">
        <v>0.3296703296703297</v>
      </c>
      <c r="O418">
        <v>11</v>
      </c>
      <c r="P418">
        <v>0.02983277847878951</v>
      </c>
      <c r="Q418">
        <v>0.602336352982756</v>
      </c>
      <c r="R418" t="s">
        <v>780</v>
      </c>
      <c r="S418" t="s">
        <v>789</v>
      </c>
      <c r="T418">
        <v>29449.426308</v>
      </c>
      <c r="U418" s="2">
        <v>44488</v>
      </c>
      <c r="V418" t="s">
        <v>796</v>
      </c>
    </row>
    <row r="419" spans="1:22">
      <c r="A419" s="1" t="s">
        <v>439</v>
      </c>
      <c r="B419">
        <f>HYPERLINK("https://www.suredividend.com/sure-analysis-AMT/","American Tower Corp.")</f>
        <v>0</v>
      </c>
      <c r="C419">
        <v>278.74</v>
      </c>
      <c r="D419">
        <v>209</v>
      </c>
      <c r="E419">
        <v>1.333684210526316</v>
      </c>
      <c r="F419">
        <v>0.01994690392480447</v>
      </c>
      <c r="G419">
        <v>-0.05596216967739309</v>
      </c>
      <c r="H419">
        <v>0.06</v>
      </c>
      <c r="I419">
        <v>0.02260722327162035</v>
      </c>
      <c r="J419" t="s">
        <v>345</v>
      </c>
      <c r="K419" t="s">
        <v>345</v>
      </c>
      <c r="L419">
        <v>9.5</v>
      </c>
      <c r="M419">
        <v>5.56</v>
      </c>
      <c r="N419">
        <v>0.5852631578947368</v>
      </c>
      <c r="O419">
        <v>9</v>
      </c>
      <c r="P419">
        <v>0.04743877095498816</v>
      </c>
      <c r="Q419">
        <v>0.314790854670658</v>
      </c>
      <c r="R419" t="s">
        <v>782</v>
      </c>
      <c r="S419" t="s">
        <v>794</v>
      </c>
      <c r="T419">
        <v>126942.013902</v>
      </c>
      <c r="U419" s="2">
        <v>44502</v>
      </c>
      <c r="V419" t="s">
        <v>799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11.65</v>
      </c>
      <c r="D420">
        <v>10</v>
      </c>
      <c r="E420">
        <v>1.165</v>
      </c>
      <c r="F420">
        <v>0.003433476394849785</v>
      </c>
      <c r="G420">
        <v>-0.03008245611641591</v>
      </c>
      <c r="H420">
        <v>0.05</v>
      </c>
      <c r="I420">
        <v>0.02204379995312</v>
      </c>
      <c r="J420" t="s">
        <v>345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0.307372909886657</v>
      </c>
      <c r="R420" t="s">
        <v>780</v>
      </c>
      <c r="S420" t="s">
        <v>786</v>
      </c>
      <c r="T420">
        <v>3066.538723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134.24</v>
      </c>
      <c r="D421">
        <v>91</v>
      </c>
      <c r="E421">
        <v>1.475164835164835</v>
      </c>
      <c r="F421">
        <v>0.01966626936829559</v>
      </c>
      <c r="G421">
        <v>-0.07480795540490992</v>
      </c>
      <c r="H421">
        <v>0.08</v>
      </c>
      <c r="I421">
        <v>0.02112045717343292</v>
      </c>
      <c r="J421" t="s">
        <v>345</v>
      </c>
      <c r="K421" t="s">
        <v>526</v>
      </c>
      <c r="L421">
        <v>3.62</v>
      </c>
      <c r="M421">
        <v>2.64</v>
      </c>
      <c r="N421">
        <v>0.7292817679558011</v>
      </c>
      <c r="O421">
        <v>10</v>
      </c>
      <c r="P421">
        <v>0.0500384320386924</v>
      </c>
      <c r="Q421">
        <v>0.457691756396947</v>
      </c>
      <c r="R421" t="s">
        <v>780</v>
      </c>
      <c r="S421" t="s">
        <v>786</v>
      </c>
      <c r="T421">
        <v>48405.700535</v>
      </c>
      <c r="U421" s="2">
        <v>44552</v>
      </c>
      <c r="V421" t="s">
        <v>796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110.22</v>
      </c>
      <c r="D422">
        <v>84</v>
      </c>
      <c r="E422">
        <v>1.312142857142857</v>
      </c>
      <c r="F422">
        <v>0.01342769007439666</v>
      </c>
      <c r="G422">
        <v>-0.05288268606980451</v>
      </c>
      <c r="H422">
        <v>0.06</v>
      </c>
      <c r="I422">
        <v>0.02068337341679372</v>
      </c>
      <c r="J422" t="s">
        <v>345</v>
      </c>
      <c r="K422" t="s">
        <v>526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0.306071180997861</v>
      </c>
      <c r="R422" t="s">
        <v>780</v>
      </c>
      <c r="S422" t="s">
        <v>786</v>
      </c>
      <c r="T422">
        <v>7438.418022</v>
      </c>
      <c r="U422" s="2">
        <v>44502</v>
      </c>
      <c r="V422" t="s">
        <v>799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85.3</v>
      </c>
      <c r="D423">
        <v>83</v>
      </c>
      <c r="E423">
        <v>1.027710843373494</v>
      </c>
      <c r="F423">
        <v>0.03188745603751466</v>
      </c>
      <c r="G423">
        <v>-0.005451853749107394</v>
      </c>
      <c r="H423">
        <v>-0.01</v>
      </c>
      <c r="I423">
        <v>0.01917304023376976</v>
      </c>
      <c r="J423" t="s">
        <v>345</v>
      </c>
      <c r="K423" t="s">
        <v>345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0.5781333254395831</v>
      </c>
      <c r="R423" t="s">
        <v>780</v>
      </c>
      <c r="S423" t="s">
        <v>789</v>
      </c>
      <c r="T423">
        <v>11186.981039</v>
      </c>
      <c r="U423" s="2">
        <v>44490</v>
      </c>
      <c r="V423" t="s">
        <v>799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244.04</v>
      </c>
      <c r="D424">
        <v>185</v>
      </c>
      <c r="E424">
        <v>1.319135135135135</v>
      </c>
      <c r="F424">
        <v>0.01245697426651369</v>
      </c>
      <c r="G424">
        <v>-0.05388888985344686</v>
      </c>
      <c r="H424">
        <v>0.05</v>
      </c>
      <c r="I424">
        <v>0.007834159808824737</v>
      </c>
      <c r="J424" t="s">
        <v>345</v>
      </c>
      <c r="K424" t="s">
        <v>778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0.14781100344569</v>
      </c>
      <c r="R424" t="s">
        <v>780</v>
      </c>
      <c r="S424" t="s">
        <v>791</v>
      </c>
      <c r="T424">
        <v>45636.97712</v>
      </c>
      <c r="U424" s="2">
        <v>44475</v>
      </c>
      <c r="V424" t="s">
        <v>799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4.13</v>
      </c>
      <c r="D425">
        <v>3.26</v>
      </c>
      <c r="E425">
        <v>1.266871165644172</v>
      </c>
      <c r="F425">
        <v>0.02663438256658596</v>
      </c>
      <c r="G425">
        <v>-0.0462083640270996</v>
      </c>
      <c r="H425">
        <v>0.02</v>
      </c>
      <c r="I425">
        <v>0.005100839003387314</v>
      </c>
      <c r="J425" t="s">
        <v>345</v>
      </c>
      <c r="K425" t="s">
        <v>345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-0.259763769648522</v>
      </c>
      <c r="R425" t="s">
        <v>780</v>
      </c>
      <c r="S425" t="s">
        <v>790</v>
      </c>
      <c r="T425">
        <v>3977.839719</v>
      </c>
      <c r="U425" s="2">
        <v>44528</v>
      </c>
      <c r="V425" t="s">
        <v>798</v>
      </c>
    </row>
    <row r="426" spans="1:22">
      <c r="A426" s="1" t="s">
        <v>446</v>
      </c>
      <c r="B426">
        <f>HYPERLINK("https://www.suredividend.com/sure-analysis-KLIC/","Kulicke &amp; Soffa Industries, Inc.")</f>
        <v>0</v>
      </c>
      <c r="C426">
        <v>55.98</v>
      </c>
      <c r="D426">
        <v>46</v>
      </c>
      <c r="E426">
        <v>1.21695652173913</v>
      </c>
      <c r="F426">
        <v>0.01214719542693819</v>
      </c>
      <c r="G426">
        <v>-0.03850952223188364</v>
      </c>
      <c r="H426">
        <v>0.03</v>
      </c>
      <c r="I426">
        <v>0.003384883187367516</v>
      </c>
      <c r="J426" t="s">
        <v>345</v>
      </c>
      <c r="K426" t="s">
        <v>526</v>
      </c>
      <c r="L426">
        <v>5.79</v>
      </c>
      <c r="M426">
        <v>0.68</v>
      </c>
      <c r="N426">
        <v>0.1174438687392055</v>
      </c>
      <c r="O426">
        <v>2</v>
      </c>
      <c r="P426">
        <v>0.01978934521903875</v>
      </c>
      <c r="Q426">
        <v>0.7208148510194851</v>
      </c>
      <c r="R426" t="s">
        <v>780</v>
      </c>
      <c r="S426" t="s">
        <v>787</v>
      </c>
      <c r="T426">
        <v>3494.335585</v>
      </c>
      <c r="U426" s="2">
        <v>44522</v>
      </c>
      <c r="V426" t="s">
        <v>796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28.85</v>
      </c>
      <c r="D427">
        <v>28</v>
      </c>
      <c r="E427">
        <v>1.030357142857143</v>
      </c>
      <c r="F427">
        <v>0.001386481802426343</v>
      </c>
      <c r="G427">
        <v>-0.005963245405326112</v>
      </c>
      <c r="H427">
        <v>0</v>
      </c>
      <c r="I427">
        <v>-0.0007328440571114925</v>
      </c>
      <c r="J427" t="s">
        <v>345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0.6148984880967711</v>
      </c>
      <c r="R427" t="s">
        <v>780</v>
      </c>
      <c r="S427" t="s">
        <v>793</v>
      </c>
      <c r="T427">
        <v>26945.351302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56.67</v>
      </c>
      <c r="D428">
        <v>45</v>
      </c>
      <c r="E428">
        <v>1.259333333333333</v>
      </c>
      <c r="F428">
        <v>0.01411681665784366</v>
      </c>
      <c r="G428">
        <v>-0.04506928997591031</v>
      </c>
      <c r="H428">
        <v>0.03</v>
      </c>
      <c r="I428">
        <v>-0.001780341211162884</v>
      </c>
      <c r="J428" t="s">
        <v>345</v>
      </c>
      <c r="K428" t="s">
        <v>526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1.207385998465308</v>
      </c>
      <c r="R428" t="s">
        <v>780</v>
      </c>
      <c r="S428" t="s">
        <v>790</v>
      </c>
      <c r="T428">
        <v>9093.38409</v>
      </c>
      <c r="U428" s="2">
        <v>44515</v>
      </c>
      <c r="V428" t="s">
        <v>802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84.86</v>
      </c>
      <c r="D429">
        <v>67</v>
      </c>
      <c r="E429">
        <v>1.266567164179105</v>
      </c>
      <c r="F429">
        <v>0.01107706811218477</v>
      </c>
      <c r="G429">
        <v>-0.04616258260642137</v>
      </c>
      <c r="H429">
        <v>0.03</v>
      </c>
      <c r="I429">
        <v>-0.002097603078944354</v>
      </c>
      <c r="J429" t="s">
        <v>345</v>
      </c>
      <c r="K429" t="s">
        <v>778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-0.08646600353098201</v>
      </c>
      <c r="R429" t="s">
        <v>780</v>
      </c>
      <c r="S429" t="s">
        <v>787</v>
      </c>
      <c r="T429">
        <v>14689.827773</v>
      </c>
      <c r="U429" s="2">
        <v>44495</v>
      </c>
      <c r="V429" t="s">
        <v>796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169.81</v>
      </c>
      <c r="D430">
        <v>104</v>
      </c>
      <c r="E430">
        <v>1.632788461538462</v>
      </c>
      <c r="F430">
        <v>0.02732465696955421</v>
      </c>
      <c r="G430">
        <v>-0.09340354723598243</v>
      </c>
      <c r="H430">
        <v>0.06</v>
      </c>
      <c r="I430">
        <v>-0.003447873106387722</v>
      </c>
      <c r="J430" t="s">
        <v>345</v>
      </c>
      <c r="K430" t="s">
        <v>345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0.279367978205313</v>
      </c>
      <c r="R430" t="s">
        <v>782</v>
      </c>
      <c r="S430" t="s">
        <v>794</v>
      </c>
      <c r="T430">
        <v>48189.947903</v>
      </c>
      <c r="U430" s="2">
        <v>44497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138.5</v>
      </c>
      <c r="D431">
        <v>90</v>
      </c>
      <c r="E431">
        <v>1.538888888888889</v>
      </c>
      <c r="F431">
        <v>0.02166064981949458</v>
      </c>
      <c r="G431">
        <v>-0.08260039837201993</v>
      </c>
      <c r="H431">
        <v>0.05</v>
      </c>
      <c r="I431">
        <v>-0.01030851320593729</v>
      </c>
      <c r="J431" t="s">
        <v>345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0.215445370776656</v>
      </c>
      <c r="R431" t="s">
        <v>780</v>
      </c>
      <c r="S431" t="s">
        <v>791</v>
      </c>
      <c r="T431">
        <v>389877.5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37.77</v>
      </c>
      <c r="D432">
        <v>21</v>
      </c>
      <c r="E432">
        <v>1.798571428571429</v>
      </c>
      <c r="F432">
        <v>0.02250463330685729</v>
      </c>
      <c r="G432">
        <v>-0.1107692713029321</v>
      </c>
      <c r="H432">
        <v>0.08</v>
      </c>
      <c r="I432">
        <v>-0.01206334398433406</v>
      </c>
      <c r="J432" t="s">
        <v>345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0.4094756168554921</v>
      </c>
      <c r="R432" t="s">
        <v>780</v>
      </c>
      <c r="S432" t="s">
        <v>786</v>
      </c>
      <c r="T432">
        <v>77547.409931</v>
      </c>
      <c r="U432" s="2">
        <v>44494</v>
      </c>
      <c r="V432" t="s">
        <v>803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217.07</v>
      </c>
      <c r="D433">
        <v>123</v>
      </c>
      <c r="E433">
        <v>1.76479674796748</v>
      </c>
      <c r="F433">
        <v>0.01851937163127102</v>
      </c>
      <c r="G433">
        <v>-0.1073914118721264</v>
      </c>
      <c r="H433">
        <v>0.08</v>
      </c>
      <c r="I433">
        <v>-0.01229552586926397</v>
      </c>
      <c r="J433" t="s">
        <v>345</v>
      </c>
      <c r="K433" t="s">
        <v>526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0.398688363186022</v>
      </c>
      <c r="R433" t="s">
        <v>780</v>
      </c>
      <c r="S433" t="s">
        <v>791</v>
      </c>
      <c r="T433">
        <v>126413.253351</v>
      </c>
      <c r="U433" s="2">
        <v>44422</v>
      </c>
      <c r="V433" t="s">
        <v>796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362.45</v>
      </c>
      <c r="D434">
        <v>242</v>
      </c>
      <c r="E434">
        <v>1.497727272727273</v>
      </c>
      <c r="F434">
        <v>0.02207200993240447</v>
      </c>
      <c r="G434">
        <v>-0.07761240757161958</v>
      </c>
      <c r="H434">
        <v>0.04</v>
      </c>
      <c r="I434">
        <v>-0.01300625723245341</v>
      </c>
      <c r="J434" t="s">
        <v>345</v>
      </c>
      <c r="K434" t="s">
        <v>526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0.6402946330301801</v>
      </c>
      <c r="R434" t="s">
        <v>782</v>
      </c>
      <c r="S434" t="s">
        <v>794</v>
      </c>
      <c r="T434">
        <v>63557.260272</v>
      </c>
      <c r="U434" s="2">
        <v>44502</v>
      </c>
      <c r="V434" t="s">
        <v>796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245.77</v>
      </c>
      <c r="D435">
        <v>147</v>
      </c>
      <c r="E435">
        <v>1.671904761904762</v>
      </c>
      <c r="F435">
        <v>0.02587785327745453</v>
      </c>
      <c r="G435">
        <v>-0.09768600567838159</v>
      </c>
      <c r="H435">
        <v>0.054</v>
      </c>
      <c r="I435">
        <v>-0.01758295380765862</v>
      </c>
      <c r="J435" t="s">
        <v>345</v>
      </c>
      <c r="K435" t="s">
        <v>345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0.621477902192759</v>
      </c>
      <c r="R435" t="s">
        <v>782</v>
      </c>
      <c r="S435" t="s">
        <v>794</v>
      </c>
      <c r="T435">
        <v>34344.1264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41.14</v>
      </c>
      <c r="D436">
        <v>23</v>
      </c>
      <c r="E436">
        <v>1.788695652173913</v>
      </c>
      <c r="F436">
        <v>0.03014098201263976</v>
      </c>
      <c r="G436">
        <v>-0.1097895056006808</v>
      </c>
      <c r="H436">
        <v>0.055</v>
      </c>
      <c r="I436">
        <v>-0.02058049804641626</v>
      </c>
      <c r="J436" t="s">
        <v>345</v>
      </c>
      <c r="K436" t="s">
        <v>345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0.203761682106261</v>
      </c>
      <c r="R436" t="s">
        <v>780</v>
      </c>
      <c r="S436" t="s">
        <v>786</v>
      </c>
      <c r="T436">
        <v>1792.032029</v>
      </c>
      <c r="U436" s="2">
        <v>44494</v>
      </c>
      <c r="V436" t="s">
        <v>796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62.59</v>
      </c>
      <c r="D437">
        <v>37</v>
      </c>
      <c r="E437">
        <v>1.691621621621622</v>
      </c>
      <c r="F437">
        <v>0.01789423230548011</v>
      </c>
      <c r="G437">
        <v>-0.09979928302207663</v>
      </c>
      <c r="H437">
        <v>0.06</v>
      </c>
      <c r="I437">
        <v>-0.02127262014679054</v>
      </c>
      <c r="J437" t="s">
        <v>345</v>
      </c>
      <c r="K437" t="s">
        <v>526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0.302872606161532</v>
      </c>
      <c r="R437" t="s">
        <v>780</v>
      </c>
      <c r="S437" t="s">
        <v>786</v>
      </c>
      <c r="T437">
        <v>35999.474327</v>
      </c>
      <c r="U437" s="2">
        <v>44482</v>
      </c>
      <c r="V437" t="s">
        <v>799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61.65</v>
      </c>
      <c r="D438">
        <v>49</v>
      </c>
      <c r="E438">
        <v>1.258163265306122</v>
      </c>
      <c r="F438">
        <v>0.01686942416869424</v>
      </c>
      <c r="G438">
        <v>-0.04489174251210792</v>
      </c>
      <c r="H438">
        <v>0</v>
      </c>
      <c r="I438">
        <v>-0.02252206764346554</v>
      </c>
      <c r="J438" t="s">
        <v>345</v>
      </c>
      <c r="K438" t="s">
        <v>526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0.730701207700988</v>
      </c>
      <c r="R438" t="s">
        <v>780</v>
      </c>
      <c r="S438" t="s">
        <v>790</v>
      </c>
      <c r="T438">
        <v>12234.518083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293.59</v>
      </c>
      <c r="D439">
        <v>164</v>
      </c>
      <c r="E439">
        <v>1.790182926829268</v>
      </c>
      <c r="F439">
        <v>0.007357198814673525</v>
      </c>
      <c r="G439">
        <v>-0.1099374712292903</v>
      </c>
      <c r="H439">
        <v>0.08</v>
      </c>
      <c r="I439">
        <v>-0.02775179509746895</v>
      </c>
      <c r="J439" t="s">
        <v>345</v>
      </c>
      <c r="K439" t="s">
        <v>778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0.5065121925938241</v>
      </c>
      <c r="R439" t="s">
        <v>780</v>
      </c>
      <c r="S439" t="s">
        <v>786</v>
      </c>
      <c r="T439">
        <v>26710.94738</v>
      </c>
      <c r="U439" s="2">
        <v>44498</v>
      </c>
      <c r="V439" t="s">
        <v>797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26.07</v>
      </c>
      <c r="D440">
        <v>16</v>
      </c>
      <c r="E440">
        <v>1.629375</v>
      </c>
      <c r="F440">
        <v>0.01917913310318374</v>
      </c>
      <c r="G440">
        <v>-0.09302401003483018</v>
      </c>
      <c r="H440">
        <v>0.04</v>
      </c>
      <c r="I440">
        <v>-0.03012619797572536</v>
      </c>
      <c r="J440" t="s">
        <v>345</v>
      </c>
      <c r="K440" t="s">
        <v>526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0.34386292288897</v>
      </c>
      <c r="R440" t="s">
        <v>780</v>
      </c>
      <c r="S440" t="s">
        <v>793</v>
      </c>
      <c r="T440">
        <v>9470.559932</v>
      </c>
      <c r="U440" s="2">
        <v>44508</v>
      </c>
      <c r="V440" t="s">
        <v>803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253.46</v>
      </c>
      <c r="D441">
        <v>146</v>
      </c>
      <c r="E441">
        <v>1.736027397260274</v>
      </c>
      <c r="F441">
        <v>0.004103211552118678</v>
      </c>
      <c r="G441">
        <v>-0.1044523779312769</v>
      </c>
      <c r="H441">
        <v>0.075</v>
      </c>
      <c r="I441">
        <v>-0.03140111448197735</v>
      </c>
      <c r="J441" t="s">
        <v>345</v>
      </c>
      <c r="K441" t="s">
        <v>778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0.130321936165753</v>
      </c>
      <c r="R441" t="s">
        <v>780</v>
      </c>
      <c r="S441" t="s">
        <v>788</v>
      </c>
      <c r="T441">
        <v>46826.200199</v>
      </c>
      <c r="U441" s="2">
        <v>44502</v>
      </c>
      <c r="V441" t="s">
        <v>796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32.08</v>
      </c>
      <c r="D442">
        <v>25</v>
      </c>
      <c r="E442">
        <v>1.2832</v>
      </c>
      <c r="F442">
        <v>0.009351620947630923</v>
      </c>
      <c r="G442">
        <v>-0.04864823156266274</v>
      </c>
      <c r="H442">
        <v>0</v>
      </c>
      <c r="I442">
        <v>-0.0316299672221968</v>
      </c>
      <c r="J442" t="s">
        <v>345</v>
      </c>
      <c r="K442" t="s">
        <v>526</v>
      </c>
      <c r="L442">
        <v>12.8</v>
      </c>
      <c r="M442">
        <v>0.3</v>
      </c>
      <c r="N442">
        <v>0.0234375</v>
      </c>
      <c r="O442">
        <v>0</v>
      </c>
      <c r="P442">
        <v>0.1486983549970351</v>
      </c>
      <c r="Q442">
        <v>0.386715541761405</v>
      </c>
      <c r="R442" t="s">
        <v>780</v>
      </c>
      <c r="S442" t="s">
        <v>790</v>
      </c>
      <c r="T442">
        <v>31528.537486</v>
      </c>
      <c r="U442" s="2">
        <v>44516</v>
      </c>
      <c r="V442" t="s">
        <v>803</v>
      </c>
    </row>
    <row r="443" spans="1:22">
      <c r="A443" s="1" t="s">
        <v>463</v>
      </c>
      <c r="B443">
        <f>HYPERLINK("https://www.suredividend.com/sure-analysis-MRVL/","Marvell Technology Inc")</f>
        <v>0</v>
      </c>
      <c r="C443">
        <v>87.68000000000001</v>
      </c>
      <c r="D443">
        <v>29</v>
      </c>
      <c r="E443">
        <v>3.023448275862069</v>
      </c>
      <c r="F443">
        <v>0.002737226277372262</v>
      </c>
      <c r="G443">
        <v>-0.1985074472710597</v>
      </c>
      <c r="H443">
        <v>0.2</v>
      </c>
      <c r="I443">
        <v>-0.03503119968017621</v>
      </c>
      <c r="J443" t="s">
        <v>345</v>
      </c>
      <c r="K443" t="s">
        <v>778</v>
      </c>
      <c r="L443">
        <v>1.4</v>
      </c>
      <c r="M443">
        <v>0.24</v>
      </c>
      <c r="N443">
        <v>0.1714285714285714</v>
      </c>
      <c r="O443">
        <v>0</v>
      </c>
      <c r="P443">
        <v>0</v>
      </c>
      <c r="Q443">
        <v>0.8484124691948821</v>
      </c>
      <c r="R443" t="s">
        <v>780</v>
      </c>
      <c r="S443" t="s">
        <v>787</v>
      </c>
      <c r="T443">
        <v>73984.38400000001</v>
      </c>
      <c r="U443" s="2">
        <v>44461</v>
      </c>
      <c r="V443" t="s">
        <v>798</v>
      </c>
    </row>
    <row r="444" spans="1:22">
      <c r="A444" s="1" t="s">
        <v>464</v>
      </c>
      <c r="B444">
        <f>HYPERLINK("https://www.suredividend.com/sure-analysis-FCX/","Freeport-McMoRan Inc")</f>
        <v>0</v>
      </c>
      <c r="C444">
        <v>41.13</v>
      </c>
      <c r="D444">
        <v>40</v>
      </c>
      <c r="E444">
        <v>1.02825</v>
      </c>
      <c r="F444">
        <v>0.007293946024799416</v>
      </c>
      <c r="G444">
        <v>-0.005556172683942262</v>
      </c>
      <c r="H444">
        <v>-0.04</v>
      </c>
      <c r="I444">
        <v>-0.03508607423683074</v>
      </c>
      <c r="J444" t="s">
        <v>345</v>
      </c>
      <c r="K444" t="s">
        <v>778</v>
      </c>
      <c r="L444">
        <v>3.05</v>
      </c>
      <c r="M444">
        <v>0.3</v>
      </c>
      <c r="N444">
        <v>0.09836065573770492</v>
      </c>
      <c r="O444">
        <v>1</v>
      </c>
      <c r="P444">
        <v>0.05922384104881218</v>
      </c>
      <c r="Q444">
        <v>0.665128254955305</v>
      </c>
      <c r="R444" t="s">
        <v>780</v>
      </c>
      <c r="S444" t="s">
        <v>790</v>
      </c>
      <c r="T444">
        <v>60398.315713</v>
      </c>
      <c r="U444" s="2">
        <v>44498</v>
      </c>
      <c r="V444" t="s">
        <v>801</v>
      </c>
    </row>
    <row r="445" spans="1:22">
      <c r="A445" s="1" t="s">
        <v>465</v>
      </c>
      <c r="B445">
        <f>HYPERLINK("https://www.suredividend.com/sure-analysis-INFY/","Infosys Ltd")</f>
        <v>0</v>
      </c>
      <c r="C445">
        <v>24.73</v>
      </c>
      <c r="D445">
        <v>13</v>
      </c>
      <c r="E445">
        <v>1.902307692307692</v>
      </c>
      <c r="F445">
        <v>0.01617468661544683</v>
      </c>
      <c r="G445">
        <v>-0.1206862847626003</v>
      </c>
      <c r="H445">
        <v>0.06</v>
      </c>
      <c r="I445">
        <v>-0.04216832923070268</v>
      </c>
      <c r="J445" t="s">
        <v>345</v>
      </c>
      <c r="K445" t="s">
        <v>526</v>
      </c>
      <c r="L445">
        <v>0.7</v>
      </c>
      <c r="M445">
        <v>0.4</v>
      </c>
      <c r="N445">
        <v>0.5714285714285715</v>
      </c>
      <c r="O445">
        <v>6</v>
      </c>
      <c r="P445">
        <v>0.08083252207959757</v>
      </c>
      <c r="Q445">
        <v>0.519433760552476</v>
      </c>
      <c r="R445" t="s">
        <v>780</v>
      </c>
      <c r="S445" t="s">
        <v>787</v>
      </c>
      <c r="T445">
        <v>104002.979693</v>
      </c>
      <c r="U445" s="2">
        <v>44498</v>
      </c>
      <c r="V445" t="s">
        <v>797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75.73999999999999</v>
      </c>
      <c r="D446">
        <v>36</v>
      </c>
      <c r="E446">
        <v>2.103888888888889</v>
      </c>
      <c r="F446">
        <v>0.007657776604172168</v>
      </c>
      <c r="G446">
        <v>-0.1382219265011395</v>
      </c>
      <c r="H446">
        <v>0.1</v>
      </c>
      <c r="I446">
        <v>-0.04227918562582433</v>
      </c>
      <c r="J446" t="s">
        <v>345</v>
      </c>
      <c r="K446" t="s">
        <v>778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0.928561243405104</v>
      </c>
      <c r="R446" t="s">
        <v>780</v>
      </c>
      <c r="S446" t="s">
        <v>789</v>
      </c>
      <c r="T446">
        <v>44308.598929</v>
      </c>
      <c r="U446" s="2">
        <v>44507</v>
      </c>
      <c r="V446" t="s">
        <v>806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162.74</v>
      </c>
      <c r="D447">
        <v>87</v>
      </c>
      <c r="E447">
        <v>1.870574712643678</v>
      </c>
      <c r="F447">
        <v>0.002457908320019663</v>
      </c>
      <c r="G447">
        <v>-0.1177229382389886</v>
      </c>
      <c r="H447">
        <v>0.08</v>
      </c>
      <c r="I447">
        <v>-0.04318576283148523</v>
      </c>
      <c r="J447" t="s">
        <v>345</v>
      </c>
      <c r="K447" t="s">
        <v>778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0.392002613960912</v>
      </c>
      <c r="R447" t="s">
        <v>780</v>
      </c>
      <c r="S447" t="s">
        <v>787</v>
      </c>
      <c r="T447">
        <v>26527.326292</v>
      </c>
      <c r="U447" s="2">
        <v>44502</v>
      </c>
      <c r="V447" t="s">
        <v>806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116.86</v>
      </c>
      <c r="D448">
        <v>66</v>
      </c>
      <c r="E448">
        <v>1.770606060606061</v>
      </c>
      <c r="F448">
        <v>0.01386274174225569</v>
      </c>
      <c r="G448">
        <v>-0.1079779072215291</v>
      </c>
      <c r="H448">
        <v>0.05</v>
      </c>
      <c r="I448">
        <v>-0.04552682025530175</v>
      </c>
      <c r="J448" t="s">
        <v>345</v>
      </c>
      <c r="K448" t="s">
        <v>526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0.486059450007947</v>
      </c>
      <c r="R448" t="s">
        <v>780</v>
      </c>
      <c r="S448" t="s">
        <v>786</v>
      </c>
      <c r="T448">
        <v>56927.094508</v>
      </c>
      <c r="U448" s="2">
        <v>44502</v>
      </c>
      <c r="V448" t="s">
        <v>802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2.67</v>
      </c>
      <c r="D449">
        <v>1.98</v>
      </c>
      <c r="E449">
        <v>1.348484848484848</v>
      </c>
      <c r="F449">
        <v>0.0149812734082397</v>
      </c>
      <c r="G449">
        <v>-0.05804363349893304</v>
      </c>
      <c r="H449">
        <v>-0.01</v>
      </c>
      <c r="I449">
        <v>-0.04844488918154344</v>
      </c>
      <c r="J449" t="s">
        <v>345</v>
      </c>
      <c r="K449" t="s">
        <v>526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-0.359604729810759</v>
      </c>
      <c r="R449" t="s">
        <v>782</v>
      </c>
      <c r="S449" t="s">
        <v>794</v>
      </c>
      <c r="T449">
        <v>638.116367</v>
      </c>
      <c r="U449" s="2">
        <v>44551</v>
      </c>
      <c r="V449" t="s">
        <v>800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123.86</v>
      </c>
      <c r="D450">
        <v>86</v>
      </c>
      <c r="E450">
        <v>1.440232558139535</v>
      </c>
      <c r="F450">
        <v>0.004440497335701599</v>
      </c>
      <c r="G450">
        <v>-0.07036284032564155</v>
      </c>
      <c r="H450">
        <v>0.017</v>
      </c>
      <c r="I450">
        <v>-0.04877294963231649</v>
      </c>
      <c r="J450" t="s">
        <v>345</v>
      </c>
      <c r="K450" t="s">
        <v>778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0.272651705354312</v>
      </c>
      <c r="R450" t="s">
        <v>780</v>
      </c>
      <c r="S450" t="s">
        <v>787</v>
      </c>
      <c r="T450">
        <v>156194.740615</v>
      </c>
      <c r="U450" s="2">
        <v>44501</v>
      </c>
      <c r="V450" t="s">
        <v>796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296.4</v>
      </c>
      <c r="D451">
        <v>109</v>
      </c>
      <c r="E451">
        <v>2.719266055045871</v>
      </c>
      <c r="F451">
        <v>0.0005398110661268557</v>
      </c>
      <c r="G451">
        <v>-0.181328522715441</v>
      </c>
      <c r="H451">
        <v>0.15</v>
      </c>
      <c r="I451">
        <v>-0.05784171472452826</v>
      </c>
      <c r="J451" t="s">
        <v>345</v>
      </c>
      <c r="K451" t="s">
        <v>778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1.280368367197777</v>
      </c>
      <c r="R451" t="s">
        <v>780</v>
      </c>
      <c r="S451" t="s">
        <v>787</v>
      </c>
      <c r="T451">
        <v>741000</v>
      </c>
      <c r="U451" s="2">
        <v>44533</v>
      </c>
      <c r="V451" t="s">
        <v>797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206.36</v>
      </c>
      <c r="D452">
        <v>97</v>
      </c>
      <c r="E452">
        <v>2.127422680412371</v>
      </c>
      <c r="F452">
        <v>0.007171932545066872</v>
      </c>
      <c r="G452">
        <v>-0.1401370368231895</v>
      </c>
      <c r="H452">
        <v>0.05</v>
      </c>
      <c r="I452">
        <v>-0.08494870471064508</v>
      </c>
      <c r="J452" t="s">
        <v>345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0.457650368756723</v>
      </c>
      <c r="R452" t="s">
        <v>780</v>
      </c>
      <c r="S452" t="s">
        <v>790</v>
      </c>
      <c r="T452">
        <v>27385.009578</v>
      </c>
      <c r="U452" s="2">
        <v>44506</v>
      </c>
      <c r="V452" t="s">
        <v>796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10.12</v>
      </c>
      <c r="D453">
        <v>2.45</v>
      </c>
      <c r="E453">
        <v>4.130612244897959</v>
      </c>
      <c r="F453">
        <v>0.01185770750988142</v>
      </c>
      <c r="G453">
        <v>-0.2469962927296288</v>
      </c>
      <c r="H453">
        <v>0.1</v>
      </c>
      <c r="I453">
        <v>-0.1446620400368911</v>
      </c>
      <c r="J453" t="s">
        <v>345</v>
      </c>
      <c r="K453" t="s">
        <v>526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2.295665483440257</v>
      </c>
      <c r="R453" t="s">
        <v>780</v>
      </c>
      <c r="S453" t="s">
        <v>793</v>
      </c>
      <c r="T453">
        <v>2496.737726</v>
      </c>
      <c r="U453" s="2">
        <v>44528</v>
      </c>
      <c r="V453" t="s">
        <v>798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10.86</v>
      </c>
      <c r="D454">
        <v>19</v>
      </c>
      <c r="E454">
        <v>0.5715789473684211</v>
      </c>
      <c r="F454">
        <v>0.1104972375690608</v>
      </c>
      <c r="G454">
        <v>0.118368059438299</v>
      </c>
      <c r="H454">
        <v>0.04</v>
      </c>
      <c r="I454">
        <v>0.218040098460766</v>
      </c>
      <c r="J454" t="s">
        <v>526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0.20662644578514</v>
      </c>
      <c r="R454" t="s">
        <v>781</v>
      </c>
      <c r="S454" t="s">
        <v>793</v>
      </c>
      <c r="T454">
        <v>4271.124372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14.18</v>
      </c>
      <c r="D455">
        <v>23</v>
      </c>
      <c r="E455">
        <v>0.6165217391304347</v>
      </c>
      <c r="F455">
        <v>0.09308885754583922</v>
      </c>
      <c r="G455">
        <v>0.1015654879994747</v>
      </c>
      <c r="H455">
        <v>0.01</v>
      </c>
      <c r="I455">
        <v>0.1814954640757083</v>
      </c>
      <c r="J455" t="s">
        <v>526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0.046185627858934</v>
      </c>
      <c r="R455" t="s">
        <v>781</v>
      </c>
      <c r="S455" t="s">
        <v>792</v>
      </c>
      <c r="T455">
        <v>892.825436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9.1</v>
      </c>
      <c r="D456">
        <v>12.1</v>
      </c>
      <c r="E456">
        <v>0.7520661157024793</v>
      </c>
      <c r="F456">
        <v>0.07912087912087912</v>
      </c>
      <c r="G456">
        <v>0.05864120932043804</v>
      </c>
      <c r="H456">
        <v>0.05</v>
      </c>
      <c r="I456">
        <v>0.1690901707607486</v>
      </c>
      <c r="J456" t="s">
        <v>526</v>
      </c>
      <c r="K456" t="s">
        <v>777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0.092883049503999</v>
      </c>
      <c r="R456" t="s">
        <v>781</v>
      </c>
      <c r="S456" t="s">
        <v>793</v>
      </c>
      <c r="T456">
        <v>6471.209126</v>
      </c>
      <c r="U456" s="2">
        <v>44511</v>
      </c>
      <c r="V456" t="s">
        <v>795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16.31</v>
      </c>
      <c r="D457">
        <v>25</v>
      </c>
      <c r="E457">
        <v>0.6524</v>
      </c>
      <c r="F457">
        <v>0.08583690987124463</v>
      </c>
      <c r="G457">
        <v>0.08917385932807909</v>
      </c>
      <c r="H457">
        <v>0.02</v>
      </c>
      <c r="I457">
        <v>0.1681613606396035</v>
      </c>
      <c r="J457" t="s">
        <v>526</v>
      </c>
      <c r="K457" t="s">
        <v>777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0.267662557709347</v>
      </c>
      <c r="R457" t="s">
        <v>781</v>
      </c>
      <c r="S457" t="s">
        <v>793</v>
      </c>
      <c r="T457">
        <v>1719.729678</v>
      </c>
      <c r="U457" s="2">
        <v>44504</v>
      </c>
      <c r="V457" t="s">
        <v>803</v>
      </c>
    </row>
    <row r="458" spans="1:22">
      <c r="A458" s="1" t="s">
        <v>478</v>
      </c>
      <c r="B458">
        <f>HYPERLINK("https://www.suredividend.com/sure-analysis-PBR/","Petroleo Brasileiro S.A. Petrobras")</f>
        <v>0</v>
      </c>
      <c r="C458">
        <v>10.79</v>
      </c>
      <c r="D458">
        <v>18</v>
      </c>
      <c r="E458">
        <v>0.5994444444444444</v>
      </c>
      <c r="F458">
        <v>0.08433734939759037</v>
      </c>
      <c r="G458">
        <v>0.1077715621512527</v>
      </c>
      <c r="H458">
        <v>0.01</v>
      </c>
      <c r="I458">
        <v>0.1681311266146426</v>
      </c>
      <c r="J458" t="s">
        <v>526</v>
      </c>
      <c r="K458" t="s">
        <v>777</v>
      </c>
      <c r="L458">
        <v>2.21</v>
      </c>
      <c r="M458">
        <v>0.91</v>
      </c>
      <c r="N458">
        <v>0.411764705882353</v>
      </c>
      <c r="O458">
        <v>0</v>
      </c>
      <c r="P458">
        <v>0</v>
      </c>
      <c r="Q458">
        <v>0.167887952028921</v>
      </c>
      <c r="R458" t="s">
        <v>780</v>
      </c>
      <c r="S458" t="s">
        <v>793</v>
      </c>
      <c r="T458">
        <v>68049.01139</v>
      </c>
      <c r="U458" s="2">
        <v>44552</v>
      </c>
      <c r="V458" t="s">
        <v>800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1.61</v>
      </c>
      <c r="D459">
        <v>1.35</v>
      </c>
      <c r="E459">
        <v>1.192592592592592</v>
      </c>
      <c r="F459">
        <v>0.02484472049689441</v>
      </c>
      <c r="G459">
        <v>-0.03461270608009626</v>
      </c>
      <c r="H459">
        <v>0.19</v>
      </c>
      <c r="I459">
        <v>0.1665659717985246</v>
      </c>
      <c r="J459" t="s">
        <v>526</v>
      </c>
      <c r="K459" t="s">
        <v>526</v>
      </c>
      <c r="L459">
        <v>0.09</v>
      </c>
      <c r="M459">
        <v>0.04</v>
      </c>
      <c r="N459">
        <v>0.4444444444444445</v>
      </c>
      <c r="O459">
        <v>0</v>
      </c>
      <c r="P459">
        <v>0.08447177119769855</v>
      </c>
      <c r="Q459">
        <v>-0.5502039447952171</v>
      </c>
      <c r="R459" t="s">
        <v>780</v>
      </c>
      <c r="S459" t="s">
        <v>790</v>
      </c>
      <c r="T459">
        <v>120.076503</v>
      </c>
      <c r="U459" s="2">
        <v>44512</v>
      </c>
      <c r="V459" t="s">
        <v>803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47.23</v>
      </c>
      <c r="D460">
        <v>97</v>
      </c>
      <c r="E460">
        <v>0.4869072164948453</v>
      </c>
      <c r="F460">
        <v>0.09506669489731104</v>
      </c>
      <c r="G460">
        <v>0.1548105896943865</v>
      </c>
      <c r="H460">
        <v>-0.05</v>
      </c>
      <c r="I460">
        <v>0.1581919988055258</v>
      </c>
      <c r="J460" t="s">
        <v>526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0.179102204668974</v>
      </c>
      <c r="R460" t="s">
        <v>780</v>
      </c>
      <c r="S460" t="s">
        <v>793</v>
      </c>
      <c r="T460">
        <v>12049.997051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87.18000000000001</v>
      </c>
      <c r="D461">
        <v>135</v>
      </c>
      <c r="E461">
        <v>0.6457777777777778</v>
      </c>
      <c r="F461">
        <v>0.03441156228492773</v>
      </c>
      <c r="G461">
        <v>0.09139857087336334</v>
      </c>
      <c r="H461">
        <v>0.03</v>
      </c>
      <c r="I461">
        <v>0.150216538657227</v>
      </c>
      <c r="J461" t="s">
        <v>526</v>
      </c>
      <c r="K461" t="s">
        <v>345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0.8201177502192151</v>
      </c>
      <c r="R461" t="s">
        <v>780</v>
      </c>
      <c r="S461" t="s">
        <v>793</v>
      </c>
      <c r="T461">
        <v>51008.144544</v>
      </c>
      <c r="U461" s="2">
        <v>44513</v>
      </c>
      <c r="V461" t="s">
        <v>806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5.24</v>
      </c>
      <c r="D462">
        <v>7.7</v>
      </c>
      <c r="E462">
        <v>0.6805194805194805</v>
      </c>
      <c r="F462">
        <v>0.04770992366412213</v>
      </c>
      <c r="G462">
        <v>0.08002022315608426</v>
      </c>
      <c r="H462">
        <v>0.03</v>
      </c>
      <c r="I462">
        <v>0.1445924684065685</v>
      </c>
      <c r="J462" t="s">
        <v>526</v>
      </c>
      <c r="K462" t="s">
        <v>777</v>
      </c>
      <c r="L462">
        <v>0.77</v>
      </c>
      <c r="M462">
        <v>0.25</v>
      </c>
      <c r="N462">
        <v>0.3246753246753247</v>
      </c>
      <c r="O462">
        <v>0</v>
      </c>
      <c r="P462">
        <v>0.03012896281839894</v>
      </c>
      <c r="Q462">
        <v>-0.197180940707829</v>
      </c>
      <c r="R462" t="s">
        <v>780</v>
      </c>
      <c r="S462" t="s">
        <v>789</v>
      </c>
      <c r="T462">
        <v>1873.252683</v>
      </c>
      <c r="U462" s="2">
        <v>44528</v>
      </c>
      <c r="V462" t="s">
        <v>798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36.3</v>
      </c>
      <c r="D463">
        <v>40</v>
      </c>
      <c r="E463">
        <v>0.9075</v>
      </c>
      <c r="F463">
        <v>0.02837465564738292</v>
      </c>
      <c r="G463">
        <v>0.01960198725209605</v>
      </c>
      <c r="H463">
        <v>0.1</v>
      </c>
      <c r="I463">
        <v>0.1415055171947255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-0.311224199369286</v>
      </c>
      <c r="R463" t="s">
        <v>780</v>
      </c>
      <c r="S463" t="s">
        <v>785</v>
      </c>
      <c r="T463">
        <v>33301.582575</v>
      </c>
      <c r="U463" s="2">
        <v>44491</v>
      </c>
      <c r="V463" t="s">
        <v>803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41.26</v>
      </c>
      <c r="D464">
        <v>53</v>
      </c>
      <c r="E464">
        <v>0.7784905660377358</v>
      </c>
      <c r="F464">
        <v>0.02423654871546292</v>
      </c>
      <c r="G464">
        <v>0.05135486623677532</v>
      </c>
      <c r="H464">
        <v>0.07000000000000001</v>
      </c>
      <c r="I464">
        <v>0.1396916991521926</v>
      </c>
      <c r="J464" t="s">
        <v>526</v>
      </c>
      <c r="K464" t="s">
        <v>526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0.36907665302899</v>
      </c>
      <c r="R464" t="s">
        <v>780</v>
      </c>
      <c r="S464" t="s">
        <v>788</v>
      </c>
      <c r="T464">
        <v>11352.386028</v>
      </c>
      <c r="U464" s="2">
        <v>44513</v>
      </c>
      <c r="V464" t="s">
        <v>798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8.220000000000001</v>
      </c>
      <c r="D465">
        <v>11.1</v>
      </c>
      <c r="E465">
        <v>0.7405405405405406</v>
      </c>
      <c r="F465">
        <v>0.07420924574209245</v>
      </c>
      <c r="G465">
        <v>0.06191616587527204</v>
      </c>
      <c r="H465">
        <v>0.02</v>
      </c>
      <c r="I465">
        <v>0.1395918748775968</v>
      </c>
      <c r="J465" t="s">
        <v>526</v>
      </c>
      <c r="K465" t="s">
        <v>777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0.353420597678439</v>
      </c>
      <c r="R465" t="s">
        <v>781</v>
      </c>
      <c r="S465" t="s">
        <v>793</v>
      </c>
      <c r="T465">
        <v>26150.671518</v>
      </c>
      <c r="U465" s="2">
        <v>44509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66.26000000000001</v>
      </c>
      <c r="D466">
        <v>75</v>
      </c>
      <c r="E466">
        <v>0.8834666666666667</v>
      </c>
      <c r="F466">
        <v>0.03139148807727135</v>
      </c>
      <c r="G466">
        <v>0.0250899279557697</v>
      </c>
      <c r="H466">
        <v>0.07000000000000001</v>
      </c>
      <c r="I466">
        <v>0.1336068449099546</v>
      </c>
      <c r="J466" t="s">
        <v>526</v>
      </c>
      <c r="K466" t="s">
        <v>526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0.228953293839653</v>
      </c>
      <c r="R466" t="s">
        <v>782</v>
      </c>
      <c r="S466" t="s">
        <v>794</v>
      </c>
      <c r="T466">
        <v>7716.751116</v>
      </c>
      <c r="U466" s="2">
        <v>44498</v>
      </c>
      <c r="V466" t="s">
        <v>798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10.77</v>
      </c>
      <c r="D467">
        <v>12</v>
      </c>
      <c r="E467">
        <v>0.8975</v>
      </c>
      <c r="F467">
        <v>0.02135561745589601</v>
      </c>
      <c r="G467">
        <v>0.02186402166800439</v>
      </c>
      <c r="H467">
        <v>0.09</v>
      </c>
      <c r="I467">
        <v>0.132754487291793</v>
      </c>
      <c r="J467" t="s">
        <v>526</v>
      </c>
      <c r="K467" t="s">
        <v>526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-0.06362482394060001</v>
      </c>
      <c r="R467" t="s">
        <v>780</v>
      </c>
      <c r="S467" t="s">
        <v>787</v>
      </c>
      <c r="T467">
        <v>33089.702249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71.90000000000001</v>
      </c>
      <c r="D468">
        <v>84</v>
      </c>
      <c r="E468">
        <v>0.855952380952381</v>
      </c>
      <c r="F468">
        <v>0.05118219749652295</v>
      </c>
      <c r="G468">
        <v>0.03159702053533597</v>
      </c>
      <c r="H468">
        <v>0.06</v>
      </c>
      <c r="I468">
        <v>0.1292854743055618</v>
      </c>
      <c r="J468" t="s">
        <v>526</v>
      </c>
      <c r="K468" t="s">
        <v>777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0.08571402685141401</v>
      </c>
      <c r="R468" t="s">
        <v>780</v>
      </c>
      <c r="S468" t="s">
        <v>793</v>
      </c>
      <c r="T468">
        <v>31499.409629</v>
      </c>
      <c r="U468" s="2">
        <v>44501</v>
      </c>
      <c r="V468" t="s">
        <v>803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71.78</v>
      </c>
      <c r="D469">
        <v>86</v>
      </c>
      <c r="E469">
        <v>0.8346511627906977</v>
      </c>
      <c r="F469">
        <v>0.05196433546949011</v>
      </c>
      <c r="G469">
        <v>0.03680957540121921</v>
      </c>
      <c r="H469">
        <v>0.05</v>
      </c>
      <c r="I469">
        <v>0.1267791829013829</v>
      </c>
      <c r="J469" t="s">
        <v>526</v>
      </c>
      <c r="K469" t="s">
        <v>777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0.331989838428036</v>
      </c>
      <c r="R469" t="s">
        <v>782</v>
      </c>
      <c r="S469" t="s">
        <v>794</v>
      </c>
      <c r="T469">
        <v>4789.640803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HYPERLINK("https://www.suredividend.com/sure-analysis-LUMN/","Lumen Technologies Inc")</f>
        <v>0</v>
      </c>
      <c r="C470">
        <v>12.84</v>
      </c>
      <c r="D470">
        <v>17</v>
      </c>
      <c r="E470">
        <v>0.7552941176470588</v>
      </c>
      <c r="F470">
        <v>0.0778816199376947</v>
      </c>
      <c r="G470">
        <v>0.05773476696626312</v>
      </c>
      <c r="H470">
        <v>0.013</v>
      </c>
      <c r="I470">
        <v>0.1249611879522048</v>
      </c>
      <c r="J470" t="s">
        <v>526</v>
      </c>
      <c r="K470" t="s">
        <v>777</v>
      </c>
      <c r="L470">
        <v>1.92</v>
      </c>
      <c r="M470">
        <v>1</v>
      </c>
      <c r="N470">
        <v>0.5208333333333334</v>
      </c>
      <c r="O470">
        <v>0</v>
      </c>
      <c r="P470">
        <v>0</v>
      </c>
      <c r="Q470">
        <v>0.373497069017158</v>
      </c>
      <c r="R470" t="s">
        <v>780</v>
      </c>
      <c r="S470" t="s">
        <v>784</v>
      </c>
      <c r="T470">
        <v>13146.801091</v>
      </c>
      <c r="U470" s="2">
        <v>44508</v>
      </c>
      <c r="V470" t="s">
        <v>802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44.56</v>
      </c>
      <c r="D471">
        <v>90</v>
      </c>
      <c r="E471">
        <v>0.4951111111111111</v>
      </c>
      <c r="F471">
        <v>0.07585278276481149</v>
      </c>
      <c r="G471">
        <v>0.1509579722354017</v>
      </c>
      <c r="H471">
        <v>-0.06</v>
      </c>
      <c r="I471">
        <v>0.1245555749508782</v>
      </c>
      <c r="J471" t="s">
        <v>526</v>
      </c>
      <c r="K471" t="s">
        <v>777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0.5785856496078331</v>
      </c>
      <c r="R471" t="s">
        <v>780</v>
      </c>
      <c r="S471" t="s">
        <v>793</v>
      </c>
      <c r="T471">
        <v>9401.66984</v>
      </c>
      <c r="U471" s="2">
        <v>44522</v>
      </c>
      <c r="V471" t="s">
        <v>803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13.29</v>
      </c>
      <c r="D472">
        <v>16.3</v>
      </c>
      <c r="E472">
        <v>0.8153374233128834</v>
      </c>
      <c r="F472">
        <v>0.04514672686230248</v>
      </c>
      <c r="G472">
        <v>0.04167567972363573</v>
      </c>
      <c r="H472">
        <v>0.042</v>
      </c>
      <c r="I472">
        <v>0.1242976473849062</v>
      </c>
      <c r="J472" t="s">
        <v>526</v>
      </c>
      <c r="K472" t="s">
        <v>345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0.197340444700709</v>
      </c>
      <c r="R472" t="s">
        <v>782</v>
      </c>
      <c r="S472" t="s">
        <v>794</v>
      </c>
      <c r="T472">
        <v>3137.383178</v>
      </c>
      <c r="U472" s="2">
        <v>44509</v>
      </c>
      <c r="V472" t="s">
        <v>805</v>
      </c>
    </row>
    <row r="473" spans="1:22">
      <c r="A473" s="1" t="s">
        <v>493</v>
      </c>
      <c r="B473">
        <f>HYPERLINK("https://www.suredividend.com/sure-analysis-ARLP/","Alliance Resource Partners, LP")</f>
        <v>0</v>
      </c>
      <c r="C473">
        <v>11.86</v>
      </c>
      <c r="D473">
        <v>11.02</v>
      </c>
      <c r="E473">
        <v>1.076225045372051</v>
      </c>
      <c r="F473">
        <v>0.06745362563237775</v>
      </c>
      <c r="G473">
        <v>-0.01458451835426122</v>
      </c>
      <c r="H473">
        <v>0.08</v>
      </c>
      <c r="I473">
        <v>0.1239554832511938</v>
      </c>
      <c r="J473" t="s">
        <v>526</v>
      </c>
      <c r="K473" t="s">
        <v>777</v>
      </c>
      <c r="L473">
        <v>1.5</v>
      </c>
      <c r="M473">
        <v>0.8</v>
      </c>
      <c r="N473">
        <v>0.5333333333333333</v>
      </c>
      <c r="O473">
        <v>1</v>
      </c>
      <c r="P473">
        <v>0.08083252207959757</v>
      </c>
      <c r="Q473">
        <v>1.685080371292732</v>
      </c>
      <c r="R473" t="s">
        <v>781</v>
      </c>
      <c r="S473" t="s">
        <v>793</v>
      </c>
      <c r="T473">
        <v>1508.535297</v>
      </c>
      <c r="U473" s="2">
        <v>44497</v>
      </c>
      <c r="V473" t="s">
        <v>795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13.16</v>
      </c>
      <c r="D474">
        <v>17</v>
      </c>
      <c r="E474">
        <v>0.7741176470588236</v>
      </c>
      <c r="F474">
        <v>0.04559270516717325</v>
      </c>
      <c r="G474">
        <v>0.05253999266272058</v>
      </c>
      <c r="H474">
        <v>0.035</v>
      </c>
      <c r="I474">
        <v>0.1236278443644783</v>
      </c>
      <c r="J474" t="s">
        <v>526</v>
      </c>
      <c r="K474" t="s">
        <v>777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-0.103542234332425</v>
      </c>
      <c r="R474" t="s">
        <v>780</v>
      </c>
      <c r="S474" t="s">
        <v>785</v>
      </c>
      <c r="T474">
        <v>51714.803676</v>
      </c>
      <c r="U474" s="2">
        <v>44519</v>
      </c>
      <c r="V474" t="s">
        <v>797</v>
      </c>
    </row>
    <row r="475" spans="1:22">
      <c r="A475" s="1" t="s">
        <v>495</v>
      </c>
      <c r="B475">
        <f>HYPERLINK("https://www.suredividend.com/sure-analysis-SMFG/","Sumitomo Mitsui Financial Group Inc")</f>
        <v>0</v>
      </c>
      <c r="C475">
        <v>6.81</v>
      </c>
      <c r="D475">
        <v>9.35</v>
      </c>
      <c r="E475">
        <v>0.7283422459893049</v>
      </c>
      <c r="F475">
        <v>0.04992657856093979</v>
      </c>
      <c r="G475">
        <v>0.06544957328527556</v>
      </c>
      <c r="H475">
        <v>0.02</v>
      </c>
      <c r="I475">
        <v>0.1215105509219736</v>
      </c>
      <c r="J475" t="s">
        <v>526</v>
      </c>
      <c r="K475" t="s">
        <v>777</v>
      </c>
      <c r="L475">
        <v>0.85</v>
      </c>
      <c r="M475">
        <v>0.34</v>
      </c>
      <c r="N475">
        <v>0.4</v>
      </c>
      <c r="O475">
        <v>0</v>
      </c>
      <c r="P475">
        <v>0.01149727415513624</v>
      </c>
      <c r="Q475">
        <v>0.160769073430149</v>
      </c>
      <c r="R475" t="s">
        <v>780</v>
      </c>
      <c r="S475" t="s">
        <v>789</v>
      </c>
      <c r="T475">
        <v>46797.029573</v>
      </c>
      <c r="U475" s="2">
        <v>44528</v>
      </c>
      <c r="V475" t="s">
        <v>801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57.64</v>
      </c>
      <c r="D476">
        <v>78</v>
      </c>
      <c r="E476">
        <v>0.738974358974359</v>
      </c>
      <c r="F476">
        <v>0.02428868841082581</v>
      </c>
      <c r="G476">
        <v>0.06236590958817123</v>
      </c>
      <c r="H476">
        <v>0.04</v>
      </c>
      <c r="I476">
        <v>0.1206993685344973</v>
      </c>
      <c r="J476" t="s">
        <v>526</v>
      </c>
      <c r="K476" t="s">
        <v>526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0.214371040495187</v>
      </c>
      <c r="R476" t="s">
        <v>780</v>
      </c>
      <c r="S476" t="s">
        <v>785</v>
      </c>
      <c r="T476">
        <v>178582.107351</v>
      </c>
      <c r="U476" s="2">
        <v>44514</v>
      </c>
      <c r="V476" t="s">
        <v>796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99.34</v>
      </c>
      <c r="D477">
        <v>98</v>
      </c>
      <c r="E477">
        <v>1.013673469387755</v>
      </c>
      <c r="F477">
        <v>0.02818602778337024</v>
      </c>
      <c r="G477">
        <v>-0.002712480759821556</v>
      </c>
      <c r="H477">
        <v>0.1</v>
      </c>
      <c r="I477">
        <v>0.1206241458102537</v>
      </c>
      <c r="J477" t="s">
        <v>526</v>
      </c>
      <c r="K477" t="s">
        <v>526</v>
      </c>
      <c r="L477">
        <v>7.51</v>
      </c>
      <c r="M477">
        <v>2.8</v>
      </c>
      <c r="N477">
        <v>0.3728362183754993</v>
      </c>
      <c r="O477">
        <v>8</v>
      </c>
      <c r="P477">
        <v>0.07978367728709435</v>
      </c>
      <c r="Q477">
        <v>0.491128132847598</v>
      </c>
      <c r="R477" t="s">
        <v>780</v>
      </c>
      <c r="S477" t="s">
        <v>789</v>
      </c>
      <c r="T477">
        <v>178256.88351</v>
      </c>
      <c r="U477" s="2">
        <v>44483</v>
      </c>
      <c r="V477" t="s">
        <v>795</v>
      </c>
    </row>
    <row r="478" spans="1:22">
      <c r="A478" s="1" t="s">
        <v>498</v>
      </c>
      <c r="B478">
        <f>HYPERLINK("https://www.suredividend.com/sure-analysis-NYCB/","New York Community Bancorp Inc.")</f>
        <v>0</v>
      </c>
      <c r="C478">
        <v>12.05</v>
      </c>
      <c r="D478">
        <v>14</v>
      </c>
      <c r="E478">
        <v>0.8607142857142858</v>
      </c>
      <c r="F478">
        <v>0.05643153526970954</v>
      </c>
      <c r="G478">
        <v>0.0304530232420388</v>
      </c>
      <c r="H478">
        <v>0.05</v>
      </c>
      <c r="I478">
        <v>0.1203344317867088</v>
      </c>
      <c r="J478" t="s">
        <v>526</v>
      </c>
      <c r="K478" t="s">
        <v>345</v>
      </c>
      <c r="L478">
        <v>1.25</v>
      </c>
      <c r="M478">
        <v>0.68</v>
      </c>
      <c r="N478">
        <v>0.544</v>
      </c>
      <c r="O478">
        <v>0</v>
      </c>
      <c r="P478">
        <v>0</v>
      </c>
      <c r="Q478">
        <v>0.230458179738795</v>
      </c>
      <c r="R478" t="s">
        <v>780</v>
      </c>
      <c r="S478" t="s">
        <v>789</v>
      </c>
      <c r="T478">
        <v>5603.500628</v>
      </c>
      <c r="U478" s="2">
        <v>44512</v>
      </c>
      <c r="V478" t="s">
        <v>801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97.92</v>
      </c>
      <c r="D479">
        <v>102</v>
      </c>
      <c r="E479">
        <v>0.96</v>
      </c>
      <c r="F479">
        <v>0.02777777777777778</v>
      </c>
      <c r="G479">
        <v>0.008197818497166498</v>
      </c>
      <c r="H479">
        <v>0.09</v>
      </c>
      <c r="I479">
        <v>0.1201922560301858</v>
      </c>
      <c r="J479" t="s">
        <v>526</v>
      </c>
      <c r="K479" t="s">
        <v>526</v>
      </c>
      <c r="L479">
        <v>4.85</v>
      </c>
      <c r="M479">
        <v>2.72</v>
      </c>
      <c r="N479">
        <v>0.5608247422680414</v>
      </c>
      <c r="O479">
        <v>0</v>
      </c>
      <c r="P479">
        <v>0.04991010133745877</v>
      </c>
      <c r="Q479">
        <v>0.085736841871831</v>
      </c>
      <c r="R479" t="s">
        <v>780</v>
      </c>
      <c r="S479" t="s">
        <v>788</v>
      </c>
      <c r="T479">
        <v>13507.761036</v>
      </c>
      <c r="U479" s="2">
        <v>44512</v>
      </c>
      <c r="V479" t="s">
        <v>801</v>
      </c>
    </row>
    <row r="480" spans="1:22">
      <c r="A480" s="1" t="s">
        <v>500</v>
      </c>
      <c r="B480">
        <f>HYPERLINK("https://www.suredividend.com/sure-analysis-OPI/","Office Properties Income Trust")</f>
        <v>0</v>
      </c>
      <c r="C480">
        <v>24.75</v>
      </c>
      <c r="D480">
        <v>28</v>
      </c>
      <c r="E480">
        <v>0.8839285714285714</v>
      </c>
      <c r="F480">
        <v>0.08888888888888889</v>
      </c>
      <c r="G480">
        <v>0.0249827715775639</v>
      </c>
      <c r="H480">
        <v>0.03</v>
      </c>
      <c r="I480">
        <v>0.1191859574049547</v>
      </c>
      <c r="J480" t="s">
        <v>526</v>
      </c>
      <c r="K480" t="s">
        <v>777</v>
      </c>
      <c r="L480">
        <v>4.7</v>
      </c>
      <c r="M480">
        <v>2.2</v>
      </c>
      <c r="N480">
        <v>0.4680851063829787</v>
      </c>
      <c r="O480">
        <v>0</v>
      </c>
      <c r="P480">
        <v>0</v>
      </c>
      <c r="Q480">
        <v>0.186885277347515</v>
      </c>
      <c r="R480" t="s">
        <v>782</v>
      </c>
      <c r="S480" t="s">
        <v>794</v>
      </c>
      <c r="T480">
        <v>1198.535209</v>
      </c>
      <c r="U480" s="2">
        <v>44510</v>
      </c>
      <c r="V480" t="s">
        <v>803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18.72</v>
      </c>
      <c r="D481">
        <v>19.95</v>
      </c>
      <c r="E481">
        <v>0.9383458646616541</v>
      </c>
      <c r="F481">
        <v>0.04807692307692308</v>
      </c>
      <c r="G481">
        <v>0.01280867168086797</v>
      </c>
      <c r="H481">
        <v>0.065</v>
      </c>
      <c r="I481">
        <v>0.1191420642586258</v>
      </c>
      <c r="J481" t="s">
        <v>526</v>
      </c>
      <c r="K481" t="s">
        <v>777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0.122524240407274</v>
      </c>
      <c r="R481" t="s">
        <v>780</v>
      </c>
      <c r="S481" t="s">
        <v>789</v>
      </c>
      <c r="T481">
        <v>36366.173214</v>
      </c>
      <c r="U481" s="2">
        <v>44511</v>
      </c>
      <c r="V481" t="s">
        <v>795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20.68</v>
      </c>
      <c r="D482">
        <v>25</v>
      </c>
      <c r="E482">
        <v>0.8271999999999999</v>
      </c>
      <c r="F482">
        <v>0.02514506769825919</v>
      </c>
      <c r="G482">
        <v>0.03867073378709973</v>
      </c>
      <c r="H482">
        <v>0.06</v>
      </c>
      <c r="I482">
        <v>0.1175952146471051</v>
      </c>
      <c r="J482" t="s">
        <v>526</v>
      </c>
      <c r="K482" t="s">
        <v>526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0.300162834707054</v>
      </c>
      <c r="R482" t="s">
        <v>780</v>
      </c>
      <c r="S482" t="s">
        <v>793</v>
      </c>
      <c r="T482">
        <v>12206.750822</v>
      </c>
      <c r="U482" s="2">
        <v>44522</v>
      </c>
      <c r="V482" t="s">
        <v>801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55.14</v>
      </c>
      <c r="D483">
        <v>117</v>
      </c>
      <c r="E483">
        <v>0.4712820512820513</v>
      </c>
      <c r="F483">
        <v>0.05077983315197678</v>
      </c>
      <c r="G483">
        <v>0.162368467498982</v>
      </c>
      <c r="H483">
        <v>-0.07000000000000001</v>
      </c>
      <c r="I483">
        <v>0.1158665551688405</v>
      </c>
      <c r="J483" t="s">
        <v>526</v>
      </c>
      <c r="K483" t="s">
        <v>777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0.052589381331714</v>
      </c>
      <c r="R483" t="s">
        <v>780</v>
      </c>
      <c r="S483" t="s">
        <v>790</v>
      </c>
      <c r="T483">
        <v>40782.338678</v>
      </c>
      <c r="U483" s="2">
        <v>44498</v>
      </c>
      <c r="V483" t="s">
        <v>801</v>
      </c>
    </row>
    <row r="484" spans="1:22">
      <c r="A484" s="1" t="s">
        <v>504</v>
      </c>
      <c r="B484">
        <f>HYPERLINK("https://www.suredividend.com/sure-analysis-TAP/","Molson Coors Beverage Company")</f>
        <v>0</v>
      </c>
      <c r="C484">
        <v>45.59</v>
      </c>
      <c r="D484">
        <v>58</v>
      </c>
      <c r="E484">
        <v>0.7860344827586208</v>
      </c>
      <c r="F484">
        <v>0.02983110331212985</v>
      </c>
      <c r="G484">
        <v>0.04932901153400682</v>
      </c>
      <c r="H484">
        <v>0.04</v>
      </c>
      <c r="I484">
        <v>0.1139927965214464</v>
      </c>
      <c r="J484" t="s">
        <v>526</v>
      </c>
      <c r="K484" t="s">
        <v>526</v>
      </c>
      <c r="L484">
        <v>4.15</v>
      </c>
      <c r="M484">
        <v>1.36</v>
      </c>
      <c r="N484">
        <v>0.327710843373494</v>
      </c>
      <c r="O484">
        <v>0</v>
      </c>
      <c r="P484">
        <v>0.03941506521508265</v>
      </c>
      <c r="Q484">
        <v>0.019579778371669</v>
      </c>
      <c r="R484" t="s">
        <v>780</v>
      </c>
      <c r="S484" t="s">
        <v>791</v>
      </c>
      <c r="T484">
        <v>9290.751182</v>
      </c>
      <c r="U484" s="2">
        <v>44500</v>
      </c>
      <c r="V484" t="s">
        <v>799</v>
      </c>
    </row>
    <row r="485" spans="1:22">
      <c r="A485" s="1" t="s">
        <v>505</v>
      </c>
      <c r="B485">
        <f>HYPERLINK("https://www.suredividend.com/sure-analysis-TGP/","Teekay LNG Partners LP")</f>
        <v>0</v>
      </c>
      <c r="C485">
        <v>16.93</v>
      </c>
      <c r="D485">
        <v>18.5</v>
      </c>
      <c r="E485">
        <v>0.9151351351351351</v>
      </c>
      <c r="F485">
        <v>0.06792675723567632</v>
      </c>
      <c r="G485">
        <v>0.01789493668452247</v>
      </c>
      <c r="H485">
        <v>0.04</v>
      </c>
      <c r="I485">
        <v>0.1135597373971995</v>
      </c>
      <c r="J485" t="s">
        <v>526</v>
      </c>
      <c r="K485" t="s">
        <v>777</v>
      </c>
      <c r="L485">
        <v>3.7</v>
      </c>
      <c r="M485">
        <v>1.15</v>
      </c>
      <c r="N485">
        <v>0.3108108108108107</v>
      </c>
      <c r="O485">
        <v>3</v>
      </c>
      <c r="P485">
        <v>0.04012620718096094</v>
      </c>
      <c r="Q485">
        <v>0.636571030856082</v>
      </c>
      <c r="R485" t="s">
        <v>781</v>
      </c>
      <c r="S485" t="s">
        <v>793</v>
      </c>
      <c r="T485">
        <v>1472.084392</v>
      </c>
      <c r="U485" s="2">
        <v>44515</v>
      </c>
      <c r="V485" t="s">
        <v>795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29.87</v>
      </c>
      <c r="D486">
        <v>39</v>
      </c>
      <c r="E486">
        <v>0.765897435897436</v>
      </c>
      <c r="F486">
        <v>0.03682624707063944</v>
      </c>
      <c r="G486">
        <v>0.05478969178882731</v>
      </c>
      <c r="H486">
        <v>0.03</v>
      </c>
      <c r="I486">
        <v>0.1116666329941951</v>
      </c>
      <c r="J486" t="s">
        <v>526</v>
      </c>
      <c r="K486" t="s">
        <v>345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0.190903364192362</v>
      </c>
      <c r="R486" t="s">
        <v>780</v>
      </c>
      <c r="S486" t="s">
        <v>789</v>
      </c>
      <c r="T486">
        <v>121445.327207</v>
      </c>
      <c r="U486" s="2">
        <v>44495</v>
      </c>
      <c r="V486" t="s">
        <v>798</v>
      </c>
    </row>
    <row r="487" spans="1:22">
      <c r="A487" s="1" t="s">
        <v>507</v>
      </c>
      <c r="B487">
        <f>HYPERLINK("https://www.suredividend.com/sure-analysis-MED/","Medifast Inc")</f>
        <v>0</v>
      </c>
      <c r="C487">
        <v>204.2</v>
      </c>
      <c r="D487">
        <v>208</v>
      </c>
      <c r="E487">
        <v>0.9817307692307692</v>
      </c>
      <c r="F487">
        <v>0.02781586679725759</v>
      </c>
      <c r="G487">
        <v>0.003694442484858174</v>
      </c>
      <c r="H487">
        <v>0.08</v>
      </c>
      <c r="I487">
        <v>0.1097948572038729</v>
      </c>
      <c r="J487" t="s">
        <v>526</v>
      </c>
      <c r="K487" t="s">
        <v>526</v>
      </c>
      <c r="L487">
        <v>13.9</v>
      </c>
      <c r="M487">
        <v>5.68</v>
      </c>
      <c r="N487">
        <v>0.4086330935251798</v>
      </c>
      <c r="O487">
        <v>6</v>
      </c>
      <c r="P487">
        <v>0.1000553858515176</v>
      </c>
      <c r="Q487">
        <v>0.028173049278289</v>
      </c>
      <c r="R487" t="s">
        <v>780</v>
      </c>
      <c r="S487" t="s">
        <v>788</v>
      </c>
      <c r="T487">
        <v>2372.034779</v>
      </c>
      <c r="U487" s="2">
        <v>44518</v>
      </c>
      <c r="V487" t="s">
        <v>806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26.97</v>
      </c>
      <c r="D488">
        <v>42</v>
      </c>
      <c r="E488">
        <v>0.6421428571428571</v>
      </c>
      <c r="F488">
        <v>0.0485724879495736</v>
      </c>
      <c r="G488">
        <v>0.09263137909971531</v>
      </c>
      <c r="H488">
        <v>-0.02</v>
      </c>
      <c r="I488">
        <v>0.1084627165316847</v>
      </c>
      <c r="J488" t="s">
        <v>526</v>
      </c>
      <c r="K488" t="s">
        <v>777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0.336246618508279</v>
      </c>
      <c r="R488" t="s">
        <v>780</v>
      </c>
      <c r="S488" t="s">
        <v>793</v>
      </c>
      <c r="T488">
        <v>88800.69513199999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HYPERLINK("https://www.suredividend.com/sure-analysis-PGRE/","Paramount Group Inc")</f>
        <v>0</v>
      </c>
      <c r="C489">
        <v>8.49</v>
      </c>
      <c r="D489">
        <v>11</v>
      </c>
      <c r="E489">
        <v>0.7718181818181818</v>
      </c>
      <c r="F489">
        <v>0.03297997644287397</v>
      </c>
      <c r="G489">
        <v>0.0531664096221629</v>
      </c>
      <c r="H489">
        <v>0.03</v>
      </c>
      <c r="I489">
        <v>0.1080648776209392</v>
      </c>
      <c r="J489" t="s">
        <v>526</v>
      </c>
      <c r="K489" t="s">
        <v>345</v>
      </c>
      <c r="L489">
        <v>0.91</v>
      </c>
      <c r="M489">
        <v>0.28</v>
      </c>
      <c r="N489">
        <v>0.3076923076923077</v>
      </c>
      <c r="O489">
        <v>0</v>
      </c>
      <c r="P489">
        <v>0.007042949693310208</v>
      </c>
      <c r="Q489">
        <v>-0.021979541056123</v>
      </c>
      <c r="R489" t="s">
        <v>782</v>
      </c>
      <c r="S489" t="s">
        <v>794</v>
      </c>
      <c r="T489">
        <v>1858.939887</v>
      </c>
      <c r="U489" s="2">
        <v>44498</v>
      </c>
      <c r="V489" t="s">
        <v>802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34.5</v>
      </c>
      <c r="D490">
        <v>41</v>
      </c>
      <c r="E490">
        <v>0.8414634146341463</v>
      </c>
      <c r="F490">
        <v>0.03826086956521739</v>
      </c>
      <c r="G490">
        <v>0.03512536867191596</v>
      </c>
      <c r="H490">
        <v>0.04</v>
      </c>
      <c r="I490">
        <v>0.1076744846387157</v>
      </c>
      <c r="J490" t="s">
        <v>526</v>
      </c>
      <c r="K490" t="s">
        <v>345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0.2136007710762</v>
      </c>
      <c r="R490" t="s">
        <v>780</v>
      </c>
      <c r="S490" t="s">
        <v>789</v>
      </c>
      <c r="T490">
        <v>2181.451767</v>
      </c>
      <c r="U490" s="2">
        <v>44498</v>
      </c>
      <c r="V490" t="s">
        <v>802</v>
      </c>
    </row>
    <row r="491" spans="1:22">
      <c r="A491" s="1" t="s">
        <v>511</v>
      </c>
      <c r="B491">
        <f>HYPERLINK("https://www.suredividend.com/sure-analysis-RF/","Regions Financial Corp.")</f>
        <v>0</v>
      </c>
      <c r="C491">
        <v>21.52</v>
      </c>
      <c r="D491">
        <v>26</v>
      </c>
      <c r="E491">
        <v>0.8276923076923077</v>
      </c>
      <c r="F491">
        <v>0.03159851301115242</v>
      </c>
      <c r="G491">
        <v>0.03854714503578927</v>
      </c>
      <c r="H491">
        <v>0.04</v>
      </c>
      <c r="I491">
        <v>0.1058167286932779</v>
      </c>
      <c r="J491" t="s">
        <v>526</v>
      </c>
      <c r="K491" t="s">
        <v>345</v>
      </c>
      <c r="L491">
        <v>2.4</v>
      </c>
      <c r="M491">
        <v>0.68</v>
      </c>
      <c r="N491">
        <v>0.2833333333333334</v>
      </c>
      <c r="O491">
        <v>0</v>
      </c>
      <c r="P491">
        <v>0.0505145404837426</v>
      </c>
      <c r="Q491">
        <v>0.391574250703223</v>
      </c>
      <c r="R491" t="s">
        <v>780</v>
      </c>
      <c r="S491" t="s">
        <v>789</v>
      </c>
      <c r="T491">
        <v>20514.642047</v>
      </c>
      <c r="U491" s="2">
        <v>44491</v>
      </c>
      <c r="V491" t="s">
        <v>797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32.94</v>
      </c>
      <c r="D492">
        <v>39</v>
      </c>
      <c r="E492">
        <v>0.8446153846153845</v>
      </c>
      <c r="F492">
        <v>0.04128718882817244</v>
      </c>
      <c r="G492">
        <v>0.03435162824309979</v>
      </c>
      <c r="H492">
        <v>0.04</v>
      </c>
      <c r="I492">
        <v>0.1057774036478498</v>
      </c>
      <c r="J492" t="s">
        <v>526</v>
      </c>
      <c r="K492" t="s">
        <v>345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0.037457441883171</v>
      </c>
      <c r="R492" t="s">
        <v>780</v>
      </c>
      <c r="S492" t="s">
        <v>789</v>
      </c>
      <c r="T492">
        <v>633.057423</v>
      </c>
      <c r="U492" s="2">
        <v>44493</v>
      </c>
      <c r="V492" t="s">
        <v>802</v>
      </c>
    </row>
    <row r="493" spans="1:22">
      <c r="A493" s="1" t="s">
        <v>513</v>
      </c>
      <c r="B493">
        <f>HYPERLINK("https://www.suredividend.com/sure-analysis-ITUB/","Itau Unibanco Holding S.A.")</f>
        <v>0</v>
      </c>
      <c r="C493">
        <v>3.74</v>
      </c>
      <c r="D493">
        <v>4.9</v>
      </c>
      <c r="E493">
        <v>0.7632653061224489</v>
      </c>
      <c r="F493">
        <v>0.0481283422459893</v>
      </c>
      <c r="G493">
        <v>0.05551618139478776</v>
      </c>
      <c r="H493">
        <v>0.015</v>
      </c>
      <c r="I493">
        <v>0.1056177019789648</v>
      </c>
      <c r="J493" t="s">
        <v>526</v>
      </c>
      <c r="K493" t="s">
        <v>777</v>
      </c>
      <c r="L493">
        <v>0.49</v>
      </c>
      <c r="M493">
        <v>0.18</v>
      </c>
      <c r="N493">
        <v>0.3673469387755102</v>
      </c>
      <c r="O493">
        <v>0</v>
      </c>
      <c r="P493">
        <v>0</v>
      </c>
      <c r="Q493">
        <v>-0.244612308375916</v>
      </c>
      <c r="R493" t="s">
        <v>780</v>
      </c>
      <c r="S493" t="s">
        <v>789</v>
      </c>
      <c r="T493">
        <v>18123.460259</v>
      </c>
      <c r="U493" s="2">
        <v>44529</v>
      </c>
      <c r="V493" t="s">
        <v>798</v>
      </c>
    </row>
    <row r="494" spans="1:22">
      <c r="A494" s="1" t="s">
        <v>514</v>
      </c>
      <c r="B494">
        <f>HYPERLINK("https://www.suredividend.com/sure-analysis-DRI/","Darden Restaurants, Inc.")</f>
        <v>0</v>
      </c>
      <c r="C494">
        <v>148.84</v>
      </c>
      <c r="D494">
        <v>148</v>
      </c>
      <c r="E494">
        <v>1.005675675675676</v>
      </c>
      <c r="F494">
        <v>0.02956194571351787</v>
      </c>
      <c r="G494">
        <v>-0.001131285556337458</v>
      </c>
      <c r="H494">
        <v>0.08</v>
      </c>
      <c r="I494">
        <v>0.1051316868365417</v>
      </c>
      <c r="J494" t="s">
        <v>526</v>
      </c>
      <c r="K494" t="s">
        <v>526</v>
      </c>
      <c r="L494">
        <v>7.42</v>
      </c>
      <c r="M494">
        <v>4.4</v>
      </c>
      <c r="N494">
        <v>0.5929919137466307</v>
      </c>
      <c r="O494">
        <v>1</v>
      </c>
      <c r="P494">
        <v>0.08016554685867416</v>
      </c>
      <c r="Q494">
        <v>0.264938495297699</v>
      </c>
      <c r="R494" t="s">
        <v>780</v>
      </c>
      <c r="S494" t="s">
        <v>788</v>
      </c>
      <c r="T494">
        <v>19317.199847</v>
      </c>
      <c r="U494" s="2">
        <v>44464</v>
      </c>
      <c r="V494" t="s">
        <v>798</v>
      </c>
    </row>
    <row r="495" spans="1:22">
      <c r="A495" s="1" t="s">
        <v>515</v>
      </c>
      <c r="B495">
        <f>HYPERLINK("https://www.suredividend.com/sure-analysis-NTR/","Nutrien Ltd")</f>
        <v>0</v>
      </c>
      <c r="C495">
        <v>74.98999999999999</v>
      </c>
      <c r="D495">
        <v>102</v>
      </c>
      <c r="E495">
        <v>0.7351960784313725</v>
      </c>
      <c r="F495">
        <v>0.02453660488065076</v>
      </c>
      <c r="G495">
        <v>0.0634556027115174</v>
      </c>
      <c r="H495">
        <v>0.02</v>
      </c>
      <c r="I495">
        <v>0.1029112060214958</v>
      </c>
      <c r="J495" t="s">
        <v>526</v>
      </c>
      <c r="K495" t="s">
        <v>526</v>
      </c>
      <c r="L495">
        <v>5.98</v>
      </c>
      <c r="M495">
        <v>1.84</v>
      </c>
      <c r="N495">
        <v>0.3076923076923077</v>
      </c>
      <c r="O495">
        <v>3</v>
      </c>
      <c r="P495">
        <v>0.01984845658885503</v>
      </c>
      <c r="Q495">
        <v>0.6503988995873451</v>
      </c>
      <c r="R495" t="s">
        <v>780</v>
      </c>
      <c r="S495" t="s">
        <v>790</v>
      </c>
      <c r="T495">
        <v>42641.892456</v>
      </c>
      <c r="U495" s="2">
        <v>44522</v>
      </c>
      <c r="V495" t="s">
        <v>798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43.81</v>
      </c>
      <c r="D496">
        <v>56</v>
      </c>
      <c r="E496">
        <v>0.7823214285714286</v>
      </c>
      <c r="F496">
        <v>0.04382561059118922</v>
      </c>
      <c r="G496">
        <v>0.05032319102210958</v>
      </c>
      <c r="H496">
        <v>0.01</v>
      </c>
      <c r="I496">
        <v>0.1013526358349699</v>
      </c>
      <c r="J496" t="s">
        <v>526</v>
      </c>
      <c r="K496" t="s">
        <v>345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0.320015667841754</v>
      </c>
      <c r="R496" t="s">
        <v>780</v>
      </c>
      <c r="S496" t="s">
        <v>793</v>
      </c>
      <c r="T496">
        <v>171083.126724</v>
      </c>
      <c r="U496" s="2">
        <v>44502</v>
      </c>
      <c r="V496" t="s">
        <v>803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21.76</v>
      </c>
      <c r="D497">
        <v>22</v>
      </c>
      <c r="E497">
        <v>0.9890909090909091</v>
      </c>
      <c r="F497">
        <v>0.08685661764705881</v>
      </c>
      <c r="G497">
        <v>0.002196214427784504</v>
      </c>
      <c r="H497">
        <v>0.03</v>
      </c>
      <c r="I497">
        <v>0.09943022401008661</v>
      </c>
      <c r="J497" t="s">
        <v>526</v>
      </c>
      <c r="K497" t="s">
        <v>777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0.136624809343724</v>
      </c>
      <c r="R497" t="s">
        <v>780</v>
      </c>
      <c r="S497" t="s">
        <v>791</v>
      </c>
      <c r="T497">
        <v>20593.840278</v>
      </c>
      <c r="U497" s="2">
        <v>44516</v>
      </c>
      <c r="V497" t="s">
        <v>796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78.54000000000001</v>
      </c>
      <c r="D498">
        <v>77</v>
      </c>
      <c r="E498">
        <v>1.02</v>
      </c>
      <c r="F498">
        <v>0.01527883880825057</v>
      </c>
      <c r="G498">
        <v>-0.003952692922012169</v>
      </c>
      <c r="H498">
        <v>0.09</v>
      </c>
      <c r="I498">
        <v>0.09854640684819138</v>
      </c>
      <c r="J498" t="s">
        <v>526</v>
      </c>
      <c r="K498" t="s">
        <v>778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0.153451321975054</v>
      </c>
      <c r="R498" t="s">
        <v>780</v>
      </c>
      <c r="S498" t="s">
        <v>790</v>
      </c>
      <c r="T498">
        <v>41080.87259</v>
      </c>
      <c r="U498" s="2">
        <v>44520</v>
      </c>
      <c r="V498" t="s">
        <v>801</v>
      </c>
    </row>
    <row r="499" spans="1:22">
      <c r="A499" s="1" t="s">
        <v>519</v>
      </c>
      <c r="B499">
        <f>HYPERLINK("https://www.suredividend.com/sure-analysis-BDN/","Brandywine Realty Trust")</f>
        <v>0</v>
      </c>
      <c r="C499">
        <v>13.52</v>
      </c>
      <c r="D499">
        <v>15</v>
      </c>
      <c r="E499">
        <v>0.9013333333333333</v>
      </c>
      <c r="F499">
        <v>0.05621301775147929</v>
      </c>
      <c r="G499">
        <v>0.02099335016181936</v>
      </c>
      <c r="H499">
        <v>0.03</v>
      </c>
      <c r="I499">
        <v>0.09764568767277604</v>
      </c>
      <c r="J499" t="s">
        <v>526</v>
      </c>
      <c r="K499" t="s">
        <v>345</v>
      </c>
      <c r="L499">
        <v>1.37</v>
      </c>
      <c r="M499">
        <v>0.76</v>
      </c>
      <c r="N499">
        <v>0.5547445255474452</v>
      </c>
      <c r="O499">
        <v>0</v>
      </c>
      <c r="P499">
        <v>0.02975477857041309</v>
      </c>
      <c r="Q499">
        <v>0.203671554356632</v>
      </c>
      <c r="R499" t="s">
        <v>782</v>
      </c>
      <c r="S499" t="s">
        <v>794</v>
      </c>
      <c r="T499">
        <v>2313.626995</v>
      </c>
      <c r="U499" s="2">
        <v>44537</v>
      </c>
      <c r="V499" t="s">
        <v>803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25.85</v>
      </c>
      <c r="D500">
        <v>25</v>
      </c>
      <c r="E500">
        <v>1.034</v>
      </c>
      <c r="F500">
        <v>0.06344294003868471</v>
      </c>
      <c r="G500">
        <v>-0.006664647283955216</v>
      </c>
      <c r="H500">
        <v>0.05</v>
      </c>
      <c r="I500">
        <v>0.09748794725850063</v>
      </c>
      <c r="J500" t="s">
        <v>526</v>
      </c>
      <c r="K500" t="s">
        <v>777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0.327158750776529</v>
      </c>
      <c r="R500" t="s">
        <v>780</v>
      </c>
      <c r="S500" t="s">
        <v>793</v>
      </c>
      <c r="T500">
        <v>31408.520304</v>
      </c>
      <c r="U500" s="2">
        <v>44504</v>
      </c>
      <c r="V500" t="s">
        <v>803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15.64</v>
      </c>
      <c r="D501">
        <v>20.3</v>
      </c>
      <c r="E501">
        <v>0.7704433497536946</v>
      </c>
      <c r="F501">
        <v>0.06905370843989771</v>
      </c>
      <c r="G501">
        <v>0.05354201012353377</v>
      </c>
      <c r="H501">
        <v>-0.012</v>
      </c>
      <c r="I501">
        <v>0.09587058280025329</v>
      </c>
      <c r="J501" t="s">
        <v>526</v>
      </c>
      <c r="K501" t="s">
        <v>777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0.206240985970892</v>
      </c>
      <c r="R501" t="s">
        <v>780</v>
      </c>
      <c r="S501" t="s">
        <v>793</v>
      </c>
      <c r="T501">
        <v>35448.385265</v>
      </c>
      <c r="U501" s="2">
        <v>44491</v>
      </c>
      <c r="V501" t="s">
        <v>805</v>
      </c>
    </row>
    <row r="502" spans="1:22">
      <c r="A502" s="1" t="s">
        <v>522</v>
      </c>
      <c r="B502">
        <f>HYPERLINK("https://www.suredividend.com/sure-analysis-WEN/","Wendy`s Co")</f>
        <v>0</v>
      </c>
      <c r="C502">
        <v>23.33</v>
      </c>
      <c r="D502">
        <v>24</v>
      </c>
      <c r="E502">
        <v>0.9720833333333333</v>
      </c>
      <c r="F502">
        <v>0.02057436776682383</v>
      </c>
      <c r="G502">
        <v>0.005678812532458499</v>
      </c>
      <c r="H502">
        <v>0.07000000000000001</v>
      </c>
      <c r="I502">
        <v>0.09427726573139439</v>
      </c>
      <c r="J502" t="s">
        <v>526</v>
      </c>
      <c r="K502" t="s">
        <v>778</v>
      </c>
      <c r="L502">
        <v>0.8</v>
      </c>
      <c r="M502">
        <v>0.48</v>
      </c>
      <c r="N502">
        <v>0.6</v>
      </c>
      <c r="O502">
        <v>1</v>
      </c>
      <c r="P502">
        <v>0.06897294358221773</v>
      </c>
      <c r="Q502">
        <v>0.07044373173294401</v>
      </c>
      <c r="R502" t="s">
        <v>780</v>
      </c>
      <c r="S502" t="s">
        <v>788</v>
      </c>
      <c r="T502">
        <v>5147.401299</v>
      </c>
      <c r="U502" s="2">
        <v>44513</v>
      </c>
      <c r="V502" t="s">
        <v>802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26.38</v>
      </c>
      <c r="D503">
        <v>23</v>
      </c>
      <c r="E503">
        <v>1.14695652173913</v>
      </c>
      <c r="F503">
        <v>0.04548900682335102</v>
      </c>
      <c r="G503">
        <v>-0.02704980608523866</v>
      </c>
      <c r="H503">
        <v>0.08</v>
      </c>
      <c r="I503">
        <v>0.09426364684395105</v>
      </c>
      <c r="J503" t="s">
        <v>526</v>
      </c>
      <c r="K503" t="s">
        <v>777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-0.188492466330743</v>
      </c>
      <c r="R503" t="s">
        <v>780</v>
      </c>
      <c r="S503" t="s">
        <v>785</v>
      </c>
      <c r="T503">
        <v>536.808704</v>
      </c>
      <c r="U503" s="2">
        <v>44499</v>
      </c>
      <c r="V503" t="s">
        <v>798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53.15</v>
      </c>
      <c r="D504">
        <v>50</v>
      </c>
      <c r="E504">
        <v>1.063</v>
      </c>
      <c r="F504">
        <v>0.02634054562558796</v>
      </c>
      <c r="G504">
        <v>-0.01214467078108605</v>
      </c>
      <c r="H504">
        <v>0.08500000000000001</v>
      </c>
      <c r="I504">
        <v>0.09339544933113331</v>
      </c>
      <c r="J504" t="s">
        <v>526</v>
      </c>
      <c r="K504" t="s">
        <v>526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-0.167517683396715</v>
      </c>
      <c r="R504" t="s">
        <v>782</v>
      </c>
      <c r="S504" t="s">
        <v>794</v>
      </c>
      <c r="T504">
        <v>4178.503914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HYPERLINK("https://www.suredividend.com/sure-analysis-SAFE/","Safehold Inc")</f>
        <v>0</v>
      </c>
      <c r="C505">
        <v>76.08</v>
      </c>
      <c r="D505">
        <v>65</v>
      </c>
      <c r="E505">
        <v>1.170461538461538</v>
      </c>
      <c r="F505">
        <v>0.00893796004206099</v>
      </c>
      <c r="G505">
        <v>-0.03098930467801964</v>
      </c>
      <c r="H505">
        <v>0.12</v>
      </c>
      <c r="I505">
        <v>0.09283284159513494</v>
      </c>
      <c r="J505" t="s">
        <v>526</v>
      </c>
      <c r="K505" t="s">
        <v>778</v>
      </c>
      <c r="L505">
        <v>1.48</v>
      </c>
      <c r="M505">
        <v>0.68</v>
      </c>
      <c r="N505">
        <v>0.4594594594594595</v>
      </c>
      <c r="O505">
        <v>3</v>
      </c>
      <c r="P505">
        <v>0.0576615571948691</v>
      </c>
      <c r="Q505">
        <v>0.051135068369372</v>
      </c>
      <c r="R505" t="s">
        <v>782</v>
      </c>
      <c r="S505" t="s">
        <v>794</v>
      </c>
      <c r="T505">
        <v>4303.074986</v>
      </c>
      <c r="U505" s="2">
        <v>44492</v>
      </c>
      <c r="V505" t="s">
        <v>805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77.34</v>
      </c>
      <c r="D506">
        <v>77</v>
      </c>
      <c r="E506">
        <v>1.004415584415584</v>
      </c>
      <c r="F506">
        <v>0.03258339798293251</v>
      </c>
      <c r="G506">
        <v>-0.0008807847462926066</v>
      </c>
      <c r="H506">
        <v>0.065</v>
      </c>
      <c r="I506">
        <v>0.09282636709732128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0.08104028112079301</v>
      </c>
      <c r="R506" t="s">
        <v>780</v>
      </c>
      <c r="S506" t="s">
        <v>792</v>
      </c>
      <c r="T506">
        <v>62528.409638</v>
      </c>
      <c r="U506" s="2">
        <v>44517</v>
      </c>
      <c r="V506" t="s">
        <v>804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155.46</v>
      </c>
      <c r="D507">
        <v>157</v>
      </c>
      <c r="E507">
        <v>0.9901910828025479</v>
      </c>
      <c r="F507">
        <v>0.04245465071401003</v>
      </c>
      <c r="G507">
        <v>0.001973412930603935</v>
      </c>
      <c r="H507">
        <v>0.05</v>
      </c>
      <c r="I507">
        <v>0.08951161227848026</v>
      </c>
      <c r="J507" t="s">
        <v>526</v>
      </c>
      <c r="K507" t="s">
        <v>345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0.9414784009591251</v>
      </c>
      <c r="R507" t="s">
        <v>782</v>
      </c>
      <c r="S507" t="s">
        <v>794</v>
      </c>
      <c r="T507">
        <v>51085.8914</v>
      </c>
      <c r="U507" s="2">
        <v>44502</v>
      </c>
      <c r="V507" t="s">
        <v>795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56.42</v>
      </c>
      <c r="D508">
        <v>58</v>
      </c>
      <c r="E508">
        <v>0.9727586206896552</v>
      </c>
      <c r="F508">
        <v>0.03828429634881248</v>
      </c>
      <c r="G508">
        <v>0.00553914564512592</v>
      </c>
      <c r="H508">
        <v>0.05</v>
      </c>
      <c r="I508">
        <v>0.08860298714974091</v>
      </c>
      <c r="J508" t="s">
        <v>526</v>
      </c>
      <c r="K508" t="s">
        <v>345</v>
      </c>
      <c r="L508">
        <v>4.14</v>
      </c>
      <c r="M508">
        <v>2.16</v>
      </c>
      <c r="N508">
        <v>0.5217391304347827</v>
      </c>
      <c r="O508">
        <v>11</v>
      </c>
      <c r="P508">
        <v>0.04173780361657564</v>
      </c>
      <c r="Q508">
        <v>0.324450454003399</v>
      </c>
      <c r="R508" t="s">
        <v>780</v>
      </c>
      <c r="S508" t="s">
        <v>789</v>
      </c>
      <c r="T508">
        <v>979.646244</v>
      </c>
      <c r="U508" s="2">
        <v>44495</v>
      </c>
      <c r="V508" t="s">
        <v>796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11.66</v>
      </c>
      <c r="D509">
        <v>12</v>
      </c>
      <c r="E509">
        <v>0.9716666666666667</v>
      </c>
      <c r="F509">
        <v>0.04030874785591766</v>
      </c>
      <c r="G509">
        <v>0.005765048069014789</v>
      </c>
      <c r="H509">
        <v>0.05</v>
      </c>
      <c r="I509">
        <v>0.0884524096860615</v>
      </c>
      <c r="J509" t="s">
        <v>526</v>
      </c>
      <c r="K509" t="s">
        <v>345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0.03969754253308101</v>
      </c>
      <c r="R509" t="s">
        <v>780</v>
      </c>
      <c r="S509" t="s">
        <v>790</v>
      </c>
      <c r="T509">
        <v>17876.749351</v>
      </c>
      <c r="U509" s="2">
        <v>44522</v>
      </c>
      <c r="V509" t="s">
        <v>798</v>
      </c>
    </row>
    <row r="510" spans="1:22">
      <c r="A510" s="1" t="s">
        <v>530</v>
      </c>
      <c r="B510">
        <f>HYPERLINK("https://www.suredividend.com/sure-analysis-SUUIF/","Superior Plus Corp.")</f>
        <v>0</v>
      </c>
      <c r="C510">
        <v>10.162</v>
      </c>
      <c r="D510">
        <v>12.6</v>
      </c>
      <c r="E510">
        <v>0.8065079365079366</v>
      </c>
      <c r="F510">
        <v>0.05707537886242865</v>
      </c>
      <c r="G510">
        <v>0.04394656808675679</v>
      </c>
      <c r="H510">
        <v>0</v>
      </c>
      <c r="I510">
        <v>0.0881042372610501</v>
      </c>
      <c r="J510" t="s">
        <v>526</v>
      </c>
      <c r="K510" t="s">
        <v>777</v>
      </c>
      <c r="L510">
        <v>1.75</v>
      </c>
      <c r="M510">
        <v>0.58</v>
      </c>
      <c r="N510">
        <v>0.3314285714285714</v>
      </c>
      <c r="O510">
        <v>0</v>
      </c>
      <c r="P510">
        <v>0</v>
      </c>
      <c r="Q510">
        <v>0.056340956340956</v>
      </c>
      <c r="R510" t="s">
        <v>780</v>
      </c>
      <c r="S510" t="s">
        <v>792</v>
      </c>
      <c r="T510">
        <v>1788.935623</v>
      </c>
      <c r="U510" s="2">
        <v>44516</v>
      </c>
      <c r="V510" t="s">
        <v>795</v>
      </c>
    </row>
    <row r="511" spans="1:22">
      <c r="A511" s="1" t="s">
        <v>531</v>
      </c>
      <c r="B511">
        <f>HYPERLINK("https://www.suredividend.com/sure-analysis-MKTX/","MarketAxess Holdings Inc.")</f>
        <v>0</v>
      </c>
      <c r="C511">
        <v>410.67</v>
      </c>
      <c r="D511">
        <v>300</v>
      </c>
      <c r="E511">
        <v>1.3689</v>
      </c>
      <c r="F511">
        <v>0.00642851924903207</v>
      </c>
      <c r="G511">
        <v>-0.06087012708472095</v>
      </c>
      <c r="H511">
        <v>0.15</v>
      </c>
      <c r="I511">
        <v>0.08722945312328045</v>
      </c>
      <c r="J511" t="s">
        <v>526</v>
      </c>
      <c r="K511" t="s">
        <v>778</v>
      </c>
      <c r="L511">
        <v>7.15</v>
      </c>
      <c r="M511">
        <v>2.64</v>
      </c>
      <c r="N511">
        <v>0.3692307692307693</v>
      </c>
      <c r="O511">
        <v>11</v>
      </c>
      <c r="P511">
        <v>0.1500007374307972</v>
      </c>
      <c r="Q511">
        <v>-0.279197402182996</v>
      </c>
      <c r="R511" t="s">
        <v>780</v>
      </c>
      <c r="S511" t="s">
        <v>789</v>
      </c>
      <c r="T511">
        <v>15616.335774</v>
      </c>
      <c r="U511" s="2">
        <v>44494</v>
      </c>
      <c r="V511" t="s">
        <v>802</v>
      </c>
    </row>
    <row r="512" spans="1:22">
      <c r="A512" s="1" t="s">
        <v>532</v>
      </c>
      <c r="B512">
        <f>HYPERLINK("https://www.suredividend.com/sure-analysis-VALE/","Vale S.A.")</f>
        <v>0</v>
      </c>
      <c r="C512">
        <v>13.91</v>
      </c>
      <c r="D512">
        <v>21</v>
      </c>
      <c r="E512">
        <v>0.6623809523809524</v>
      </c>
      <c r="F512">
        <v>0.1631919482386772</v>
      </c>
      <c r="G512">
        <v>0.08587149562605778</v>
      </c>
      <c r="H512">
        <v>-0.07000000000000001</v>
      </c>
      <c r="I512">
        <v>0.08701008438113123</v>
      </c>
      <c r="J512" t="s">
        <v>526</v>
      </c>
      <c r="K512" t="s">
        <v>777</v>
      </c>
      <c r="L512">
        <v>4.2</v>
      </c>
      <c r="M512">
        <v>2.27</v>
      </c>
      <c r="N512">
        <v>0.5404761904761904</v>
      </c>
      <c r="O512">
        <v>1</v>
      </c>
      <c r="P512">
        <v>-0.1803080202371039</v>
      </c>
      <c r="Q512">
        <v>-0.036096154778981</v>
      </c>
      <c r="R512" t="s">
        <v>780</v>
      </c>
      <c r="S512" t="s">
        <v>790</v>
      </c>
      <c r="T512">
        <v>71392.496316</v>
      </c>
      <c r="U512" s="2">
        <v>44503</v>
      </c>
      <c r="V512" t="s">
        <v>797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526</v>
      </c>
      <c r="K513" t="s">
        <v>345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0.011313295328191</v>
      </c>
      <c r="R513" t="s">
        <v>780</v>
      </c>
      <c r="S513" t="s">
        <v>788</v>
      </c>
      <c r="T513">
        <v>17752.143667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43.81</v>
      </c>
      <c r="D514">
        <v>49</v>
      </c>
      <c r="E514">
        <v>0.8940816326530613</v>
      </c>
      <c r="F514">
        <v>0.04565167769915544</v>
      </c>
      <c r="G514">
        <v>0.02264421367340375</v>
      </c>
      <c r="H514">
        <v>0.025</v>
      </c>
      <c r="I514">
        <v>0.08561009796449293</v>
      </c>
      <c r="J514" t="s">
        <v>526</v>
      </c>
      <c r="K514" t="s">
        <v>345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0.19145070886014</v>
      </c>
      <c r="R514" t="s">
        <v>782</v>
      </c>
      <c r="S514" t="s">
        <v>794</v>
      </c>
      <c r="T514">
        <v>4573.021946</v>
      </c>
      <c r="U514" s="2">
        <v>44496</v>
      </c>
      <c r="V514" t="s">
        <v>802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33.33</v>
      </c>
      <c r="D515">
        <v>35</v>
      </c>
      <c r="E515">
        <v>0.9522857142857143</v>
      </c>
      <c r="F515">
        <v>0.0375037503750375</v>
      </c>
      <c r="G515">
        <v>0.009825995001294663</v>
      </c>
      <c r="H515">
        <v>0.04</v>
      </c>
      <c r="I515">
        <v>0.08284761087966563</v>
      </c>
      <c r="J515" t="s">
        <v>526</v>
      </c>
      <c r="K515" t="s">
        <v>345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-0.05280747523317401</v>
      </c>
      <c r="R515" t="s">
        <v>780</v>
      </c>
      <c r="S515" t="s">
        <v>791</v>
      </c>
      <c r="T515">
        <v>15988.060401</v>
      </c>
      <c r="U515" s="2">
        <v>44476</v>
      </c>
      <c r="V515" t="s">
        <v>799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18.06</v>
      </c>
      <c r="D516">
        <v>20</v>
      </c>
      <c r="E516">
        <v>0.9029999999999999</v>
      </c>
      <c r="F516">
        <v>0.04651162790697674</v>
      </c>
      <c r="G516">
        <v>0.02061618221616945</v>
      </c>
      <c r="H516">
        <v>0.022</v>
      </c>
      <c r="I516">
        <v>0.0799417181660349</v>
      </c>
      <c r="J516" t="s">
        <v>526</v>
      </c>
      <c r="K516" t="s">
        <v>345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0.190845130788555</v>
      </c>
      <c r="R516" t="s">
        <v>782</v>
      </c>
      <c r="S516" t="s">
        <v>794</v>
      </c>
      <c r="T516">
        <v>2241.911005</v>
      </c>
      <c r="U516" s="2">
        <v>44498</v>
      </c>
      <c r="V516" t="s">
        <v>802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43.78</v>
      </c>
      <c r="D517">
        <v>48</v>
      </c>
      <c r="E517">
        <v>0.9120833333333334</v>
      </c>
      <c r="F517">
        <v>0.03471904979442668</v>
      </c>
      <c r="G517">
        <v>0.01857519565455634</v>
      </c>
      <c r="H517">
        <v>0.03</v>
      </c>
      <c r="I517">
        <v>0.07873416716886505</v>
      </c>
      <c r="J517" t="s">
        <v>526</v>
      </c>
      <c r="K517" t="s">
        <v>345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0.186771482786663</v>
      </c>
      <c r="R517" t="s">
        <v>780</v>
      </c>
      <c r="S517" t="s">
        <v>789</v>
      </c>
      <c r="T517">
        <v>11880.135678</v>
      </c>
      <c r="U517" s="2">
        <v>44509</v>
      </c>
      <c r="V517" t="s">
        <v>799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21.41</v>
      </c>
      <c r="D518">
        <v>23</v>
      </c>
      <c r="E518">
        <v>0.9308695652173913</v>
      </c>
      <c r="F518">
        <v>0.04297057449789818</v>
      </c>
      <c r="G518">
        <v>0.01443034923737008</v>
      </c>
      <c r="H518">
        <v>0.03</v>
      </c>
      <c r="I518">
        <v>0.07865768120202654</v>
      </c>
      <c r="J518" t="s">
        <v>526</v>
      </c>
      <c r="K518" t="s">
        <v>345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0.046478095321886</v>
      </c>
      <c r="R518" t="s">
        <v>780</v>
      </c>
      <c r="S518" t="s">
        <v>791</v>
      </c>
      <c r="T518">
        <v>9107.814</v>
      </c>
      <c r="U518" s="2">
        <v>44519</v>
      </c>
      <c r="V518" t="s">
        <v>801</v>
      </c>
    </row>
    <row r="519" spans="1:22">
      <c r="A519" s="1" t="s">
        <v>539</v>
      </c>
      <c r="B519">
        <f>HYPERLINK("https://www.suredividend.com/sure-analysis-ABEV/","Ambev S.A.")</f>
        <v>0</v>
      </c>
      <c r="C519">
        <v>2.74</v>
      </c>
      <c r="D519">
        <v>3.08</v>
      </c>
      <c r="E519">
        <v>0.8896103896103896</v>
      </c>
      <c r="F519">
        <v>0.0291970802919708</v>
      </c>
      <c r="G519">
        <v>0.02367012925217571</v>
      </c>
      <c r="H519">
        <v>0.03</v>
      </c>
      <c r="I519">
        <v>0.07860867269771643</v>
      </c>
      <c r="J519" t="s">
        <v>526</v>
      </c>
      <c r="K519" t="s">
        <v>526</v>
      </c>
      <c r="L519">
        <v>0.14</v>
      </c>
      <c r="M519">
        <v>0.08</v>
      </c>
      <c r="N519">
        <v>0.5714285714285714</v>
      </c>
      <c r="O519">
        <v>0</v>
      </c>
      <c r="P519">
        <v>0.02383625553960966</v>
      </c>
      <c r="Q519">
        <v>-0.060259971876393</v>
      </c>
      <c r="R519" t="s">
        <v>780</v>
      </c>
      <c r="S519" t="s">
        <v>791</v>
      </c>
      <c r="T519">
        <v>43133.689792</v>
      </c>
      <c r="U519" s="2">
        <v>44530</v>
      </c>
      <c r="V519" t="s">
        <v>800</v>
      </c>
    </row>
    <row r="520" spans="1:22">
      <c r="A520" s="1" t="s">
        <v>540</v>
      </c>
      <c r="B520">
        <f>HYPERLINK("https://www.suredividend.com/sure-analysis-RIO/","Rio Tinto plc")</f>
        <v>0</v>
      </c>
      <c r="C520">
        <v>66.20999999999999</v>
      </c>
      <c r="D520">
        <v>73</v>
      </c>
      <c r="E520">
        <v>0.9069863013698629</v>
      </c>
      <c r="F520">
        <v>0.08473040326234708</v>
      </c>
      <c r="G520">
        <v>0.01971745746878972</v>
      </c>
      <c r="H520">
        <v>0</v>
      </c>
      <c r="I520">
        <v>0.07802137688723754</v>
      </c>
      <c r="J520" t="s">
        <v>526</v>
      </c>
      <c r="K520" t="s">
        <v>777</v>
      </c>
      <c r="L520">
        <v>14</v>
      </c>
      <c r="M520">
        <v>5.61</v>
      </c>
      <c r="N520">
        <v>0.4007142857142857</v>
      </c>
      <c r="O520">
        <v>5</v>
      </c>
      <c r="P520">
        <v>-0.05987225238578009</v>
      </c>
      <c r="Q520">
        <v>-0.058572943889753</v>
      </c>
      <c r="R520" t="s">
        <v>780</v>
      </c>
      <c r="S520" t="s">
        <v>790</v>
      </c>
      <c r="T520">
        <v>107928.918881</v>
      </c>
      <c r="U520" s="2">
        <v>44524</v>
      </c>
      <c r="V520" t="s">
        <v>803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18.425</v>
      </c>
      <c r="D521">
        <v>18</v>
      </c>
      <c r="E521">
        <v>1.023611111111111</v>
      </c>
      <c r="F521">
        <v>0.03907734056987788</v>
      </c>
      <c r="G521">
        <v>-0.004656460948818442</v>
      </c>
      <c r="H521">
        <v>0.05</v>
      </c>
      <c r="I521">
        <v>0.07694961369830211</v>
      </c>
      <c r="J521" t="s">
        <v>526</v>
      </c>
      <c r="K521" t="s">
        <v>526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0.04492170885106801</v>
      </c>
      <c r="R521" t="s">
        <v>780</v>
      </c>
      <c r="S521" t="s">
        <v>784</v>
      </c>
      <c r="T521">
        <v>91875.499631</v>
      </c>
      <c r="U521" s="2">
        <v>44517</v>
      </c>
      <c r="V521" t="s">
        <v>803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10.51</v>
      </c>
      <c r="D522">
        <v>10</v>
      </c>
      <c r="E522">
        <v>1.051</v>
      </c>
      <c r="F522">
        <v>0.05708848715509039</v>
      </c>
      <c r="G522">
        <v>-0.00989909655838217</v>
      </c>
      <c r="H522">
        <v>0.04</v>
      </c>
      <c r="I522">
        <v>0.07611007361231281</v>
      </c>
      <c r="J522" t="s">
        <v>526</v>
      </c>
      <c r="K522" t="s">
        <v>777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0.710695509220827</v>
      </c>
      <c r="R522" t="s">
        <v>781</v>
      </c>
      <c r="S522" t="s">
        <v>793</v>
      </c>
      <c r="T522">
        <v>1287.887213</v>
      </c>
      <c r="U522" s="2">
        <v>44522</v>
      </c>
      <c r="V522" t="s">
        <v>803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72.86</v>
      </c>
      <c r="D523">
        <v>75</v>
      </c>
      <c r="E523">
        <v>0.9714666666666667</v>
      </c>
      <c r="F523">
        <v>0.03431237990667033</v>
      </c>
      <c r="G523">
        <v>0.005806456890062206</v>
      </c>
      <c r="H523">
        <v>0.04</v>
      </c>
      <c r="I523">
        <v>0.0760803183406511</v>
      </c>
      <c r="J523" t="s">
        <v>526</v>
      </c>
      <c r="K523" t="s">
        <v>526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0.67321546266038</v>
      </c>
      <c r="R523" t="s">
        <v>782</v>
      </c>
      <c r="S523" t="s">
        <v>794</v>
      </c>
      <c r="T523">
        <v>12474.579399</v>
      </c>
      <c r="U523" s="2">
        <v>44513</v>
      </c>
      <c r="V523" t="s">
        <v>795</v>
      </c>
    </row>
    <row r="524" spans="1:22">
      <c r="A524" s="1" t="s">
        <v>544</v>
      </c>
      <c r="B524">
        <f>HYPERLINK("https://www.suredividend.com/sure-analysis-DEI/","Douglas Emmett Inc")</f>
        <v>0</v>
      </c>
      <c r="C524">
        <v>33.2</v>
      </c>
      <c r="D524">
        <v>29</v>
      </c>
      <c r="E524">
        <v>1.144827586206897</v>
      </c>
      <c r="F524">
        <v>0.03373493975903614</v>
      </c>
      <c r="G524">
        <v>-0.02668821291281054</v>
      </c>
      <c r="H524">
        <v>0.07000000000000001</v>
      </c>
      <c r="I524">
        <v>0.07367400548830427</v>
      </c>
      <c r="J524" t="s">
        <v>526</v>
      </c>
      <c r="K524" t="s">
        <v>526</v>
      </c>
      <c r="L524">
        <v>1.86</v>
      </c>
      <c r="M524">
        <v>1.12</v>
      </c>
      <c r="N524">
        <v>0.6021505376344086</v>
      </c>
      <c r="O524">
        <v>10</v>
      </c>
      <c r="P524">
        <v>0.06016789231717423</v>
      </c>
      <c r="Q524">
        <v>0.174518606568106</v>
      </c>
      <c r="R524" t="s">
        <v>782</v>
      </c>
      <c r="S524" t="s">
        <v>794</v>
      </c>
      <c r="T524">
        <v>5826.127896</v>
      </c>
      <c r="U524" s="2">
        <v>44524</v>
      </c>
      <c r="V524" t="s">
        <v>803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84.95</v>
      </c>
      <c r="D525">
        <v>83</v>
      </c>
      <c r="E525">
        <v>1.023493975903615</v>
      </c>
      <c r="F525">
        <v>0.027781047675103</v>
      </c>
      <c r="G525">
        <v>-0.004633679293473913</v>
      </c>
      <c r="H525">
        <v>0.05</v>
      </c>
      <c r="I525">
        <v>0.07330677712357114</v>
      </c>
      <c r="J525" t="s">
        <v>526</v>
      </c>
      <c r="K525" t="s">
        <v>526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0.030861530844541</v>
      </c>
      <c r="R525" t="s">
        <v>780</v>
      </c>
      <c r="S525" t="s">
        <v>786</v>
      </c>
      <c r="T525">
        <v>29492.713589</v>
      </c>
      <c r="U525" s="2">
        <v>44497</v>
      </c>
      <c r="V525" t="s">
        <v>799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13.8</v>
      </c>
      <c r="D526">
        <v>14.7</v>
      </c>
      <c r="E526">
        <v>0.9387755102040817</v>
      </c>
      <c r="F526">
        <v>0.05072463768115942</v>
      </c>
      <c r="G526">
        <v>0.01271594910569096</v>
      </c>
      <c r="H526">
        <v>0.01</v>
      </c>
      <c r="I526">
        <v>0.0716138041774288</v>
      </c>
      <c r="J526" t="s">
        <v>526</v>
      </c>
      <c r="K526" t="s">
        <v>345</v>
      </c>
      <c r="L526">
        <v>1.47</v>
      </c>
      <c r="M526">
        <v>0.7</v>
      </c>
      <c r="N526">
        <v>0.4761904761904762</v>
      </c>
      <c r="O526">
        <v>0</v>
      </c>
      <c r="P526">
        <v>0.04920026914708719</v>
      </c>
      <c r="Q526">
        <v>0.521415577972548</v>
      </c>
      <c r="R526" t="s">
        <v>780</v>
      </c>
      <c r="S526" t="s">
        <v>789</v>
      </c>
      <c r="T526">
        <v>53875.593976</v>
      </c>
      <c r="U526" s="2">
        <v>44515</v>
      </c>
      <c r="V526" t="s">
        <v>795</v>
      </c>
    </row>
    <row r="527" spans="1:22">
      <c r="A527" s="1" t="s">
        <v>547</v>
      </c>
      <c r="B527">
        <f>HYPERLINK("https://www.suredividend.com/sure-analysis-OFC/","Corporate Office Properties Trust")</f>
        <v>0</v>
      </c>
      <c r="C527">
        <v>27.77</v>
      </c>
      <c r="D527">
        <v>29</v>
      </c>
      <c r="E527">
        <v>0.9575862068965517</v>
      </c>
      <c r="F527">
        <v>0.03961109110550955</v>
      </c>
      <c r="G527">
        <v>0.008705580804436508</v>
      </c>
      <c r="H527">
        <v>0.03</v>
      </c>
      <c r="I527">
        <v>0.07093289292062432</v>
      </c>
      <c r="J527" t="s">
        <v>526</v>
      </c>
      <c r="K527" t="s">
        <v>345</v>
      </c>
      <c r="L527">
        <v>2.28</v>
      </c>
      <c r="M527">
        <v>1.1</v>
      </c>
      <c r="N527">
        <v>0.4824561403508772</v>
      </c>
      <c r="O527">
        <v>0</v>
      </c>
      <c r="P527">
        <v>0</v>
      </c>
      <c r="Q527">
        <v>0.133927587065793</v>
      </c>
      <c r="R527" t="s">
        <v>782</v>
      </c>
      <c r="S527" t="s">
        <v>794</v>
      </c>
      <c r="T527">
        <v>3119.261112</v>
      </c>
      <c r="U527" s="2">
        <v>44535</v>
      </c>
      <c r="V527" t="s">
        <v>798</v>
      </c>
    </row>
    <row r="528" spans="1:22">
      <c r="A528" s="1" t="s">
        <v>548</v>
      </c>
      <c r="B528">
        <f>HYPERLINK("https://www.suredividend.com/sure-analysis-CUZ/","Cousins Properties Inc.")</f>
        <v>0</v>
      </c>
      <c r="C528">
        <v>39.44</v>
      </c>
      <c r="D528">
        <v>40</v>
      </c>
      <c r="E528">
        <v>0.986</v>
      </c>
      <c r="F528">
        <v>0.03144016227180527</v>
      </c>
      <c r="G528">
        <v>0.002823764208681911</v>
      </c>
      <c r="H528">
        <v>0.04</v>
      </c>
      <c r="I528">
        <v>0.07053147871514054</v>
      </c>
      <c r="J528" t="s">
        <v>526</v>
      </c>
      <c r="K528" t="s">
        <v>526</v>
      </c>
      <c r="L528">
        <v>2.75</v>
      </c>
      <c r="M528">
        <v>1.24</v>
      </c>
      <c r="N528">
        <v>0.4509090909090909</v>
      </c>
      <c r="O528">
        <v>3</v>
      </c>
      <c r="P528">
        <v>0.03035803310185115</v>
      </c>
      <c r="Q528">
        <v>0.214136190124368</v>
      </c>
      <c r="R528" t="s">
        <v>782</v>
      </c>
      <c r="S528" t="s">
        <v>794</v>
      </c>
      <c r="T528">
        <v>5864.25614</v>
      </c>
      <c r="U528" s="2">
        <v>44533</v>
      </c>
      <c r="V528" t="s">
        <v>803</v>
      </c>
    </row>
    <row r="529" spans="1:22">
      <c r="A529" s="1" t="s">
        <v>549</v>
      </c>
      <c r="B529">
        <f>HYPERLINK("https://www.suredividend.com/sure-analysis-BHP/","BHP Group Limited")</f>
        <v>0</v>
      </c>
      <c r="C529">
        <v>59.92</v>
      </c>
      <c r="D529">
        <v>87</v>
      </c>
      <c r="E529">
        <v>0.6887356321839081</v>
      </c>
      <c r="F529">
        <v>0.06008010680907877</v>
      </c>
      <c r="G529">
        <v>0.0774310560983773</v>
      </c>
      <c r="H529">
        <v>-0.05</v>
      </c>
      <c r="I529">
        <v>0.07015070600002238</v>
      </c>
      <c r="J529" t="s">
        <v>526</v>
      </c>
      <c r="K529" t="s">
        <v>345</v>
      </c>
      <c r="L529">
        <v>6.2</v>
      </c>
      <c r="M529">
        <v>3.6</v>
      </c>
      <c r="N529">
        <v>0.5806451612903226</v>
      </c>
      <c r="O529">
        <v>1</v>
      </c>
      <c r="P529">
        <v>-0.02328131613882611</v>
      </c>
      <c r="Q529">
        <v>0.02372401821928</v>
      </c>
      <c r="R529" t="s">
        <v>780</v>
      </c>
      <c r="S529" t="s">
        <v>790</v>
      </c>
      <c r="T529">
        <v>88389.531764</v>
      </c>
      <c r="U529" s="2">
        <v>44524</v>
      </c>
      <c r="V529" t="s">
        <v>803</v>
      </c>
    </row>
    <row r="530" spans="1:22">
      <c r="A530" s="1" t="s">
        <v>550</v>
      </c>
      <c r="B530">
        <f>HYPERLINK("https://www.suredividend.com/sure-analysis-NXRT/","NexPoint Residential Trust Inc")</f>
        <v>0</v>
      </c>
      <c r="C530">
        <v>78.70999999999999</v>
      </c>
      <c r="D530">
        <v>65.04000000000001</v>
      </c>
      <c r="E530">
        <v>1.210178351783518</v>
      </c>
      <c r="F530">
        <v>0.01931139626476941</v>
      </c>
      <c r="G530">
        <v>-0.03743487173828308</v>
      </c>
      <c r="H530">
        <v>0.09</v>
      </c>
      <c r="I530">
        <v>0.0697873952469954</v>
      </c>
      <c r="J530" t="s">
        <v>526</v>
      </c>
      <c r="K530" t="s">
        <v>778</v>
      </c>
      <c r="L530">
        <v>2.71</v>
      </c>
      <c r="M530">
        <v>1.52</v>
      </c>
      <c r="N530">
        <v>0.5608856088560886</v>
      </c>
      <c r="O530">
        <v>6</v>
      </c>
      <c r="P530">
        <v>0.1001819089885529</v>
      </c>
      <c r="Q530">
        <v>0.9877768517817</v>
      </c>
      <c r="R530" t="s">
        <v>782</v>
      </c>
      <c r="S530" t="s">
        <v>794</v>
      </c>
      <c r="T530">
        <v>1987.556663</v>
      </c>
      <c r="U530" s="2">
        <v>44541</v>
      </c>
      <c r="V530" t="s">
        <v>795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3.38</v>
      </c>
      <c r="D531">
        <v>3.5</v>
      </c>
      <c r="E531">
        <v>0.9657142857142856</v>
      </c>
      <c r="F531">
        <v>0.07100591715976332</v>
      </c>
      <c r="G531">
        <v>0.007001850931809495</v>
      </c>
      <c r="H531">
        <v>0</v>
      </c>
      <c r="I531">
        <v>0.0681598053737229</v>
      </c>
      <c r="J531" t="s">
        <v>526</v>
      </c>
      <c r="K531" t="s">
        <v>777</v>
      </c>
      <c r="L531">
        <v>0.5</v>
      </c>
      <c r="M531">
        <v>0.24</v>
      </c>
      <c r="N531">
        <v>0.48</v>
      </c>
      <c r="O531">
        <v>0</v>
      </c>
      <c r="P531">
        <v>0</v>
      </c>
      <c r="Q531">
        <v>-0.260248188921231</v>
      </c>
      <c r="R531" t="s">
        <v>780</v>
      </c>
      <c r="S531" t="s">
        <v>789</v>
      </c>
      <c r="T531">
        <v>30366.493537</v>
      </c>
      <c r="U531" s="2">
        <v>44506</v>
      </c>
      <c r="V531" t="s">
        <v>795</v>
      </c>
    </row>
    <row r="532" spans="1:22">
      <c r="A532" s="1" t="s">
        <v>552</v>
      </c>
      <c r="B532">
        <f>HYPERLINK("https://www.suredividend.com/sure-analysis-FRFHF/","Fairfax Financial Holdings Ltd.")</f>
        <v>0</v>
      </c>
      <c r="C532">
        <v>464.0164</v>
      </c>
      <c r="D532">
        <v>565</v>
      </c>
      <c r="E532">
        <v>0.8212679646017699</v>
      </c>
      <c r="F532">
        <v>0.02155096242287988</v>
      </c>
      <c r="G532">
        <v>0.0401668853301016</v>
      </c>
      <c r="H532">
        <v>0.01</v>
      </c>
      <c r="I532">
        <v>0.06769281014426975</v>
      </c>
      <c r="J532" t="s">
        <v>526</v>
      </c>
      <c r="K532" t="s">
        <v>526</v>
      </c>
      <c r="L532">
        <v>32</v>
      </c>
      <c r="M532">
        <v>10</v>
      </c>
      <c r="N532">
        <v>0.3125</v>
      </c>
      <c r="O532">
        <v>0</v>
      </c>
      <c r="P532">
        <v>0</v>
      </c>
      <c r="Q532">
        <v>0.390547964417614</v>
      </c>
      <c r="R532" t="s">
        <v>780</v>
      </c>
      <c r="S532" t="s">
        <v>789</v>
      </c>
      <c r="T532">
        <v>12225.814457</v>
      </c>
      <c r="U532" s="2">
        <v>44515</v>
      </c>
      <c r="V532" t="s">
        <v>803</v>
      </c>
    </row>
    <row r="533" spans="1:22">
      <c r="A533" s="1" t="s">
        <v>553</v>
      </c>
      <c r="B533">
        <f>HYPERLINK("https://www.suredividend.com/sure-analysis-AGNC/","AGNC Investment Corp")</f>
        <v>0</v>
      </c>
      <c r="C533">
        <v>15.39</v>
      </c>
      <c r="D533">
        <v>23.5</v>
      </c>
      <c r="E533">
        <v>0.6548936170212766</v>
      </c>
      <c r="F533">
        <v>0.0935672514619883</v>
      </c>
      <c r="G533">
        <v>0.08834315079682287</v>
      </c>
      <c r="H533">
        <v>-0.099</v>
      </c>
      <c r="I533">
        <v>0.06748515080048945</v>
      </c>
      <c r="J533" t="s">
        <v>526</v>
      </c>
      <c r="K533" t="s">
        <v>777</v>
      </c>
      <c r="L533">
        <v>2.94</v>
      </c>
      <c r="M533">
        <v>1.44</v>
      </c>
      <c r="N533">
        <v>0.4897959183673469</v>
      </c>
      <c r="O533">
        <v>0</v>
      </c>
      <c r="P533">
        <v>0.008197818497166498</v>
      </c>
      <c r="Q533">
        <v>0.07155539154592201</v>
      </c>
      <c r="R533" t="s">
        <v>782</v>
      </c>
      <c r="S533" t="s">
        <v>794</v>
      </c>
      <c r="T533">
        <v>8078.339999</v>
      </c>
      <c r="U533" s="2">
        <v>44503</v>
      </c>
      <c r="V533" t="s">
        <v>805</v>
      </c>
    </row>
    <row r="534" spans="1:22">
      <c r="A534" s="1" t="s">
        <v>554</v>
      </c>
      <c r="B534">
        <f>HYPERLINK("https://www.suredividend.com/sure-analysis-WSR/","Whitestone REIT")</f>
        <v>0</v>
      </c>
      <c r="C534">
        <v>9.880000000000001</v>
      </c>
      <c r="D534">
        <v>10</v>
      </c>
      <c r="E534">
        <v>0.9880000000000001</v>
      </c>
      <c r="F534">
        <v>0.04352226720647773</v>
      </c>
      <c r="G534">
        <v>0.002417433538683955</v>
      </c>
      <c r="H534">
        <v>0.02</v>
      </c>
      <c r="I534">
        <v>0.06722105861191108</v>
      </c>
      <c r="J534" t="s">
        <v>526</v>
      </c>
      <c r="K534" t="s">
        <v>345</v>
      </c>
      <c r="L534">
        <v>0.92</v>
      </c>
      <c r="M534">
        <v>0.43</v>
      </c>
      <c r="N534">
        <v>0.4673913043478261</v>
      </c>
      <c r="O534">
        <v>0</v>
      </c>
      <c r="P534">
        <v>0.06889872481155268</v>
      </c>
      <c r="Q534">
        <v>0.327100795185901</v>
      </c>
      <c r="R534" t="s">
        <v>782</v>
      </c>
      <c r="S534" t="s">
        <v>794</v>
      </c>
      <c r="T534">
        <v>485.236993</v>
      </c>
      <c r="U534" s="2">
        <v>44498</v>
      </c>
      <c r="V534" t="s">
        <v>804</v>
      </c>
    </row>
    <row r="535" spans="1:22">
      <c r="A535" s="1" t="s">
        <v>555</v>
      </c>
      <c r="B535">
        <f>HYPERLINK("https://www.suredividend.com/sure-analysis-AKR/","Acadia Realty Trust")</f>
        <v>0</v>
      </c>
      <c r="C535">
        <v>21.38</v>
      </c>
      <c r="D535">
        <v>20</v>
      </c>
      <c r="E535">
        <v>1.069</v>
      </c>
      <c r="F535">
        <v>0.02806361085126286</v>
      </c>
      <c r="G535">
        <v>-0.01325608030457315</v>
      </c>
      <c r="H535">
        <v>0.05</v>
      </c>
      <c r="I535">
        <v>0.06697319040378624</v>
      </c>
      <c r="J535" t="s">
        <v>526</v>
      </c>
      <c r="K535" t="s">
        <v>526</v>
      </c>
      <c r="L535">
        <v>1.1</v>
      </c>
      <c r="M535">
        <v>0.6</v>
      </c>
      <c r="N535">
        <v>0.5454545454545454</v>
      </c>
      <c r="O535">
        <v>1</v>
      </c>
      <c r="P535">
        <v>0.1008397341583922</v>
      </c>
      <c r="Q535">
        <v>0.5657153737431431</v>
      </c>
      <c r="R535" t="s">
        <v>782</v>
      </c>
      <c r="S535" t="s">
        <v>794</v>
      </c>
      <c r="T535">
        <v>1891.137305</v>
      </c>
      <c r="U535" s="2">
        <v>44531</v>
      </c>
      <c r="V535" t="s">
        <v>795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68.66</v>
      </c>
      <c r="D536">
        <v>63</v>
      </c>
      <c r="E536">
        <v>1.08984126984127</v>
      </c>
      <c r="F536">
        <v>0.03466355956889018</v>
      </c>
      <c r="G536">
        <v>-0.01705922739891064</v>
      </c>
      <c r="H536">
        <v>0.05</v>
      </c>
      <c r="I536">
        <v>0.06527806833820793</v>
      </c>
      <c r="J536" t="s">
        <v>526</v>
      </c>
      <c r="K536" t="s">
        <v>526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0.103721886518871</v>
      </c>
      <c r="R536" t="s">
        <v>782</v>
      </c>
      <c r="S536" t="s">
        <v>794</v>
      </c>
      <c r="T536">
        <v>4791.077498</v>
      </c>
      <c r="U536" s="2">
        <v>44507</v>
      </c>
      <c r="V536" t="s">
        <v>798</v>
      </c>
    </row>
    <row r="537" spans="1:22">
      <c r="A537" s="1" t="s">
        <v>557</v>
      </c>
      <c r="B537">
        <f>HYPERLINK("https://www.suredividend.com/sure-analysis-EMRAF/","Emera, Inc.")</f>
        <v>0</v>
      </c>
      <c r="C537">
        <v>48.69</v>
      </c>
      <c r="D537">
        <v>42</v>
      </c>
      <c r="E537">
        <v>1.159285714285714</v>
      </c>
      <c r="F537">
        <v>0.04333538714315054</v>
      </c>
      <c r="G537">
        <v>-0.02912816324144418</v>
      </c>
      <c r="H537">
        <v>0.055</v>
      </c>
      <c r="I537">
        <v>0.06524426644780013</v>
      </c>
      <c r="J537" t="s">
        <v>526</v>
      </c>
      <c r="K537" t="s">
        <v>777</v>
      </c>
      <c r="L537">
        <v>2.26</v>
      </c>
      <c r="M537">
        <v>2.11</v>
      </c>
      <c r="N537">
        <v>0.9336283185840708</v>
      </c>
      <c r="O537">
        <v>14</v>
      </c>
      <c r="P537">
        <v>0.04023181804828235</v>
      </c>
      <c r="Q537">
        <v>0.165920356313306</v>
      </c>
      <c r="R537" t="s">
        <v>780</v>
      </c>
      <c r="S537" t="s">
        <v>792</v>
      </c>
      <c r="T537">
        <v>12597.409061</v>
      </c>
      <c r="U537" s="2">
        <v>44516</v>
      </c>
      <c r="V537" t="s">
        <v>802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27.52</v>
      </c>
      <c r="D538">
        <v>21.9</v>
      </c>
      <c r="E538">
        <v>1.25662100456621</v>
      </c>
      <c r="F538">
        <v>0.0247093023255814</v>
      </c>
      <c r="G538">
        <v>-0.04465741516088595</v>
      </c>
      <c r="H538">
        <v>0.083</v>
      </c>
      <c r="I538">
        <v>0.06513191962692155</v>
      </c>
      <c r="J538" t="s">
        <v>526</v>
      </c>
      <c r="K538" t="s">
        <v>526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0.314111900066374</v>
      </c>
      <c r="R538" t="s">
        <v>780</v>
      </c>
      <c r="S538" t="s">
        <v>792</v>
      </c>
      <c r="T538">
        <v>17306.385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HYPERLINK("https://www.suredividend.com/sure-analysis-MCY/","Mercury General Corp.")</f>
        <v>0</v>
      </c>
      <c r="C539">
        <v>51.19</v>
      </c>
      <c r="D539">
        <v>53</v>
      </c>
      <c r="E539">
        <v>0.9658490566037735</v>
      </c>
      <c r="F539">
        <v>0.04961906622387185</v>
      </c>
      <c r="G539">
        <v>0.006973746724489027</v>
      </c>
      <c r="H539">
        <v>0.015</v>
      </c>
      <c r="I539">
        <v>0.0645159330098668</v>
      </c>
      <c r="J539" t="s">
        <v>526</v>
      </c>
      <c r="K539" t="s">
        <v>777</v>
      </c>
      <c r="L539">
        <v>3.5</v>
      </c>
      <c r="M539">
        <v>2.54</v>
      </c>
      <c r="N539">
        <v>0.7257142857142858</v>
      </c>
      <c r="O539">
        <v>33</v>
      </c>
      <c r="P539">
        <v>0.004680391776183512</v>
      </c>
      <c r="Q539">
        <v>0.04088720434655201</v>
      </c>
      <c r="R539" t="s">
        <v>780</v>
      </c>
      <c r="S539" t="s">
        <v>789</v>
      </c>
      <c r="T539">
        <v>2834.430638</v>
      </c>
      <c r="U539" s="2">
        <v>44510</v>
      </c>
      <c r="V539" t="s">
        <v>797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134.48</v>
      </c>
      <c r="D540">
        <v>114</v>
      </c>
      <c r="E540">
        <v>1.179649122807017</v>
      </c>
      <c r="F540">
        <v>0.01992861392028555</v>
      </c>
      <c r="G540">
        <v>-0.03250343854981574</v>
      </c>
      <c r="H540">
        <v>0.08</v>
      </c>
      <c r="I540">
        <v>0.06361150136702021</v>
      </c>
      <c r="J540" t="s">
        <v>526</v>
      </c>
      <c r="K540" t="s">
        <v>778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0.133456781903125</v>
      </c>
      <c r="R540" t="s">
        <v>780</v>
      </c>
      <c r="S540" t="s">
        <v>787</v>
      </c>
      <c r="T540">
        <v>25863.46915</v>
      </c>
      <c r="U540" s="2">
        <v>44514</v>
      </c>
      <c r="V540" t="s">
        <v>801</v>
      </c>
    </row>
    <row r="541" spans="1:22">
      <c r="A541" s="1" t="s">
        <v>561</v>
      </c>
      <c r="B541">
        <f>HYPERLINK("https://www.suredividend.com/sure-analysis-KHC/","Kraft Heinz Co")</f>
        <v>0</v>
      </c>
      <c r="C541">
        <v>35.25</v>
      </c>
      <c r="D541">
        <v>36</v>
      </c>
      <c r="E541">
        <v>0.9791666666666666</v>
      </c>
      <c r="F541">
        <v>0.04539007092198582</v>
      </c>
      <c r="G541">
        <v>0.004219559215905999</v>
      </c>
      <c r="H541">
        <v>0.02</v>
      </c>
      <c r="I541">
        <v>0.06256921174691721</v>
      </c>
      <c r="J541" t="s">
        <v>526</v>
      </c>
      <c r="K541" t="s">
        <v>345</v>
      </c>
      <c r="L541">
        <v>2.8</v>
      </c>
      <c r="M541">
        <v>1.6</v>
      </c>
      <c r="N541">
        <v>0.5714285714285715</v>
      </c>
      <c r="O541">
        <v>0</v>
      </c>
      <c r="P541">
        <v>0</v>
      </c>
      <c r="Q541">
        <v>0.055996261323874</v>
      </c>
      <c r="R541" t="s">
        <v>780</v>
      </c>
      <c r="S541" t="s">
        <v>791</v>
      </c>
      <c r="T541">
        <v>43147.49675</v>
      </c>
      <c r="U541" s="2">
        <v>44508</v>
      </c>
      <c r="V541" t="s">
        <v>797</v>
      </c>
    </row>
    <row r="542" spans="1:22">
      <c r="A542" s="1" t="s">
        <v>562</v>
      </c>
      <c r="B542">
        <f>HYPERLINK("https://www.suredividend.com/sure-analysis-LMRK/","Landmark Infrastructure Partners LP")</f>
        <v>0</v>
      </c>
      <c r="C542">
        <v>16.49</v>
      </c>
      <c r="D542">
        <v>16.4</v>
      </c>
      <c r="E542">
        <v>1.005487804878049</v>
      </c>
      <c r="F542">
        <v>0.04851425106124925</v>
      </c>
      <c r="G542">
        <v>-0.001093961535591714</v>
      </c>
      <c r="H542">
        <v>0.018</v>
      </c>
      <c r="I542">
        <v>0.06151405904167206</v>
      </c>
      <c r="J542" t="s">
        <v>526</v>
      </c>
      <c r="K542" t="s">
        <v>345</v>
      </c>
      <c r="L542">
        <v>1.49</v>
      </c>
      <c r="M542">
        <v>0.8</v>
      </c>
      <c r="N542">
        <v>0.5369127516778524</v>
      </c>
      <c r="O542">
        <v>0</v>
      </c>
      <c r="P542">
        <v>0.02383625553960966</v>
      </c>
      <c r="Q542">
        <v>0</v>
      </c>
      <c r="R542" t="s">
        <v>781</v>
      </c>
      <c r="S542" t="s">
        <v>794</v>
      </c>
      <c r="T542">
        <v>0</v>
      </c>
      <c r="U542" s="2">
        <v>44509</v>
      </c>
      <c r="V542" t="s">
        <v>805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15.26</v>
      </c>
      <c r="D543">
        <v>14</v>
      </c>
      <c r="E543">
        <v>1.09</v>
      </c>
      <c r="F543">
        <v>0.04062909567496723</v>
      </c>
      <c r="G543">
        <v>-0.01708785701980797</v>
      </c>
      <c r="H543">
        <v>0.04</v>
      </c>
      <c r="I543">
        <v>0.06095259967443911</v>
      </c>
      <c r="J543" t="s">
        <v>526</v>
      </c>
      <c r="K543" t="s">
        <v>345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0.275535791902103</v>
      </c>
      <c r="R543" t="s">
        <v>780</v>
      </c>
      <c r="S543" t="s">
        <v>789</v>
      </c>
      <c r="T543">
        <v>22072.99866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21.41</v>
      </c>
      <c r="D544">
        <v>19</v>
      </c>
      <c r="E544">
        <v>1.126842105263158</v>
      </c>
      <c r="F544">
        <v>0.03549743110695937</v>
      </c>
      <c r="G544">
        <v>-0.02360086335563716</v>
      </c>
      <c r="H544">
        <v>0.055</v>
      </c>
      <c r="I544">
        <v>0.06073897052078103</v>
      </c>
      <c r="J544" t="s">
        <v>526</v>
      </c>
      <c r="K544" t="s">
        <v>526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0.5030257079875881</v>
      </c>
      <c r="R544" t="s">
        <v>782</v>
      </c>
      <c r="S544" t="s">
        <v>794</v>
      </c>
      <c r="T544">
        <v>4689.17401</v>
      </c>
      <c r="U544" s="2">
        <v>44512</v>
      </c>
      <c r="V544" t="s">
        <v>802</v>
      </c>
    </row>
    <row r="545" spans="1:22">
      <c r="A545" s="1" t="s">
        <v>565</v>
      </c>
      <c r="B545">
        <f>HYPERLINK("https://www.suredividend.com/sure-analysis-TJX/","TJX Companies, Inc.")</f>
        <v>0</v>
      </c>
      <c r="C545">
        <v>73.75</v>
      </c>
      <c r="D545">
        <v>55</v>
      </c>
      <c r="E545">
        <v>1.340909090909091</v>
      </c>
      <c r="F545">
        <v>0.01410169491525424</v>
      </c>
      <c r="G545">
        <v>-0.05698167322874592</v>
      </c>
      <c r="H545">
        <v>0.09</v>
      </c>
      <c r="I545">
        <v>0.059505496239596</v>
      </c>
      <c r="J545" t="s">
        <v>526</v>
      </c>
      <c r="K545" t="s">
        <v>778</v>
      </c>
      <c r="L545">
        <v>2.88</v>
      </c>
      <c r="M545">
        <v>1.04</v>
      </c>
      <c r="N545">
        <v>0.3611111111111112</v>
      </c>
      <c r="O545">
        <v>0</v>
      </c>
      <c r="P545">
        <v>0.3463094632638744</v>
      </c>
      <c r="Q545">
        <v>0.111479511099724</v>
      </c>
      <c r="R545" t="s">
        <v>780</v>
      </c>
      <c r="S545" t="s">
        <v>788</v>
      </c>
      <c r="T545">
        <v>87974.781558</v>
      </c>
      <c r="U545" s="2">
        <v>44526</v>
      </c>
      <c r="V545" t="s">
        <v>804</v>
      </c>
    </row>
    <row r="546" spans="1:22">
      <c r="A546" s="1" t="s">
        <v>566</v>
      </c>
      <c r="B546">
        <f>HYPERLINK("https://www.suredividend.com/sure-analysis-GLW/","Corning, Inc.")</f>
        <v>0</v>
      </c>
      <c r="C546">
        <v>36.75</v>
      </c>
      <c r="D546">
        <v>34</v>
      </c>
      <c r="E546">
        <v>1.080882352941176</v>
      </c>
      <c r="F546">
        <v>0.02612244897959183</v>
      </c>
      <c r="G546">
        <v>-0.01543517770239444</v>
      </c>
      <c r="H546">
        <v>0.05</v>
      </c>
      <c r="I546">
        <v>0.05924520227249253</v>
      </c>
      <c r="J546" t="s">
        <v>526</v>
      </c>
      <c r="K546" t="s">
        <v>526</v>
      </c>
      <c r="L546">
        <v>2.15</v>
      </c>
      <c r="M546">
        <v>0.96</v>
      </c>
      <c r="N546">
        <v>0.4465116279069767</v>
      </c>
      <c r="O546">
        <v>11</v>
      </c>
      <c r="P546">
        <v>0.05251935381426631</v>
      </c>
      <c r="Q546">
        <v>0.03549420545895601</v>
      </c>
      <c r="R546" t="s">
        <v>780</v>
      </c>
      <c r="S546" t="s">
        <v>787</v>
      </c>
      <c r="T546">
        <v>31362.760868</v>
      </c>
      <c r="U546" s="2">
        <v>44497</v>
      </c>
      <c r="V546" t="s">
        <v>799</v>
      </c>
    </row>
    <row r="547" spans="1:22">
      <c r="A547" s="1" t="s">
        <v>567</v>
      </c>
      <c r="B547">
        <f>HYPERLINK("https://www.suredividend.com/sure-analysis-KTB/","Kontoor Brands Inc")</f>
        <v>0</v>
      </c>
      <c r="C547">
        <v>50.94</v>
      </c>
      <c r="D547">
        <v>50</v>
      </c>
      <c r="E547">
        <v>1.0188</v>
      </c>
      <c r="F547">
        <v>0.03612092658029054</v>
      </c>
      <c r="G547">
        <v>-0.003718163273434438</v>
      </c>
      <c r="H547">
        <v>0.03</v>
      </c>
      <c r="I547">
        <v>0.05861879511049484</v>
      </c>
      <c r="J547" t="s">
        <v>526</v>
      </c>
      <c r="K547" t="s">
        <v>345</v>
      </c>
      <c r="L547">
        <v>4.18</v>
      </c>
      <c r="M547">
        <v>1.84</v>
      </c>
      <c r="N547">
        <v>0.4401913875598087</v>
      </c>
      <c r="O547">
        <v>1</v>
      </c>
      <c r="P547">
        <v>0.01984845658885503</v>
      </c>
      <c r="Q547">
        <v>0.24906210001324</v>
      </c>
      <c r="R547" t="s">
        <v>780</v>
      </c>
      <c r="S547" t="s">
        <v>788</v>
      </c>
      <c r="T547">
        <v>2919.752075</v>
      </c>
      <c r="U547" s="2">
        <v>44511</v>
      </c>
      <c r="V547" t="s">
        <v>797</v>
      </c>
    </row>
    <row r="548" spans="1:22">
      <c r="A548" s="1" t="s">
        <v>568</v>
      </c>
      <c r="B548">
        <f>HYPERLINK("https://www.suredividend.com/sure-analysis-INVH/","Invitation Homes Inc")</f>
        <v>0</v>
      </c>
      <c r="C548">
        <v>43.95</v>
      </c>
      <c r="D548">
        <v>35</v>
      </c>
      <c r="E548">
        <v>1.255714285714286</v>
      </c>
      <c r="F548">
        <v>0.01547212741751991</v>
      </c>
      <c r="G548">
        <v>-0.04451948935119887</v>
      </c>
      <c r="H548">
        <v>0.09</v>
      </c>
      <c r="I548">
        <v>0.05783508535549076</v>
      </c>
      <c r="J548" t="s">
        <v>526</v>
      </c>
      <c r="K548" t="s">
        <v>778</v>
      </c>
      <c r="L548">
        <v>1.28</v>
      </c>
      <c r="M548">
        <v>0.68</v>
      </c>
      <c r="N548">
        <v>0.53125</v>
      </c>
      <c r="O548">
        <v>4</v>
      </c>
      <c r="P548">
        <v>0.08447177119769855</v>
      </c>
      <c r="Q548">
        <v>0.563923365975859</v>
      </c>
      <c r="R548" t="s">
        <v>782</v>
      </c>
      <c r="S548" t="s">
        <v>794</v>
      </c>
      <c r="T548">
        <v>26227.983222</v>
      </c>
      <c r="U548" s="2">
        <v>44500</v>
      </c>
      <c r="V548" t="s">
        <v>795</v>
      </c>
    </row>
    <row r="549" spans="1:22">
      <c r="A549" s="1" t="s">
        <v>569</v>
      </c>
      <c r="B549">
        <f>HYPERLINK("https://www.suredividend.com/sure-analysis-SBS/","Companhia de Saneamento Basico do Estado de Sao Paulo.")</f>
        <v>0</v>
      </c>
      <c r="C549">
        <v>7.06</v>
      </c>
      <c r="D549">
        <v>6.6</v>
      </c>
      <c r="E549">
        <v>1.06969696969697</v>
      </c>
      <c r="F549">
        <v>0.0226628895184136</v>
      </c>
      <c r="G549">
        <v>-0.0133846980232093</v>
      </c>
      <c r="H549">
        <v>0.05</v>
      </c>
      <c r="I549">
        <v>0.05756585907902556</v>
      </c>
      <c r="J549" t="s">
        <v>526</v>
      </c>
      <c r="K549" t="s">
        <v>526</v>
      </c>
      <c r="L549">
        <v>0.57</v>
      </c>
      <c r="M549">
        <v>0.16</v>
      </c>
      <c r="N549">
        <v>0.280701754385965</v>
      </c>
      <c r="O549">
        <v>0</v>
      </c>
      <c r="P549">
        <v>0.04563955259127317</v>
      </c>
      <c r="Q549">
        <v>-0.1868326787298</v>
      </c>
      <c r="R549" t="s">
        <v>780</v>
      </c>
      <c r="S549" t="s">
        <v>792</v>
      </c>
      <c r="T549">
        <v>4825.579675</v>
      </c>
      <c r="U549" s="2">
        <v>44513</v>
      </c>
      <c r="V549" t="s">
        <v>795</v>
      </c>
    </row>
    <row r="550" spans="1:22">
      <c r="A550" s="1" t="s">
        <v>570</v>
      </c>
      <c r="B550">
        <f>HYPERLINK("https://www.suredividend.com/sure-analysis-NGG/","National Grid Plc")</f>
        <v>0</v>
      </c>
      <c r="C550">
        <v>72.37</v>
      </c>
      <c r="D550">
        <v>62</v>
      </c>
      <c r="E550">
        <v>1.167258064516129</v>
      </c>
      <c r="F550">
        <v>0.04960619041039104</v>
      </c>
      <c r="G550">
        <v>-0.03045800855955982</v>
      </c>
      <c r="H550">
        <v>0.04</v>
      </c>
      <c r="I550">
        <v>0.05739056470501747</v>
      </c>
      <c r="J550" t="s">
        <v>526</v>
      </c>
      <c r="K550" t="s">
        <v>777</v>
      </c>
      <c r="L550">
        <v>4.16</v>
      </c>
      <c r="M550">
        <v>3.59</v>
      </c>
      <c r="N550">
        <v>0.8629807692307692</v>
      </c>
      <c r="O550">
        <v>0</v>
      </c>
      <c r="P550">
        <v>0.0401055114467892</v>
      </c>
      <c r="Q550">
        <v>0.318097291862839</v>
      </c>
      <c r="R550" t="s">
        <v>780</v>
      </c>
      <c r="S550" t="s">
        <v>792</v>
      </c>
      <c r="T550">
        <v>52353.8373</v>
      </c>
      <c r="U550" s="2">
        <v>44528</v>
      </c>
      <c r="V550" t="s">
        <v>800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115.02</v>
      </c>
      <c r="D551">
        <v>96</v>
      </c>
      <c r="E551">
        <v>1.198125</v>
      </c>
      <c r="F551">
        <v>0.01564945226917058</v>
      </c>
      <c r="G551">
        <v>-0.03550590303752121</v>
      </c>
      <c r="H551">
        <v>0.08</v>
      </c>
      <c r="I551">
        <v>0.05665105986839047</v>
      </c>
      <c r="J551" t="s">
        <v>526</v>
      </c>
      <c r="K551" t="s">
        <v>778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0.374551555841306</v>
      </c>
      <c r="R551" t="s">
        <v>780</v>
      </c>
      <c r="S551" t="s">
        <v>789</v>
      </c>
      <c r="T551">
        <v>4428.470825</v>
      </c>
      <c r="U551" s="2">
        <v>44502</v>
      </c>
      <c r="V551" t="s">
        <v>802</v>
      </c>
    </row>
    <row r="552" spans="1:22">
      <c r="A552" s="1" t="s">
        <v>572</v>
      </c>
      <c r="B552">
        <f>HYPERLINK("https://www.suredividend.com/sure-analysis-MPW/","Medical Properties Trust Inc")</f>
        <v>0</v>
      </c>
      <c r="C552">
        <v>22.66</v>
      </c>
      <c r="D552">
        <v>21.9</v>
      </c>
      <c r="E552">
        <v>1.034703196347032</v>
      </c>
      <c r="F552">
        <v>0.04942630185348632</v>
      </c>
      <c r="G552">
        <v>-0.006799700458140379</v>
      </c>
      <c r="H552">
        <v>0.014</v>
      </c>
      <c r="I552">
        <v>0.05635504242574263</v>
      </c>
      <c r="J552" t="s">
        <v>526</v>
      </c>
      <c r="K552" t="s">
        <v>345</v>
      </c>
      <c r="L552">
        <v>1.75</v>
      </c>
      <c r="M552">
        <v>1.12</v>
      </c>
      <c r="N552">
        <v>0.64</v>
      </c>
      <c r="O552">
        <v>9</v>
      </c>
      <c r="P552">
        <v>0.04111932758460823</v>
      </c>
      <c r="Q552">
        <v>0.101679258675845</v>
      </c>
      <c r="R552" t="s">
        <v>782</v>
      </c>
      <c r="S552" t="s">
        <v>794</v>
      </c>
      <c r="T552">
        <v>13512.158</v>
      </c>
      <c r="U552" s="2">
        <v>44503</v>
      </c>
      <c r="V552" t="s">
        <v>805</v>
      </c>
    </row>
    <row r="553" spans="1:22">
      <c r="A553" s="1" t="s">
        <v>573</v>
      </c>
      <c r="B553">
        <f>HYPERLINK("https://www.suredividend.com/sure-analysis-NTAP/","Netapp Inc")</f>
        <v>0</v>
      </c>
      <c r="C553">
        <v>90.63</v>
      </c>
      <c r="D553">
        <v>80</v>
      </c>
      <c r="E553">
        <v>1.132875</v>
      </c>
      <c r="F553">
        <v>0.022067747986318</v>
      </c>
      <c r="G553">
        <v>-0.02464300850751722</v>
      </c>
      <c r="H553">
        <v>0.06</v>
      </c>
      <c r="I553">
        <v>0.05601124017417658</v>
      </c>
      <c r="J553" t="s">
        <v>526</v>
      </c>
      <c r="K553" t="s">
        <v>526</v>
      </c>
      <c r="L553">
        <v>5</v>
      </c>
      <c r="M553">
        <v>2</v>
      </c>
      <c r="N553">
        <v>0.4</v>
      </c>
      <c r="O553">
        <v>7</v>
      </c>
      <c r="P553">
        <v>0.0602809527753625</v>
      </c>
      <c r="Q553">
        <v>0.396602417510617</v>
      </c>
      <c r="R553" t="s">
        <v>780</v>
      </c>
      <c r="S553" t="s">
        <v>787</v>
      </c>
      <c r="T553">
        <v>20145.031667</v>
      </c>
      <c r="U553" s="2">
        <v>44546</v>
      </c>
      <c r="V553" t="s">
        <v>799</v>
      </c>
    </row>
    <row r="554" spans="1:22">
      <c r="A554" s="1" t="s">
        <v>574</v>
      </c>
      <c r="B554">
        <f>HYPERLINK("https://www.suredividend.com/sure-analysis-UE/","Urban Edge Properties")</f>
        <v>0</v>
      </c>
      <c r="C554">
        <v>18.35</v>
      </c>
      <c r="D554">
        <v>18</v>
      </c>
      <c r="E554">
        <v>1.019444444444445</v>
      </c>
      <c r="F554">
        <v>0.0326975476839237</v>
      </c>
      <c r="G554">
        <v>-0.003844155564408314</v>
      </c>
      <c r="H554">
        <v>0.03</v>
      </c>
      <c r="I554">
        <v>0.05476791007926018</v>
      </c>
      <c r="J554" t="s">
        <v>526</v>
      </c>
      <c r="K554" t="s">
        <v>526</v>
      </c>
      <c r="L554">
        <v>1.08</v>
      </c>
      <c r="M554">
        <v>0.6</v>
      </c>
      <c r="N554">
        <v>0.5555555555555555</v>
      </c>
      <c r="O554">
        <v>0</v>
      </c>
      <c r="P554">
        <v>0.009805797673485328</v>
      </c>
      <c r="Q554">
        <v>0.4505470182761021</v>
      </c>
      <c r="R554" t="s">
        <v>782</v>
      </c>
      <c r="S554" t="s">
        <v>794</v>
      </c>
      <c r="T554">
        <v>2149.47841</v>
      </c>
      <c r="U554" s="2">
        <v>44512</v>
      </c>
      <c r="V554" t="s">
        <v>802</v>
      </c>
    </row>
    <row r="555" spans="1:22">
      <c r="A555" s="1" t="s">
        <v>575</v>
      </c>
      <c r="B555">
        <f>HYPERLINK("https://www.suredividend.com/sure-analysis-BXP/","Boston Properties, Inc.")</f>
        <v>0</v>
      </c>
      <c r="C555">
        <v>114.26</v>
      </c>
      <c r="D555">
        <v>103</v>
      </c>
      <c r="E555">
        <v>1.109320388349515</v>
      </c>
      <c r="F555">
        <v>0.03430771923682829</v>
      </c>
      <c r="G555">
        <v>-0.0205357231003308</v>
      </c>
      <c r="H555">
        <v>0.044</v>
      </c>
      <c r="I555">
        <v>0.05302371819619478</v>
      </c>
      <c r="J555" t="s">
        <v>526</v>
      </c>
      <c r="K555" t="s">
        <v>526</v>
      </c>
      <c r="L555">
        <v>6.45</v>
      </c>
      <c r="M555">
        <v>3.92</v>
      </c>
      <c r="N555">
        <v>0.6077519379844961</v>
      </c>
      <c r="O555">
        <v>5</v>
      </c>
      <c r="P555">
        <v>0.01000199077119301</v>
      </c>
      <c r="Q555">
        <v>0.280750740080234</v>
      </c>
      <c r="R555" t="s">
        <v>782</v>
      </c>
      <c r="S555" t="s">
        <v>794</v>
      </c>
      <c r="T555">
        <v>17848.205421</v>
      </c>
      <c r="U555" s="2">
        <v>44503</v>
      </c>
      <c r="V555" t="s">
        <v>805</v>
      </c>
    </row>
    <row r="556" spans="1:22">
      <c r="A556" s="1" t="s">
        <v>576</v>
      </c>
      <c r="B556">
        <f>HYPERLINK("https://www.suredividend.com/sure-analysis-DEA/","Easterly Government Properties Inc")</f>
        <v>0</v>
      </c>
      <c r="C556">
        <v>22.52</v>
      </c>
      <c r="D556">
        <v>20.8</v>
      </c>
      <c r="E556">
        <v>1.082692307692308</v>
      </c>
      <c r="F556">
        <v>0.04706927175843695</v>
      </c>
      <c r="G556">
        <v>-0.0157645807236183</v>
      </c>
      <c r="H556">
        <v>0.021</v>
      </c>
      <c r="I556">
        <v>0.05244525569736602</v>
      </c>
      <c r="J556" t="s">
        <v>526</v>
      </c>
      <c r="K556" t="s">
        <v>777</v>
      </c>
      <c r="L556">
        <v>1.31</v>
      </c>
      <c r="M556">
        <v>1.06</v>
      </c>
      <c r="N556">
        <v>0.8091603053435115</v>
      </c>
      <c r="O556">
        <v>1</v>
      </c>
      <c r="P556">
        <v>0.04166362161741732</v>
      </c>
      <c r="Q556">
        <v>0.067293519935924</v>
      </c>
      <c r="R556" t="s">
        <v>782</v>
      </c>
      <c r="S556" t="s">
        <v>794</v>
      </c>
      <c r="T556">
        <v>1939.828616</v>
      </c>
      <c r="U556" s="2">
        <v>44506</v>
      </c>
      <c r="V556" t="s">
        <v>805</v>
      </c>
    </row>
    <row r="557" spans="1:22">
      <c r="A557" s="1" t="s">
        <v>577</v>
      </c>
      <c r="B557">
        <f>HYPERLINK("https://www.suredividend.com/sure-analysis-RPT/","RPT Realty")</f>
        <v>0</v>
      </c>
      <c r="C557">
        <v>12.98</v>
      </c>
      <c r="D557">
        <v>11.96</v>
      </c>
      <c r="E557">
        <v>1.085284280936455</v>
      </c>
      <c r="F557">
        <v>0.03697996918335901</v>
      </c>
      <c r="G557">
        <v>-0.01623515834708433</v>
      </c>
      <c r="H557">
        <v>0.025</v>
      </c>
      <c r="I557">
        <v>0.05228317757481737</v>
      </c>
      <c r="J557" t="s">
        <v>526</v>
      </c>
      <c r="K557" t="s">
        <v>345</v>
      </c>
      <c r="L557">
        <v>0.92</v>
      </c>
      <c r="M557">
        <v>0.48</v>
      </c>
      <c r="N557">
        <v>0.5217391304347826</v>
      </c>
      <c r="O557">
        <v>1</v>
      </c>
      <c r="P557">
        <v>0.09913211517808418</v>
      </c>
      <c r="Q557">
        <v>0.6158950290686811</v>
      </c>
      <c r="R557" t="s">
        <v>782</v>
      </c>
      <c r="S557" t="s">
        <v>794</v>
      </c>
      <c r="T557">
        <v>1094.080033</v>
      </c>
      <c r="U557" s="2">
        <v>44535</v>
      </c>
      <c r="V557" t="s">
        <v>795</v>
      </c>
    </row>
    <row r="558" spans="1:22">
      <c r="A558" s="1" t="s">
        <v>578</v>
      </c>
      <c r="B558">
        <f>HYPERLINK("https://www.suredividend.com/sure-analysis-ALV/","Autoliv Inc.")</f>
        <v>0</v>
      </c>
      <c r="C558">
        <v>101.06</v>
      </c>
      <c r="D558">
        <v>71</v>
      </c>
      <c r="E558">
        <v>1.423380281690141</v>
      </c>
      <c r="F558">
        <v>0.02533148624579458</v>
      </c>
      <c r="G558">
        <v>-0.06817188247821093</v>
      </c>
      <c r="H558">
        <v>0.1</v>
      </c>
      <c r="I558">
        <v>0.05149869600667745</v>
      </c>
      <c r="J558" t="s">
        <v>526</v>
      </c>
      <c r="K558" t="s">
        <v>526</v>
      </c>
      <c r="L558">
        <v>5.1</v>
      </c>
      <c r="M558">
        <v>2.56</v>
      </c>
      <c r="N558">
        <v>0.5019607843137255</v>
      </c>
      <c r="O558">
        <v>1</v>
      </c>
      <c r="P558">
        <v>0.06576275663547415</v>
      </c>
      <c r="Q558">
        <v>0.09905646013772401</v>
      </c>
      <c r="R558" t="s">
        <v>780</v>
      </c>
      <c r="S558" t="s">
        <v>788</v>
      </c>
      <c r="T558">
        <v>8839.92224</v>
      </c>
      <c r="U558" s="2">
        <v>44493</v>
      </c>
      <c r="V558" t="s">
        <v>801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23.55</v>
      </c>
      <c r="D559">
        <v>19</v>
      </c>
      <c r="E559">
        <v>1.239473684210526</v>
      </c>
      <c r="F559">
        <v>0.0267515923566879</v>
      </c>
      <c r="G559">
        <v>-0.04202861239621924</v>
      </c>
      <c r="H559">
        <v>0.07000000000000001</v>
      </c>
      <c r="I559">
        <v>0.05105166558942509</v>
      </c>
      <c r="J559" t="s">
        <v>526</v>
      </c>
      <c r="K559" t="s">
        <v>526</v>
      </c>
      <c r="L559">
        <v>1.54</v>
      </c>
      <c r="M559">
        <v>0.63</v>
      </c>
      <c r="N559">
        <v>0.4090909090909091</v>
      </c>
      <c r="O559">
        <v>11</v>
      </c>
      <c r="P559">
        <v>0.04095039696925684</v>
      </c>
      <c r="Q559">
        <v>0.027110483069032</v>
      </c>
      <c r="R559" t="s">
        <v>780</v>
      </c>
      <c r="S559" t="s">
        <v>793</v>
      </c>
      <c r="T559">
        <v>15701.110673</v>
      </c>
      <c r="U559" s="2">
        <v>44513</v>
      </c>
      <c r="V559" t="s">
        <v>802</v>
      </c>
    </row>
    <row r="560" spans="1:22">
      <c r="A560" s="1" t="s">
        <v>580</v>
      </c>
      <c r="B560">
        <f>HYPERLINK("https://www.suredividend.com/sure-analysis-WPP/","WPP Plc.")</f>
        <v>0</v>
      </c>
      <c r="C560">
        <v>74.53</v>
      </c>
      <c r="D560">
        <v>72</v>
      </c>
      <c r="E560">
        <v>1.035138888888889</v>
      </c>
      <c r="F560">
        <v>0.02307795518583121</v>
      </c>
      <c r="G560">
        <v>-0.00688332263502478</v>
      </c>
      <c r="H560">
        <v>0.03</v>
      </c>
      <c r="I560">
        <v>0.04560905797218329</v>
      </c>
      <c r="J560" t="s">
        <v>526</v>
      </c>
      <c r="K560" t="s">
        <v>526</v>
      </c>
      <c r="L560">
        <v>5.15</v>
      </c>
      <c r="M560">
        <v>1.72</v>
      </c>
      <c r="N560">
        <v>0.3339805825242718</v>
      </c>
      <c r="O560">
        <v>0</v>
      </c>
      <c r="P560">
        <v>0.03973716477033884</v>
      </c>
      <c r="Q560">
        <v>0.3989807506405501</v>
      </c>
      <c r="R560" t="s">
        <v>780</v>
      </c>
      <c r="S560" t="s">
        <v>784</v>
      </c>
      <c r="T560">
        <v>17269.351294</v>
      </c>
      <c r="U560" s="2">
        <v>44526</v>
      </c>
      <c r="V560" t="s">
        <v>801</v>
      </c>
    </row>
    <row r="561" spans="1:22">
      <c r="A561" s="1" t="s">
        <v>581</v>
      </c>
      <c r="B561">
        <f>HYPERLINK("https://www.suredividend.com/sure-analysis-MAC/","Macerich Co.")</f>
        <v>0</v>
      </c>
      <c r="C561">
        <v>17.03</v>
      </c>
      <c r="D561">
        <v>15</v>
      </c>
      <c r="E561">
        <v>1.135333333333333</v>
      </c>
      <c r="F561">
        <v>0.03523194362889019</v>
      </c>
      <c r="G561">
        <v>-0.02506576224405221</v>
      </c>
      <c r="H561">
        <v>0.03</v>
      </c>
      <c r="I561">
        <v>0.04464371339437978</v>
      </c>
      <c r="J561" t="s">
        <v>526</v>
      </c>
      <c r="K561" t="s">
        <v>345</v>
      </c>
      <c r="L561">
        <v>1.93</v>
      </c>
      <c r="M561">
        <v>0.6</v>
      </c>
      <c r="N561">
        <v>0.310880829015544</v>
      </c>
      <c r="O561">
        <v>0</v>
      </c>
      <c r="P561">
        <v>0.0796084730466029</v>
      </c>
      <c r="Q561">
        <v>0.652740171388088</v>
      </c>
      <c r="R561" t="s">
        <v>782</v>
      </c>
      <c r="S561" t="s">
        <v>794</v>
      </c>
      <c r="T561">
        <v>3628.03135</v>
      </c>
      <c r="U561" s="2">
        <v>44509</v>
      </c>
      <c r="V561" t="s">
        <v>803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28.08</v>
      </c>
      <c r="D562">
        <v>25</v>
      </c>
      <c r="E562">
        <v>1.1232</v>
      </c>
      <c r="F562">
        <v>0.03561253561253561</v>
      </c>
      <c r="G562">
        <v>-0.02296846575950329</v>
      </c>
      <c r="H562">
        <v>0.029</v>
      </c>
      <c r="I562">
        <v>0.04072617633990627</v>
      </c>
      <c r="J562" t="s">
        <v>526</v>
      </c>
      <c r="K562" t="s">
        <v>345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0.019433865680148</v>
      </c>
      <c r="R562" t="s">
        <v>780</v>
      </c>
      <c r="S562" t="s">
        <v>788</v>
      </c>
      <c r="T562">
        <v>50864.910314</v>
      </c>
      <c r="U562" s="2">
        <v>44507</v>
      </c>
      <c r="V562" t="s">
        <v>796</v>
      </c>
    </row>
    <row r="563" spans="1:22">
      <c r="A563" s="1" t="s">
        <v>583</v>
      </c>
      <c r="B563">
        <f>HYPERLINK("https://www.suredividend.com/sure-analysis-MPWR/","Monolithic Power System Inc")</f>
        <v>0</v>
      </c>
      <c r="C563">
        <v>495.6</v>
      </c>
      <c r="D563">
        <v>266</v>
      </c>
      <c r="E563">
        <v>1.863157894736842</v>
      </c>
      <c r="F563">
        <v>0.004842615012106537</v>
      </c>
      <c r="G563">
        <v>-0.1170216242431644</v>
      </c>
      <c r="H563">
        <v>0.17</v>
      </c>
      <c r="I563">
        <v>0.04056685770975221</v>
      </c>
      <c r="J563" t="s">
        <v>526</v>
      </c>
      <c r="K563" t="s">
        <v>778</v>
      </c>
      <c r="L563">
        <v>7.2</v>
      </c>
      <c r="M563">
        <v>2.4</v>
      </c>
      <c r="N563">
        <v>0.3333333333333333</v>
      </c>
      <c r="O563">
        <v>4</v>
      </c>
      <c r="P563">
        <v>0.1999209000665154</v>
      </c>
      <c r="Q563">
        <v>0.4088807244307761</v>
      </c>
      <c r="R563" t="s">
        <v>780</v>
      </c>
      <c r="S563" t="s">
        <v>787</v>
      </c>
      <c r="T563">
        <v>22843.6908</v>
      </c>
      <c r="U563" s="2">
        <v>44500</v>
      </c>
      <c r="V563" t="s">
        <v>795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18.25</v>
      </c>
      <c r="D564">
        <v>16</v>
      </c>
      <c r="E564">
        <v>1.140625</v>
      </c>
      <c r="F564">
        <v>0.05041095890410959</v>
      </c>
      <c r="G564">
        <v>-0.02597204211522364</v>
      </c>
      <c r="H564">
        <v>0.017</v>
      </c>
      <c r="I564">
        <v>0.03814908215007629</v>
      </c>
      <c r="J564" t="s">
        <v>526</v>
      </c>
      <c r="K564" t="s">
        <v>777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0.07772620439594101</v>
      </c>
      <c r="R564" t="s">
        <v>782</v>
      </c>
      <c r="S564" t="s">
        <v>794</v>
      </c>
      <c r="T564">
        <v>4020.283083</v>
      </c>
      <c r="U564" s="2">
        <v>44506</v>
      </c>
      <c r="V564" t="s">
        <v>796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19.23</v>
      </c>
      <c r="D565">
        <v>18</v>
      </c>
      <c r="E565">
        <v>1.068333333333333</v>
      </c>
      <c r="F565">
        <v>0.03796151846073843</v>
      </c>
      <c r="G565">
        <v>-0.01313296046547929</v>
      </c>
      <c r="H565">
        <v>0.015</v>
      </c>
      <c r="I565">
        <v>0.03789357601613141</v>
      </c>
      <c r="J565" t="s">
        <v>526</v>
      </c>
      <c r="K565" t="s">
        <v>345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0.946218385337071</v>
      </c>
      <c r="R565" t="s">
        <v>782</v>
      </c>
      <c r="S565" t="s">
        <v>794</v>
      </c>
      <c r="T565">
        <v>1999.622589</v>
      </c>
      <c r="U565" s="2">
        <v>44511</v>
      </c>
      <c r="V565" t="s">
        <v>802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34.13</v>
      </c>
      <c r="D566">
        <v>26</v>
      </c>
      <c r="E566">
        <v>1.312692307692308</v>
      </c>
      <c r="F566">
        <v>0.02343978904189862</v>
      </c>
      <c r="G566">
        <v>-0.05296198588369572</v>
      </c>
      <c r="H566">
        <v>0.07000000000000001</v>
      </c>
      <c r="I566">
        <v>0.03789076241792411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0.5729705315746291</v>
      </c>
      <c r="R566" t="s">
        <v>780</v>
      </c>
      <c r="S566" t="s">
        <v>787</v>
      </c>
      <c r="T566">
        <v>11098.431387</v>
      </c>
      <c r="U566" s="2">
        <v>44498</v>
      </c>
      <c r="V566" t="s">
        <v>802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23.23</v>
      </c>
      <c r="D567">
        <v>15</v>
      </c>
      <c r="E567">
        <v>1.548666666666667</v>
      </c>
      <c r="F567">
        <v>0.04520017219113216</v>
      </c>
      <c r="G567">
        <v>-0.08376176764821752</v>
      </c>
      <c r="H567">
        <v>0.08</v>
      </c>
      <c r="I567">
        <v>0.03649448439750236</v>
      </c>
      <c r="J567" t="s">
        <v>526</v>
      </c>
      <c r="K567" t="s">
        <v>345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0.221943431856796</v>
      </c>
      <c r="R567" t="s">
        <v>780</v>
      </c>
      <c r="S567" t="s">
        <v>784</v>
      </c>
      <c r="T567">
        <v>31611.031252</v>
      </c>
      <c r="U567" s="2">
        <v>44522</v>
      </c>
      <c r="V567" t="s">
        <v>803</v>
      </c>
    </row>
    <row r="568" spans="1:22">
      <c r="A568" s="1" t="s">
        <v>588</v>
      </c>
      <c r="B568">
        <f>HYPERLINK("https://www.suredividend.com/sure-analysis-APO/","Apollo Global Management Inc")</f>
        <v>0</v>
      </c>
      <c r="C568">
        <v>74.27</v>
      </c>
      <c r="D568">
        <v>60</v>
      </c>
      <c r="E568">
        <v>1.237833333333333</v>
      </c>
      <c r="F568">
        <v>0.02827521206409048</v>
      </c>
      <c r="G568">
        <v>-0.04177485013826343</v>
      </c>
      <c r="H568">
        <v>0.05</v>
      </c>
      <c r="I568">
        <v>0.03628959581226643</v>
      </c>
      <c r="J568" t="s">
        <v>526</v>
      </c>
      <c r="K568" t="s">
        <v>526</v>
      </c>
      <c r="L568">
        <v>4.6</v>
      </c>
      <c r="M568">
        <v>2.1</v>
      </c>
      <c r="N568">
        <v>0.4565217391304348</v>
      </c>
      <c r="O568">
        <v>0</v>
      </c>
      <c r="P568">
        <v>0.04998501218567775</v>
      </c>
      <c r="Q568">
        <v>0.5981735159817351</v>
      </c>
      <c r="R568" t="s">
        <v>780</v>
      </c>
      <c r="S568" t="s">
        <v>789</v>
      </c>
      <c r="T568">
        <v>18313.458128</v>
      </c>
      <c r="U568" s="2">
        <v>44522</v>
      </c>
      <c r="V568" t="s">
        <v>801</v>
      </c>
    </row>
    <row r="569" spans="1:22">
      <c r="A569" s="1" t="s">
        <v>589</v>
      </c>
      <c r="B569">
        <f>HYPERLINK("https://www.suredividend.com/sure-analysis-CAJ/","Canon Inc")</f>
        <v>0</v>
      </c>
      <c r="C569">
        <v>25.07</v>
      </c>
      <c r="D569">
        <v>22</v>
      </c>
      <c r="E569">
        <v>1.139545454545455</v>
      </c>
      <c r="F569">
        <v>0.03071400079776625</v>
      </c>
      <c r="G569">
        <v>-0.02578756343216171</v>
      </c>
      <c r="H569">
        <v>0.03</v>
      </c>
      <c r="I569">
        <v>0.03205461184685521</v>
      </c>
      <c r="J569" t="s">
        <v>526</v>
      </c>
      <c r="K569" t="s">
        <v>526</v>
      </c>
      <c r="L569">
        <v>1.8</v>
      </c>
      <c r="M569">
        <v>0.77</v>
      </c>
      <c r="N569">
        <v>0.4277777777777778</v>
      </c>
      <c r="O569">
        <v>0</v>
      </c>
      <c r="P569">
        <v>0</v>
      </c>
      <c r="Q569">
        <v>0.330269874454785</v>
      </c>
      <c r="R569" t="s">
        <v>780</v>
      </c>
      <c r="S569" t="s">
        <v>787</v>
      </c>
      <c r="T569">
        <v>33437.450042</v>
      </c>
      <c r="U569" s="2">
        <v>44505</v>
      </c>
      <c r="V569" t="s">
        <v>797</v>
      </c>
    </row>
    <row r="570" spans="1:22">
      <c r="A570" s="1" t="s">
        <v>590</v>
      </c>
      <c r="B570">
        <f>HYPERLINK("https://www.suredividend.com/sure-analysis-TSM/","Taiwan Semiconductor Manufacturing")</f>
        <v>0</v>
      </c>
      <c r="C570">
        <v>120.68</v>
      </c>
      <c r="D570">
        <v>72</v>
      </c>
      <c r="E570">
        <v>1.676111111111111</v>
      </c>
      <c r="F570">
        <v>0.01657275439177991</v>
      </c>
      <c r="G570">
        <v>-0.0981393483572266</v>
      </c>
      <c r="H570">
        <v>0.12</v>
      </c>
      <c r="I570">
        <v>0.02950317946845704</v>
      </c>
      <c r="J570" t="s">
        <v>526</v>
      </c>
      <c r="K570" t="s">
        <v>778</v>
      </c>
      <c r="L570">
        <v>4.05</v>
      </c>
      <c r="M570">
        <v>2</v>
      </c>
      <c r="N570">
        <v>0.4938271604938272</v>
      </c>
      <c r="O570">
        <v>7</v>
      </c>
      <c r="P570">
        <v>0.08009875865888949</v>
      </c>
      <c r="Q570">
        <v>0.181612742775007</v>
      </c>
      <c r="R570" t="s">
        <v>780</v>
      </c>
      <c r="S570" t="s">
        <v>787</v>
      </c>
      <c r="T570">
        <v>625855.662783</v>
      </c>
      <c r="U570" s="2">
        <v>44490</v>
      </c>
      <c r="V570" t="s">
        <v>803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199.39</v>
      </c>
      <c r="D571">
        <v>152</v>
      </c>
      <c r="E571">
        <v>1.311776315789474</v>
      </c>
      <c r="F571">
        <v>0.02948994433020713</v>
      </c>
      <c r="G571">
        <v>-0.05282976258540251</v>
      </c>
      <c r="H571">
        <v>0.05</v>
      </c>
      <c r="I571">
        <v>0.02726701435106915</v>
      </c>
      <c r="J571" t="s">
        <v>526</v>
      </c>
      <c r="K571" t="s">
        <v>526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0.347243384223488</v>
      </c>
      <c r="R571" t="s">
        <v>782</v>
      </c>
      <c r="S571" t="s">
        <v>794</v>
      </c>
      <c r="T571">
        <v>86177.005619</v>
      </c>
      <c r="U571" s="2">
        <v>44493</v>
      </c>
      <c r="V571" t="s">
        <v>801</v>
      </c>
    </row>
    <row r="572" spans="1:22">
      <c r="A572" s="1" t="s">
        <v>592</v>
      </c>
      <c r="B572">
        <f>HYPERLINK("https://www.suredividend.com/sure-analysis-UBS/","UBS Group AG")</f>
        <v>0</v>
      </c>
      <c r="C572">
        <v>17.82</v>
      </c>
      <c r="D572">
        <v>16</v>
      </c>
      <c r="E572">
        <v>1.11375</v>
      </c>
      <c r="F572">
        <v>0.0207631874298541</v>
      </c>
      <c r="G572">
        <v>-0.02131607150221693</v>
      </c>
      <c r="H572">
        <v>0.02</v>
      </c>
      <c r="I572">
        <v>0.02076936568086429</v>
      </c>
      <c r="J572" t="s">
        <v>526</v>
      </c>
      <c r="K572" t="s">
        <v>526</v>
      </c>
      <c r="L572">
        <v>1.35</v>
      </c>
      <c r="M572">
        <v>0.37</v>
      </c>
      <c r="N572">
        <v>0.274074074074074</v>
      </c>
      <c r="O572">
        <v>0</v>
      </c>
      <c r="P572">
        <v>0.03992533304330625</v>
      </c>
      <c r="Q572">
        <v>0.276641472937636</v>
      </c>
      <c r="R572" t="s">
        <v>780</v>
      </c>
      <c r="S572" t="s">
        <v>789</v>
      </c>
      <c r="T572">
        <v>65977.177771</v>
      </c>
      <c r="U572" s="2">
        <v>44498</v>
      </c>
      <c r="V572" t="s">
        <v>803</v>
      </c>
    </row>
    <row r="573" spans="1:22">
      <c r="A573" s="1" t="s">
        <v>593</v>
      </c>
      <c r="B573">
        <f>HYPERLINK("https://www.suredividend.com/sure-analysis-CNQ/","Canadian Natural Resources Ltd.")</f>
        <v>0</v>
      </c>
      <c r="C573">
        <v>40.54</v>
      </c>
      <c r="D573">
        <v>50</v>
      </c>
      <c r="E573">
        <v>0.8108</v>
      </c>
      <c r="F573">
        <v>0.04662062160828811</v>
      </c>
      <c r="G573">
        <v>0.04283896995939029</v>
      </c>
      <c r="H573">
        <v>-0.07000000000000001</v>
      </c>
      <c r="I573">
        <v>0.0196369524670621</v>
      </c>
      <c r="J573" t="s">
        <v>526</v>
      </c>
      <c r="K573" t="s">
        <v>345</v>
      </c>
      <c r="L573">
        <v>4.2</v>
      </c>
      <c r="M573">
        <v>1.89</v>
      </c>
      <c r="N573">
        <v>0.45</v>
      </c>
      <c r="O573">
        <v>5</v>
      </c>
      <c r="P573">
        <v>0.01539184863075338</v>
      </c>
      <c r="Q573">
        <v>0.7612073871658631</v>
      </c>
      <c r="R573" t="s">
        <v>780</v>
      </c>
      <c r="S573" t="s">
        <v>793</v>
      </c>
      <c r="T573">
        <v>47720.382936</v>
      </c>
      <c r="U573" s="2">
        <v>44522</v>
      </c>
      <c r="V573" t="s">
        <v>803</v>
      </c>
    </row>
    <row r="574" spans="1:22">
      <c r="A574" s="1" t="s">
        <v>594</v>
      </c>
      <c r="B574">
        <f>HYPERLINK("https://www.suredividend.com/sure-analysis-RGA/","Reinsurance Group Of America, Inc.")</f>
        <v>0</v>
      </c>
      <c r="C574">
        <v>109.44</v>
      </c>
      <c r="D574">
        <v>50</v>
      </c>
      <c r="E574">
        <v>2.1888</v>
      </c>
      <c r="F574">
        <v>0.0266812865497076</v>
      </c>
      <c r="G574">
        <v>-0.1450144319736814</v>
      </c>
      <c r="H574">
        <v>0.15</v>
      </c>
      <c r="I574">
        <v>0.01792833103865199</v>
      </c>
      <c r="J574" t="s">
        <v>526</v>
      </c>
      <c r="K574" t="s">
        <v>526</v>
      </c>
      <c r="L574">
        <v>4.2</v>
      </c>
      <c r="M574">
        <v>2.92</v>
      </c>
      <c r="N574">
        <v>0.6952380952380952</v>
      </c>
      <c r="O574">
        <v>11</v>
      </c>
      <c r="P574">
        <v>0.08986498009382693</v>
      </c>
      <c r="Q574">
        <v>-0.021143269599718</v>
      </c>
      <c r="R574" t="s">
        <v>780</v>
      </c>
      <c r="S574" t="s">
        <v>789</v>
      </c>
      <c r="T574">
        <v>7398.160525</v>
      </c>
      <c r="U574" s="2">
        <v>44511</v>
      </c>
      <c r="V574" t="s">
        <v>802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183.78</v>
      </c>
      <c r="D575">
        <v>150</v>
      </c>
      <c r="E575">
        <v>1.2252</v>
      </c>
      <c r="F575">
        <v>0.02394166938731092</v>
      </c>
      <c r="G575">
        <v>-0.03980685226041158</v>
      </c>
      <c r="H575">
        <v>0.03</v>
      </c>
      <c r="I575">
        <v>0.01284571828871495</v>
      </c>
      <c r="J575" t="s">
        <v>526</v>
      </c>
      <c r="K575" t="s">
        <v>526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0.24951642259464</v>
      </c>
      <c r="R575" t="s">
        <v>780</v>
      </c>
      <c r="S575" t="s">
        <v>788</v>
      </c>
      <c r="T575">
        <v>299836.83954</v>
      </c>
      <c r="U575" s="2">
        <v>44529</v>
      </c>
      <c r="V575" t="s">
        <v>797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111.42</v>
      </c>
      <c r="D576">
        <v>89</v>
      </c>
      <c r="E576">
        <v>1.251910112359551</v>
      </c>
      <c r="F576">
        <v>0.02513013821576018</v>
      </c>
      <c r="G576">
        <v>-0.04393951104997318</v>
      </c>
      <c r="H576">
        <v>0.03</v>
      </c>
      <c r="I576">
        <v>0.01199905394532985</v>
      </c>
      <c r="J576" t="s">
        <v>526</v>
      </c>
      <c r="K576" t="s">
        <v>526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0.135799499073888</v>
      </c>
      <c r="R576" t="s">
        <v>780</v>
      </c>
      <c r="S576" t="s">
        <v>787</v>
      </c>
      <c r="T576">
        <v>24806.096992</v>
      </c>
      <c r="U576" s="2">
        <v>44507</v>
      </c>
      <c r="V576" t="s">
        <v>797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24.49</v>
      </c>
      <c r="D577">
        <v>20</v>
      </c>
      <c r="E577">
        <v>1.2245</v>
      </c>
      <c r="F577">
        <v>0.03919967333605553</v>
      </c>
      <c r="G577">
        <v>-0.03969709618650763</v>
      </c>
      <c r="H577">
        <v>0.006</v>
      </c>
      <c r="I577">
        <v>0.01108183858652678</v>
      </c>
      <c r="J577" t="s">
        <v>526</v>
      </c>
      <c r="K577" t="s">
        <v>345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0.584087968952134</v>
      </c>
      <c r="R577" t="s">
        <v>782</v>
      </c>
      <c r="S577" t="s">
        <v>794</v>
      </c>
      <c r="T577">
        <v>7273.247018</v>
      </c>
      <c r="U577" s="2">
        <v>44516</v>
      </c>
      <c r="V577" t="s">
        <v>804</v>
      </c>
    </row>
    <row r="578" spans="1:22">
      <c r="A578" s="1" t="s">
        <v>598</v>
      </c>
      <c r="B578">
        <f>HYPERLINK("https://www.suredividend.com/sure-analysis-SLB/","Schlumberger Ltd.")</f>
        <v>0</v>
      </c>
      <c r="C578">
        <v>29.57</v>
      </c>
      <c r="D578">
        <v>20</v>
      </c>
      <c r="E578">
        <v>1.4785</v>
      </c>
      <c r="F578">
        <v>0.01690902942171119</v>
      </c>
      <c r="G578">
        <v>-0.07522573774884589</v>
      </c>
      <c r="H578">
        <v>0.07000000000000001</v>
      </c>
      <c r="I578">
        <v>0.0102975259950997</v>
      </c>
      <c r="J578" t="s">
        <v>526</v>
      </c>
      <c r="K578" t="s">
        <v>778</v>
      </c>
      <c r="L578">
        <v>1.1</v>
      </c>
      <c r="M578">
        <v>0.5</v>
      </c>
      <c r="N578">
        <v>0.4545454545454545</v>
      </c>
      <c r="O578">
        <v>0</v>
      </c>
      <c r="P578">
        <v>0.06961037572506878</v>
      </c>
      <c r="Q578">
        <v>0.360722650947259</v>
      </c>
      <c r="R578" t="s">
        <v>780</v>
      </c>
      <c r="S578" t="s">
        <v>793</v>
      </c>
      <c r="T578">
        <v>41475.845568</v>
      </c>
      <c r="U578" s="2">
        <v>44493</v>
      </c>
      <c r="V578" t="s">
        <v>803</v>
      </c>
    </row>
    <row r="579" spans="1:22">
      <c r="A579" s="1" t="s">
        <v>599</v>
      </c>
      <c r="B579">
        <f>HYPERLINK("https://www.suredividend.com/sure-analysis-AVGO/","Broadcom Inc")</f>
        <v>0</v>
      </c>
      <c r="C579">
        <v>664.8</v>
      </c>
      <c r="D579">
        <v>420</v>
      </c>
      <c r="E579">
        <v>1.582857142857143</v>
      </c>
      <c r="F579">
        <v>0.0246690734055355</v>
      </c>
      <c r="G579">
        <v>-0.08775465500573265</v>
      </c>
      <c r="H579">
        <v>0.075</v>
      </c>
      <c r="I579">
        <v>0.01001392927543443</v>
      </c>
      <c r="J579" t="s">
        <v>526</v>
      </c>
      <c r="K579" t="s">
        <v>526</v>
      </c>
      <c r="L579">
        <v>28</v>
      </c>
      <c r="M579">
        <v>16.4</v>
      </c>
      <c r="N579">
        <v>0.5857142857142856</v>
      </c>
      <c r="O579">
        <v>11</v>
      </c>
      <c r="P579">
        <v>0.05228738264860588</v>
      </c>
      <c r="Q579">
        <v>0.6089430904147111</v>
      </c>
      <c r="R579" t="s">
        <v>780</v>
      </c>
      <c r="S579" t="s">
        <v>787</v>
      </c>
      <c r="T579">
        <v>274478.613926</v>
      </c>
      <c r="U579" s="2">
        <v>44453</v>
      </c>
      <c r="V579" t="s">
        <v>797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161.75</v>
      </c>
      <c r="D580">
        <v>99</v>
      </c>
      <c r="E580">
        <v>1.633838383838384</v>
      </c>
      <c r="F580">
        <v>0.01557959814528593</v>
      </c>
      <c r="G580">
        <v>-0.09352009494421898</v>
      </c>
      <c r="H580">
        <v>0.09</v>
      </c>
      <c r="I580">
        <v>0.007950409729639674</v>
      </c>
      <c r="J580" t="s">
        <v>526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0.7153686425309611</v>
      </c>
      <c r="R580" t="s">
        <v>782</v>
      </c>
      <c r="S580" t="s">
        <v>794</v>
      </c>
      <c r="T580">
        <v>119586.14225</v>
      </c>
      <c r="U580" s="2">
        <v>44486</v>
      </c>
      <c r="V580" t="s">
        <v>795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113.95</v>
      </c>
      <c r="D581">
        <v>72</v>
      </c>
      <c r="E581">
        <v>1.582638888888889</v>
      </c>
      <c r="F581">
        <v>0.007020623080298377</v>
      </c>
      <c r="G581">
        <v>-0.0877294957371153</v>
      </c>
      <c r="H581">
        <v>0.09</v>
      </c>
      <c r="I581">
        <v>0.003567563061675383</v>
      </c>
      <c r="J581" t="s">
        <v>526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0.302781515708263</v>
      </c>
      <c r="R581" t="s">
        <v>780</v>
      </c>
      <c r="S581" t="s">
        <v>786</v>
      </c>
      <c r="T581">
        <v>5938.106337</v>
      </c>
      <c r="U581" s="2">
        <v>44501</v>
      </c>
      <c r="V581" t="s">
        <v>802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217.63</v>
      </c>
      <c r="D582">
        <v>140</v>
      </c>
      <c r="E582">
        <v>1.5545</v>
      </c>
      <c r="F582">
        <v>0.02113679180260074</v>
      </c>
      <c r="G582">
        <v>-0.08445044743734242</v>
      </c>
      <c r="H582">
        <v>0.06</v>
      </c>
      <c r="I582">
        <v>-0.00298336025187429</v>
      </c>
      <c r="J582" t="s">
        <v>526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0.284266481606717</v>
      </c>
      <c r="R582" t="s">
        <v>782</v>
      </c>
      <c r="S582" t="s">
        <v>794</v>
      </c>
      <c r="T582">
        <v>33724.890838</v>
      </c>
      <c r="U582" s="2">
        <v>44496</v>
      </c>
      <c r="V582" t="s">
        <v>799</v>
      </c>
    </row>
    <row r="583" spans="1:22">
      <c r="A583" s="1" t="s">
        <v>603</v>
      </c>
      <c r="B583">
        <f>HYPERLINK("https://www.suredividend.com/sure-analysis-JCI/","Johnson Controls International plc")</f>
        <v>0</v>
      </c>
      <c r="C583">
        <v>78.11</v>
      </c>
      <c r="D583">
        <v>52</v>
      </c>
      <c r="E583">
        <v>1.502115384615385</v>
      </c>
      <c r="F583">
        <v>0.01741134297785175</v>
      </c>
      <c r="G583">
        <v>-0.07815195039508516</v>
      </c>
      <c r="H583">
        <v>0.06</v>
      </c>
      <c r="I583">
        <v>-0.003752488141670285</v>
      </c>
      <c r="J583" t="s">
        <v>526</v>
      </c>
      <c r="K583" t="s">
        <v>778</v>
      </c>
      <c r="L583">
        <v>3.27</v>
      </c>
      <c r="M583">
        <v>1.36</v>
      </c>
      <c r="N583">
        <v>0.4159021406727829</v>
      </c>
      <c r="O583">
        <v>2</v>
      </c>
      <c r="P583">
        <v>0.01289824528018912</v>
      </c>
      <c r="Q583">
        <v>0.721800583265183</v>
      </c>
      <c r="R583" t="s">
        <v>780</v>
      </c>
      <c r="S583" t="s">
        <v>786</v>
      </c>
      <c r="T583">
        <v>55015.403373</v>
      </c>
      <c r="U583" s="2">
        <v>44511</v>
      </c>
      <c r="V583" t="s">
        <v>799</v>
      </c>
    </row>
    <row r="584" spans="1:22">
      <c r="A584" s="1" t="s">
        <v>604</v>
      </c>
      <c r="B584">
        <f>HYPERLINK("https://www.suredividend.com/sure-analysis-ELS/","Equity Lifestyle Properties Inc.")</f>
        <v>0</v>
      </c>
      <c r="C584">
        <v>84.87</v>
      </c>
      <c r="D584">
        <v>53</v>
      </c>
      <c r="E584">
        <v>1.601320754716981</v>
      </c>
      <c r="F584">
        <v>0.01708495345823023</v>
      </c>
      <c r="G584">
        <v>-0.08986810652207522</v>
      </c>
      <c r="H584">
        <v>0.07000000000000001</v>
      </c>
      <c r="I584">
        <v>-0.003853472719907991</v>
      </c>
      <c r="J584" t="s">
        <v>526</v>
      </c>
      <c r="K584" t="s">
        <v>778</v>
      </c>
      <c r="L584">
        <v>2.51</v>
      </c>
      <c r="M584">
        <v>1.45</v>
      </c>
      <c r="N584">
        <v>0.5776892430278885</v>
      </c>
      <c r="O584">
        <v>17</v>
      </c>
      <c r="P584">
        <v>0.06961037572506878</v>
      </c>
      <c r="Q584">
        <v>0.420796496473538</v>
      </c>
      <c r="R584" t="s">
        <v>782</v>
      </c>
      <c r="S584" t="s">
        <v>794</v>
      </c>
      <c r="T584">
        <v>15601.322465</v>
      </c>
      <c r="U584" s="2">
        <v>44493</v>
      </c>
      <c r="V584" t="s">
        <v>798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50.81</v>
      </c>
      <c r="D585">
        <v>36</v>
      </c>
      <c r="E585">
        <v>1.411388888888889</v>
      </c>
      <c r="F585">
        <v>0.02755363117496555</v>
      </c>
      <c r="G585">
        <v>-0.06659384323921114</v>
      </c>
      <c r="H585">
        <v>0.03</v>
      </c>
      <c r="I585">
        <v>-0.005922170640681346</v>
      </c>
      <c r="J585" t="s">
        <v>526</v>
      </c>
      <c r="K585" t="s">
        <v>526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0.9125950462997811</v>
      </c>
      <c r="R585" t="s">
        <v>780</v>
      </c>
      <c r="S585" t="s">
        <v>793</v>
      </c>
      <c r="T585">
        <v>11634.053601</v>
      </c>
      <c r="U585" s="2">
        <v>44515</v>
      </c>
      <c r="V585" t="s">
        <v>803</v>
      </c>
    </row>
    <row r="586" spans="1:22">
      <c r="A586" s="1" t="s">
        <v>606</v>
      </c>
      <c r="B586">
        <f>HYPERLINK("https://www.suredividend.com/sure-analysis-DRE/","Duke Realty Corp")</f>
        <v>0</v>
      </c>
      <c r="C586">
        <v>62.59</v>
      </c>
      <c r="D586">
        <v>38</v>
      </c>
      <c r="E586">
        <v>1.647105263157895</v>
      </c>
      <c r="F586">
        <v>0.01789423230548011</v>
      </c>
      <c r="G586">
        <v>-0.0949851008260072</v>
      </c>
      <c r="H586">
        <v>0.07000000000000001</v>
      </c>
      <c r="I586">
        <v>-0.008440944781742732</v>
      </c>
      <c r="J586" t="s">
        <v>526</v>
      </c>
      <c r="K586" t="s">
        <v>778</v>
      </c>
      <c r="L586">
        <v>1.72</v>
      </c>
      <c r="M586">
        <v>1.12</v>
      </c>
      <c r="N586">
        <v>0.6511627906976745</v>
      </c>
      <c r="O586">
        <v>7</v>
      </c>
      <c r="P586">
        <v>0.06016789231717423</v>
      </c>
      <c r="Q586">
        <v>0.651137514772919</v>
      </c>
      <c r="R586" t="s">
        <v>782</v>
      </c>
      <c r="S586" t="s">
        <v>794</v>
      </c>
      <c r="T586">
        <v>23837.420277</v>
      </c>
      <c r="U586" s="2">
        <v>44499</v>
      </c>
      <c r="V586" t="s">
        <v>798</v>
      </c>
    </row>
    <row r="587" spans="1:22">
      <c r="A587" s="1" t="s">
        <v>607</v>
      </c>
      <c r="B587">
        <f>HYPERLINK("https://www.suredividend.com/sure-analysis-COR/","CoreSite Realty Corporation")</f>
        <v>0</v>
      </c>
      <c r="C587">
        <v>169.78</v>
      </c>
      <c r="D587">
        <v>106</v>
      </c>
      <c r="E587">
        <v>1.601698113207547</v>
      </c>
      <c r="F587">
        <v>0.02992107433148781</v>
      </c>
      <c r="G587">
        <v>-0.08991099579883677</v>
      </c>
      <c r="H587">
        <v>0.046</v>
      </c>
      <c r="I587">
        <v>-0.01256882246177271</v>
      </c>
      <c r="J587" t="s">
        <v>526</v>
      </c>
      <c r="K587" t="s">
        <v>526</v>
      </c>
      <c r="L587">
        <v>5.58</v>
      </c>
      <c r="M587">
        <v>5.08</v>
      </c>
      <c r="N587">
        <v>0.910394265232975</v>
      </c>
      <c r="O587">
        <v>10</v>
      </c>
      <c r="P587">
        <v>0.01601424134469998</v>
      </c>
      <c r="Q587">
        <v>0.418577194980419</v>
      </c>
      <c r="R587" t="s">
        <v>782</v>
      </c>
      <c r="S587" t="s">
        <v>794</v>
      </c>
      <c r="T587">
        <v>7503.889071</v>
      </c>
      <c r="U587" s="2">
        <v>44503</v>
      </c>
      <c r="V587" t="s">
        <v>805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9.26</v>
      </c>
      <c r="D588">
        <v>6.5</v>
      </c>
      <c r="E588">
        <v>1.424615384615385</v>
      </c>
      <c r="F588">
        <v>0.0367170626349892</v>
      </c>
      <c r="G588">
        <v>-0.06833351248373432</v>
      </c>
      <c r="H588">
        <v>0</v>
      </c>
      <c r="I588">
        <v>-0.01341379023836442</v>
      </c>
      <c r="J588" t="s">
        <v>526</v>
      </c>
      <c r="K588" t="s">
        <v>345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0.6851683348498631</v>
      </c>
      <c r="R588" t="s">
        <v>780</v>
      </c>
      <c r="S588" t="s">
        <v>793</v>
      </c>
      <c r="T588">
        <v>109608.364727</v>
      </c>
      <c r="U588" s="2">
        <v>44530</v>
      </c>
      <c r="V588" t="s">
        <v>803</v>
      </c>
    </row>
    <row r="589" spans="1:22">
      <c r="A589" s="1" t="s">
        <v>609</v>
      </c>
      <c r="B589">
        <f>HYPERLINK("https://www.suredividend.com/sure-analysis-CWEN/","Clearway Energy Inc")</f>
        <v>0</v>
      </c>
      <c r="C589">
        <v>35.79</v>
      </c>
      <c r="D589">
        <v>22</v>
      </c>
      <c r="E589">
        <v>1.626818181818182</v>
      </c>
      <c r="F589">
        <v>0.03799944118468846</v>
      </c>
      <c r="G589">
        <v>-0.09273909605505826</v>
      </c>
      <c r="H589">
        <v>0.03</v>
      </c>
      <c r="I589">
        <v>-0.01368836190985134</v>
      </c>
      <c r="J589" t="s">
        <v>526</v>
      </c>
      <c r="K589" t="s">
        <v>345</v>
      </c>
      <c r="L589">
        <v>2.8</v>
      </c>
      <c r="M589">
        <v>1.36</v>
      </c>
      <c r="N589">
        <v>0.4857142857142858</v>
      </c>
      <c r="O589">
        <v>2</v>
      </c>
      <c r="P589">
        <v>0.0505145404837426</v>
      </c>
      <c r="Q589">
        <v>0.135606450016182</v>
      </c>
      <c r="R589" t="s">
        <v>780</v>
      </c>
      <c r="S589" t="s">
        <v>792</v>
      </c>
      <c r="T589">
        <v>4077.95758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HYPERLINK("https://www.suredividend.com/sure-analysis-TRSWF/","TransAlta Renewables, Inc.")</f>
        <v>0</v>
      </c>
      <c r="C590">
        <v>14.7908</v>
      </c>
      <c r="D590">
        <v>9</v>
      </c>
      <c r="E590">
        <v>1.643422222222222</v>
      </c>
      <c r="F590">
        <v>0.0513832923168456</v>
      </c>
      <c r="G590">
        <v>-0.09457982178158775</v>
      </c>
      <c r="H590">
        <v>0.02</v>
      </c>
      <c r="I590">
        <v>-0.01382139931369364</v>
      </c>
      <c r="J590" t="s">
        <v>526</v>
      </c>
      <c r="K590" t="s">
        <v>777</v>
      </c>
      <c r="L590">
        <v>0.8</v>
      </c>
      <c r="M590">
        <v>0.76</v>
      </c>
      <c r="N590">
        <v>0.95</v>
      </c>
      <c r="O590">
        <v>0</v>
      </c>
      <c r="P590">
        <v>0.005208615197356048</v>
      </c>
      <c r="Q590">
        <v>-0.032015706806282</v>
      </c>
      <c r="R590" t="s">
        <v>780</v>
      </c>
      <c r="S590" t="s">
        <v>792</v>
      </c>
      <c r="T590">
        <v>3947.12822</v>
      </c>
      <c r="U590" s="2">
        <v>44515</v>
      </c>
      <c r="V590" t="s">
        <v>802</v>
      </c>
    </row>
    <row r="591" spans="1:22">
      <c r="A591" s="1" t="s">
        <v>611</v>
      </c>
      <c r="B591">
        <f>HYPERLINK("https://www.suredividend.com/sure-analysis-EXC/","Exelon Corp.")</f>
        <v>0</v>
      </c>
      <c r="C591">
        <v>54.49</v>
      </c>
      <c r="D591">
        <v>38</v>
      </c>
      <c r="E591">
        <v>1.433947368421053</v>
      </c>
      <c r="F591">
        <v>0.02807854652229767</v>
      </c>
      <c r="G591">
        <v>-0.06954931972805256</v>
      </c>
      <c r="H591">
        <v>0.02</v>
      </c>
      <c r="I591">
        <v>-0.01674252137344423</v>
      </c>
      <c r="J591" t="s">
        <v>526</v>
      </c>
      <c r="K591" t="s">
        <v>526</v>
      </c>
      <c r="L591">
        <v>2.8</v>
      </c>
      <c r="M591">
        <v>1.53</v>
      </c>
      <c r="N591">
        <v>0.5464285714285715</v>
      </c>
      <c r="O591">
        <v>5</v>
      </c>
      <c r="P591">
        <v>0.02009132612636422</v>
      </c>
      <c r="Q591">
        <v>0.35098950249669</v>
      </c>
      <c r="R591" t="s">
        <v>780</v>
      </c>
      <c r="S591" t="s">
        <v>792</v>
      </c>
      <c r="T591">
        <v>53282.101643</v>
      </c>
      <c r="U591" s="2">
        <v>44504</v>
      </c>
      <c r="V591" t="s">
        <v>796</v>
      </c>
    </row>
    <row r="592" spans="1:22">
      <c r="A592" s="1" t="s">
        <v>612</v>
      </c>
      <c r="B592">
        <f>HYPERLINK("https://www.suredividend.com/sure-analysis-FR/","First Industrial Realty Trust, Inc.")</f>
        <v>0</v>
      </c>
      <c r="C592">
        <v>64.01000000000001</v>
      </c>
      <c r="D592">
        <v>36</v>
      </c>
      <c r="E592">
        <v>1.778055555555556</v>
      </c>
      <c r="F592">
        <v>0.01687236369317294</v>
      </c>
      <c r="G592">
        <v>-0.1087266215694691</v>
      </c>
      <c r="H592">
        <v>0.07000000000000001</v>
      </c>
      <c r="I592">
        <v>-0.02307352595518664</v>
      </c>
      <c r="J592" t="s">
        <v>526</v>
      </c>
      <c r="K592" t="s">
        <v>778</v>
      </c>
      <c r="L592">
        <v>1.95</v>
      </c>
      <c r="M592">
        <v>1.08</v>
      </c>
      <c r="N592">
        <v>0.5538461538461539</v>
      </c>
      <c r="O592">
        <v>9</v>
      </c>
      <c r="P592">
        <v>0.06069091570555463</v>
      </c>
      <c r="Q592">
        <v>0.590314510098161</v>
      </c>
      <c r="R592" t="s">
        <v>782</v>
      </c>
      <c r="S592" t="s">
        <v>794</v>
      </c>
      <c r="T592">
        <v>8265.703729999999</v>
      </c>
      <c r="U592" s="2">
        <v>44492</v>
      </c>
      <c r="V592" t="s">
        <v>798</v>
      </c>
    </row>
    <row r="593" spans="1:22">
      <c r="A593" s="1" t="s">
        <v>613</v>
      </c>
      <c r="B593">
        <f>HYPERLINK("https://www.suredividend.com/sure-analysis-WPM/","Wheaton Precious Metals Corp")</f>
        <v>0</v>
      </c>
      <c r="C593">
        <v>42.31</v>
      </c>
      <c r="D593">
        <v>38</v>
      </c>
      <c r="E593">
        <v>1.113421052631579</v>
      </c>
      <c r="F593">
        <v>0.01418104467029071</v>
      </c>
      <c r="G593">
        <v>-0.02125825016608729</v>
      </c>
      <c r="H593">
        <v>-0.02</v>
      </c>
      <c r="I593">
        <v>-0.02370856918908537</v>
      </c>
      <c r="J593" t="s">
        <v>526</v>
      </c>
      <c r="K593" t="s">
        <v>778</v>
      </c>
      <c r="L593">
        <v>1.35</v>
      </c>
      <c r="M593">
        <v>0.6</v>
      </c>
      <c r="N593">
        <v>0.4444444444444444</v>
      </c>
      <c r="O593">
        <v>2</v>
      </c>
      <c r="P593">
        <v>0.01924487649145656</v>
      </c>
      <c r="Q593">
        <v>0.018144190971219</v>
      </c>
      <c r="R593" t="s">
        <v>780</v>
      </c>
      <c r="S593" t="s">
        <v>790</v>
      </c>
      <c r="T593">
        <v>19060.964371</v>
      </c>
      <c r="U593" s="2">
        <v>44528</v>
      </c>
      <c r="V593" t="s">
        <v>801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51.8</v>
      </c>
      <c r="D594">
        <v>33</v>
      </c>
      <c r="E594">
        <v>1.56969696969697</v>
      </c>
      <c r="F594">
        <v>0.01158301158301158</v>
      </c>
      <c r="G594">
        <v>-0.08623012539391184</v>
      </c>
      <c r="H594">
        <v>0.05</v>
      </c>
      <c r="I594">
        <v>-0.02724683577856546</v>
      </c>
      <c r="J594" t="s">
        <v>526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-0.136742921041974</v>
      </c>
      <c r="R594" t="s">
        <v>780</v>
      </c>
      <c r="S594" t="s">
        <v>790</v>
      </c>
      <c r="T594">
        <v>1763.205748</v>
      </c>
      <c r="U594" s="2">
        <v>44520</v>
      </c>
      <c r="V594" t="s">
        <v>795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228.96</v>
      </c>
      <c r="D595">
        <v>133</v>
      </c>
      <c r="E595">
        <v>1.721503759398496</v>
      </c>
      <c r="F595">
        <v>0.01572327044025157</v>
      </c>
      <c r="G595">
        <v>-0.1029463762699796</v>
      </c>
      <c r="H595">
        <v>0.054</v>
      </c>
      <c r="I595">
        <v>-0.03328315106213708</v>
      </c>
      <c r="J595" t="s">
        <v>526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0.309393364733763</v>
      </c>
      <c r="R595" t="s">
        <v>780</v>
      </c>
      <c r="S595" t="s">
        <v>789</v>
      </c>
      <c r="T595">
        <v>82287.346854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42.47</v>
      </c>
      <c r="D596">
        <v>29</v>
      </c>
      <c r="E596">
        <v>1.46448275862069</v>
      </c>
      <c r="F596">
        <v>0.009418412997409937</v>
      </c>
      <c r="G596">
        <v>-0.07346218840306096</v>
      </c>
      <c r="H596">
        <v>0.03</v>
      </c>
      <c r="I596">
        <v>-0.03457227674064467</v>
      </c>
      <c r="J596" t="s">
        <v>526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0.468361257666802</v>
      </c>
      <c r="R596" t="s">
        <v>782</v>
      </c>
      <c r="S596" t="s">
        <v>794</v>
      </c>
      <c r="T596">
        <v>14174.810898</v>
      </c>
      <c r="U596" s="2">
        <v>44506</v>
      </c>
      <c r="V596" t="s">
        <v>796</v>
      </c>
    </row>
    <row r="597" spans="1:22">
      <c r="A597" s="1" t="s">
        <v>617</v>
      </c>
      <c r="B597">
        <f>HYPERLINK("https://www.suredividend.com/sure-analysis-MAA/","Mid-America Apartment Communities, Inc.")</f>
        <v>0</v>
      </c>
      <c r="C597">
        <v>221.09</v>
      </c>
      <c r="D597">
        <v>118</v>
      </c>
      <c r="E597">
        <v>1.87364406779661</v>
      </c>
      <c r="F597">
        <v>0.01967524537518657</v>
      </c>
      <c r="G597">
        <v>-0.1180121925240374</v>
      </c>
      <c r="H597">
        <v>0.06</v>
      </c>
      <c r="I597">
        <v>-0.03800680552123537</v>
      </c>
      <c r="J597" t="s">
        <v>526</v>
      </c>
      <c r="K597" t="s">
        <v>778</v>
      </c>
      <c r="L597">
        <v>6.98</v>
      </c>
      <c r="M597">
        <v>4.35</v>
      </c>
      <c r="N597">
        <v>0.6232091690544411</v>
      </c>
      <c r="O597">
        <v>11</v>
      </c>
      <c r="P597">
        <v>0.03634132731704387</v>
      </c>
      <c r="Q597">
        <v>0.8499258239068751</v>
      </c>
      <c r="R597" t="s">
        <v>782</v>
      </c>
      <c r="S597" t="s">
        <v>794</v>
      </c>
      <c r="T597">
        <v>25455.931832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168.04</v>
      </c>
      <c r="D598">
        <v>100</v>
      </c>
      <c r="E598">
        <v>1.6804</v>
      </c>
      <c r="F598">
        <v>0.01809093073077839</v>
      </c>
      <c r="G598">
        <v>-0.09860018328797915</v>
      </c>
      <c r="H598">
        <v>0.04</v>
      </c>
      <c r="I598">
        <v>-0.03823813855437053</v>
      </c>
      <c r="J598" t="s">
        <v>526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0.46447744544377</v>
      </c>
      <c r="R598" t="s">
        <v>780</v>
      </c>
      <c r="S598" t="s">
        <v>786</v>
      </c>
      <c r="T598">
        <v>66980.74400000001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23.69</v>
      </c>
      <c r="D599">
        <v>12.6</v>
      </c>
      <c r="E599">
        <v>1.88015873015873</v>
      </c>
      <c r="F599">
        <v>0.02870409455466441</v>
      </c>
      <c r="G599">
        <v>-0.1186242507425472</v>
      </c>
      <c r="H599">
        <v>0.035</v>
      </c>
      <c r="I599">
        <v>-0.04316139722271894</v>
      </c>
      <c r="J599" t="s">
        <v>526</v>
      </c>
      <c r="K599" t="s">
        <v>526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0.6989507956884371</v>
      </c>
      <c r="R599" t="s">
        <v>782</v>
      </c>
      <c r="S599" t="s">
        <v>794</v>
      </c>
      <c r="T599">
        <v>14603.180694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173.49</v>
      </c>
      <c r="D600">
        <v>97</v>
      </c>
      <c r="E600">
        <v>1.788556701030928</v>
      </c>
      <c r="F600">
        <v>0.01913654965704075</v>
      </c>
      <c r="G600">
        <v>-0.1097756741217142</v>
      </c>
      <c r="H600">
        <v>0.04</v>
      </c>
      <c r="I600">
        <v>-0.04652176476633951</v>
      </c>
      <c r="J600" t="s">
        <v>526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0.825561010924534</v>
      </c>
      <c r="R600" t="s">
        <v>782</v>
      </c>
      <c r="S600" t="s">
        <v>794</v>
      </c>
      <c r="T600">
        <v>17730.206628</v>
      </c>
      <c r="U600" s="2">
        <v>44505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403.31</v>
      </c>
      <c r="D601">
        <v>201</v>
      </c>
      <c r="E601">
        <v>2.006517412935323</v>
      </c>
      <c r="F601">
        <v>0.009620391262304431</v>
      </c>
      <c r="G601">
        <v>-0.1300157037555022</v>
      </c>
      <c r="H601">
        <v>0.075</v>
      </c>
      <c r="I601">
        <v>-0.04935028739879299</v>
      </c>
      <c r="J601" t="s">
        <v>526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0.5859820438094551</v>
      </c>
      <c r="R601" t="s">
        <v>780</v>
      </c>
      <c r="S601" t="s">
        <v>787</v>
      </c>
      <c r="T601">
        <v>265512.193098</v>
      </c>
      <c r="U601" s="2">
        <v>44476</v>
      </c>
      <c r="V601" t="s">
        <v>797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72.3</v>
      </c>
      <c r="D602">
        <v>48</v>
      </c>
      <c r="E602">
        <v>1.50625</v>
      </c>
      <c r="F602">
        <v>0.01659751037344398</v>
      </c>
      <c r="G602">
        <v>-0.07865859657009322</v>
      </c>
      <c r="H602">
        <v>0</v>
      </c>
      <c r="I602">
        <v>-0.05669726743871539</v>
      </c>
      <c r="J602" t="s">
        <v>526</v>
      </c>
      <c r="K602" t="s">
        <v>526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1.012890293302894</v>
      </c>
      <c r="R602" t="s">
        <v>780</v>
      </c>
      <c r="S602" t="s">
        <v>790</v>
      </c>
      <c r="T602">
        <v>15506.574312</v>
      </c>
      <c r="U602" s="2">
        <v>44526</v>
      </c>
      <c r="V602" t="s">
        <v>801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40.42</v>
      </c>
      <c r="D603">
        <v>20</v>
      </c>
      <c r="E603">
        <v>2.021</v>
      </c>
      <c r="F603">
        <v>0.01484413656605641</v>
      </c>
      <c r="G603">
        <v>-0.1312661634482686</v>
      </c>
      <c r="H603">
        <v>0.05</v>
      </c>
      <c r="I603">
        <v>-0.0673304653112704</v>
      </c>
      <c r="J603" t="s">
        <v>526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0.7272692309335881</v>
      </c>
      <c r="R603" t="s">
        <v>780</v>
      </c>
      <c r="S603" t="s">
        <v>784</v>
      </c>
      <c r="T603">
        <v>1329.837563</v>
      </c>
      <c r="U603" s="2">
        <v>44491</v>
      </c>
      <c r="V603" t="s">
        <v>797</v>
      </c>
    </row>
    <row r="604" spans="1:22">
      <c r="A604" s="1" t="s">
        <v>624</v>
      </c>
      <c r="B604">
        <f>HYPERLINK("https://www.suredividend.com/sure-analysis-IIPR/","Innovative Industrial Properties Inc")</f>
        <v>0</v>
      </c>
      <c r="C604">
        <v>250.91</v>
      </c>
      <c r="D604">
        <v>158</v>
      </c>
      <c r="E604">
        <v>1.588037974683544</v>
      </c>
      <c r="F604">
        <v>0.02391295683711291</v>
      </c>
      <c r="G604">
        <v>-0.0883506570410667</v>
      </c>
      <c r="H604">
        <v>0.25</v>
      </c>
      <c r="I604">
        <v>0.1638313437942067</v>
      </c>
      <c r="J604" t="s">
        <v>778</v>
      </c>
      <c r="K604" t="s">
        <v>778</v>
      </c>
      <c r="L604">
        <v>6.6</v>
      </c>
      <c r="M604">
        <v>6</v>
      </c>
      <c r="N604">
        <v>0.9090909090909092</v>
      </c>
      <c r="O604">
        <v>4</v>
      </c>
      <c r="P604">
        <v>0.2000012860054741</v>
      </c>
      <c r="Q604">
        <v>0.367193779053072</v>
      </c>
      <c r="R604" t="s">
        <v>782</v>
      </c>
      <c r="S604" t="s">
        <v>794</v>
      </c>
      <c r="T604">
        <v>6003.850757</v>
      </c>
      <c r="U604" s="2">
        <v>44509</v>
      </c>
      <c r="V604" t="s">
        <v>795</v>
      </c>
    </row>
    <row r="605" spans="1:22">
      <c r="A605" s="1" t="s">
        <v>625</v>
      </c>
      <c r="B605">
        <f>HYPERLINK("https://www.suredividend.com/sure-analysis-KNOP/","KNOT Offshore Partners LP")</f>
        <v>0</v>
      </c>
      <c r="C605">
        <v>13.12</v>
      </c>
      <c r="D605">
        <v>17.29</v>
      </c>
      <c r="E605">
        <v>0.7588201272411799</v>
      </c>
      <c r="F605">
        <v>0.1585365853658537</v>
      </c>
      <c r="G605">
        <v>0.05674993952334995</v>
      </c>
      <c r="H605">
        <v>0</v>
      </c>
      <c r="I605">
        <v>0.1611219207096837</v>
      </c>
      <c r="J605" t="s">
        <v>778</v>
      </c>
      <c r="K605" t="s">
        <v>345</v>
      </c>
      <c r="L605">
        <v>2.47</v>
      </c>
      <c r="M605">
        <v>2.08</v>
      </c>
      <c r="N605">
        <v>0.8421052631578947</v>
      </c>
      <c r="O605">
        <v>0</v>
      </c>
      <c r="P605">
        <v>0</v>
      </c>
      <c r="Q605">
        <v>-0.010587915899972</v>
      </c>
      <c r="R605" t="s">
        <v>781</v>
      </c>
      <c r="S605" t="s">
        <v>786</v>
      </c>
      <c r="T605">
        <v>431.771144</v>
      </c>
      <c r="U605" s="2">
        <v>44520</v>
      </c>
      <c r="V605" t="s">
        <v>795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10.55</v>
      </c>
      <c r="D606">
        <v>15</v>
      </c>
      <c r="E606">
        <v>0.7033333333333334</v>
      </c>
      <c r="F606">
        <v>0.1023696682464455</v>
      </c>
      <c r="G606">
        <v>0.07292103502811598</v>
      </c>
      <c r="H606">
        <v>0.02</v>
      </c>
      <c r="I606">
        <v>0.1598042502760413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-0.03984419082982901</v>
      </c>
      <c r="R606" t="s">
        <v>780</v>
      </c>
      <c r="S606" t="s">
        <v>784</v>
      </c>
      <c r="T606">
        <v>28056.814366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28.22</v>
      </c>
      <c r="D607">
        <v>40</v>
      </c>
      <c r="E607">
        <v>0.7055</v>
      </c>
      <c r="F607">
        <v>0.09496810772501772</v>
      </c>
      <c r="G607">
        <v>0.07226121270876407</v>
      </c>
      <c r="H607">
        <v>0.02</v>
      </c>
      <c r="I607">
        <v>0.1549011417222617</v>
      </c>
      <c r="J607" t="s">
        <v>778</v>
      </c>
      <c r="K607" t="s">
        <v>345</v>
      </c>
      <c r="L607">
        <v>3.3</v>
      </c>
      <c r="M607">
        <v>2.68</v>
      </c>
      <c r="N607">
        <v>0.8121212121212122</v>
      </c>
      <c r="O607">
        <v>0</v>
      </c>
      <c r="P607">
        <v>0.01023605168466424</v>
      </c>
      <c r="Q607">
        <v>-0.168858402570589</v>
      </c>
      <c r="R607" t="s">
        <v>782</v>
      </c>
      <c r="S607" t="s">
        <v>794</v>
      </c>
      <c r="T607">
        <v>6743.849723</v>
      </c>
      <c r="U607" s="2">
        <v>44520</v>
      </c>
      <c r="V607" t="s">
        <v>801</v>
      </c>
    </row>
    <row r="608" spans="1:22">
      <c r="A608" s="1" t="s">
        <v>628</v>
      </c>
      <c r="B608">
        <f>HYPERLINK("https://www.suredividend.com/sure-analysis-DHT/","DHT Holdings Inc")</f>
        <v>0</v>
      </c>
      <c r="C608">
        <v>5.25</v>
      </c>
      <c r="D608">
        <v>6</v>
      </c>
      <c r="E608">
        <v>0.875</v>
      </c>
      <c r="F608">
        <v>0.02476190476190476</v>
      </c>
      <c r="G608">
        <v>0.02706608708935176</v>
      </c>
      <c r="H608">
        <v>0.1</v>
      </c>
      <c r="I608">
        <v>0.1534180405722931</v>
      </c>
      <c r="J608" t="s">
        <v>778</v>
      </c>
      <c r="K608" t="s">
        <v>778</v>
      </c>
      <c r="L608">
        <v>-0.1</v>
      </c>
      <c r="M608">
        <v>0.13</v>
      </c>
      <c r="N608">
        <v>9.99</v>
      </c>
      <c r="O608">
        <v>0</v>
      </c>
      <c r="P608">
        <v>0.1658506946484593</v>
      </c>
      <c r="Q608">
        <v>-0.0009324630345010001</v>
      </c>
      <c r="R608" t="s">
        <v>780</v>
      </c>
      <c r="S608" t="s">
        <v>793</v>
      </c>
      <c r="T608">
        <v>896.691222</v>
      </c>
      <c r="U608" s="2">
        <v>44509</v>
      </c>
      <c r="V608" t="s">
        <v>803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3.11</v>
      </c>
      <c r="D609">
        <v>3.5</v>
      </c>
      <c r="E609">
        <v>0.8885714285714286</v>
      </c>
      <c r="F609">
        <v>0.1286173633440515</v>
      </c>
      <c r="G609">
        <v>0.0239094023757882</v>
      </c>
      <c r="H609">
        <v>0.042</v>
      </c>
      <c r="I609">
        <v>0.1516157446899902</v>
      </c>
      <c r="J609" t="s">
        <v>778</v>
      </c>
      <c r="K609" t="s">
        <v>345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-0.09082936241120201</v>
      </c>
      <c r="R609" t="s">
        <v>783</v>
      </c>
      <c r="S609" t="s">
        <v>789</v>
      </c>
      <c r="T609">
        <v>83.676627</v>
      </c>
      <c r="U609" s="2">
        <v>44509</v>
      </c>
      <c r="V609" t="s">
        <v>805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60.2</v>
      </c>
      <c r="D610">
        <v>80</v>
      </c>
      <c r="E610">
        <v>0.7525000000000001</v>
      </c>
      <c r="F610">
        <v>0.05315614617940199</v>
      </c>
      <c r="G610">
        <v>0.05851910067679644</v>
      </c>
      <c r="H610">
        <v>0.05</v>
      </c>
      <c r="I610">
        <v>0.1491885095419216</v>
      </c>
      <c r="J610" t="s">
        <v>778</v>
      </c>
      <c r="K610" t="s">
        <v>345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-0.019855257695031</v>
      </c>
      <c r="R610" t="s">
        <v>780</v>
      </c>
      <c r="S610" t="s">
        <v>790</v>
      </c>
      <c r="T610">
        <v>46539.492394</v>
      </c>
      <c r="U610" s="2">
        <v>44498</v>
      </c>
      <c r="V610" t="s">
        <v>802</v>
      </c>
    </row>
    <row r="611" spans="1:22">
      <c r="A611" s="1" t="s">
        <v>631</v>
      </c>
      <c r="B611">
        <f>HYPERLINK("https://www.suredividend.com/sure-analysis-PSXP/","Phillips 66 Partners LP")</f>
        <v>0</v>
      </c>
      <c r="C611">
        <v>35.98</v>
      </c>
      <c r="D611">
        <v>44</v>
      </c>
      <c r="E611">
        <v>0.8177272727272726</v>
      </c>
      <c r="F611">
        <v>0.0972762645914397</v>
      </c>
      <c r="G611">
        <v>0.04106609669390826</v>
      </c>
      <c r="H611">
        <v>0.04</v>
      </c>
      <c r="I611">
        <v>0.145722565087377</v>
      </c>
      <c r="J611" t="s">
        <v>778</v>
      </c>
      <c r="K611" t="s">
        <v>777</v>
      </c>
      <c r="L611">
        <v>4.4</v>
      </c>
      <c r="M611">
        <v>3.5</v>
      </c>
      <c r="N611">
        <v>0.7954545454545454</v>
      </c>
      <c r="O611">
        <v>7</v>
      </c>
      <c r="P611">
        <v>0</v>
      </c>
      <c r="Q611">
        <v>0.452985930508666</v>
      </c>
      <c r="R611" t="s">
        <v>781</v>
      </c>
      <c r="S611" t="s">
        <v>793</v>
      </c>
      <c r="T611">
        <v>8215.678453</v>
      </c>
      <c r="U611" s="2">
        <v>44501</v>
      </c>
      <c r="V611" t="s">
        <v>803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49.75</v>
      </c>
      <c r="D612">
        <v>57</v>
      </c>
      <c r="E612">
        <v>0.8728070175438597</v>
      </c>
      <c r="F612">
        <v>0.1608040201005025</v>
      </c>
      <c r="G612">
        <v>0.02758168277440487</v>
      </c>
      <c r="H612">
        <v>0</v>
      </c>
      <c r="I612">
        <v>0.1428670975921931</v>
      </c>
      <c r="J612" t="s">
        <v>778</v>
      </c>
      <c r="K612" t="s">
        <v>345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0.126513717427337</v>
      </c>
      <c r="R612" t="s">
        <v>781</v>
      </c>
      <c r="S612" t="s">
        <v>786</v>
      </c>
      <c r="T612">
        <v>13860.626511</v>
      </c>
      <c r="U612" s="2">
        <v>44513</v>
      </c>
      <c r="V612" t="s">
        <v>795</v>
      </c>
    </row>
    <row r="613" spans="1:22">
      <c r="A613" s="1" t="s">
        <v>633</v>
      </c>
      <c r="B613">
        <f>HYPERLINK("https://www.suredividend.com/sure-analysis-APAM/","Artisan Partners Asset Management Inc")</f>
        <v>0</v>
      </c>
      <c r="C613">
        <v>46.95</v>
      </c>
      <c r="D613">
        <v>55</v>
      </c>
      <c r="E613">
        <v>0.8536363636363636</v>
      </c>
      <c r="F613">
        <v>0.09116080937167199</v>
      </c>
      <c r="G613">
        <v>0.03215618319688374</v>
      </c>
      <c r="H613">
        <v>0.04</v>
      </c>
      <c r="I613">
        <v>0.1381013068141306</v>
      </c>
      <c r="J613" t="s">
        <v>778</v>
      </c>
      <c r="K613" t="s">
        <v>345</v>
      </c>
      <c r="L613">
        <v>5</v>
      </c>
      <c r="M613">
        <v>4.28</v>
      </c>
      <c r="N613">
        <v>0.8560000000000001</v>
      </c>
      <c r="O613">
        <v>2</v>
      </c>
      <c r="P613">
        <v>0.02019566627646463</v>
      </c>
      <c r="Q613">
        <v>0.007264317312932001</v>
      </c>
      <c r="R613" t="s">
        <v>780</v>
      </c>
      <c r="S613" t="s">
        <v>789</v>
      </c>
      <c r="T613">
        <v>3061.886082</v>
      </c>
      <c r="U613" s="2">
        <v>44520</v>
      </c>
      <c r="V613" t="s">
        <v>801</v>
      </c>
    </row>
    <row r="614" spans="1:22">
      <c r="A614" s="1" t="s">
        <v>634</v>
      </c>
      <c r="B614">
        <f>HYPERLINK("https://www.suredividend.com/sure-analysis-NEWT/","Newtek Business Services Corp")</f>
        <v>0</v>
      </c>
      <c r="C614">
        <v>27.88</v>
      </c>
      <c r="D614">
        <v>30</v>
      </c>
      <c r="E614">
        <v>0.9293333333333333</v>
      </c>
      <c r="F614">
        <v>0.1129842180774749</v>
      </c>
      <c r="G614">
        <v>0.01476550795124787</v>
      </c>
      <c r="H614">
        <v>0.03</v>
      </c>
      <c r="I614">
        <v>0.1325138137442596</v>
      </c>
      <c r="J614" t="s">
        <v>778</v>
      </c>
      <c r="K614" t="s">
        <v>345</v>
      </c>
      <c r="L614">
        <v>3.3</v>
      </c>
      <c r="M614">
        <v>3.15</v>
      </c>
      <c r="N614">
        <v>0.9545454545454546</v>
      </c>
      <c r="O614">
        <v>0</v>
      </c>
      <c r="P614">
        <v>0.02877218634269907</v>
      </c>
      <c r="Q614">
        <v>0.6883156205528801</v>
      </c>
      <c r="R614" t="s">
        <v>783</v>
      </c>
      <c r="S614" t="s">
        <v>789</v>
      </c>
      <c r="T614">
        <v>628.620062</v>
      </c>
      <c r="U614" s="2">
        <v>44516</v>
      </c>
      <c r="V614" t="s">
        <v>795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24.51</v>
      </c>
      <c r="D615">
        <v>29</v>
      </c>
      <c r="E615">
        <v>0.8451724137931035</v>
      </c>
      <c r="F615">
        <v>0.0554875560995512</v>
      </c>
      <c r="G615">
        <v>0.0342152499181585</v>
      </c>
      <c r="H615">
        <v>0.05</v>
      </c>
      <c r="I615">
        <v>0.1287795651793724</v>
      </c>
      <c r="J615" t="s">
        <v>778</v>
      </c>
      <c r="K615" t="s">
        <v>526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0.481790481717933</v>
      </c>
      <c r="R615" t="s">
        <v>780</v>
      </c>
      <c r="S615" t="s">
        <v>793</v>
      </c>
      <c r="T615">
        <v>35669.842317</v>
      </c>
      <c r="U615" s="2">
        <v>44502</v>
      </c>
      <c r="V615" t="s">
        <v>803</v>
      </c>
    </row>
    <row r="616" spans="1:22">
      <c r="A616" s="1" t="s">
        <v>636</v>
      </c>
      <c r="B616">
        <f>HYPERLINK("https://www.suredividend.com/sure-analysis-SBRA/","Sabra Healthcare REIT Inc")</f>
        <v>0</v>
      </c>
      <c r="C616">
        <v>13.18</v>
      </c>
      <c r="D616">
        <v>14.5</v>
      </c>
      <c r="E616">
        <v>0.9089655172413793</v>
      </c>
      <c r="F616">
        <v>0.09104704097116843</v>
      </c>
      <c r="G616">
        <v>0.01927299591866549</v>
      </c>
      <c r="H616">
        <v>0.038</v>
      </c>
      <c r="I616">
        <v>0.1251751975058641</v>
      </c>
      <c r="J616" t="s">
        <v>778</v>
      </c>
      <c r="K616" t="s">
        <v>345</v>
      </c>
      <c r="L616">
        <v>1.58</v>
      </c>
      <c r="M616">
        <v>1.2</v>
      </c>
      <c r="N616">
        <v>0.7594936708860759</v>
      </c>
      <c r="O616">
        <v>0</v>
      </c>
      <c r="P616">
        <v>0.01613736474159566</v>
      </c>
      <c r="Q616">
        <v>-0.188603511536851</v>
      </c>
      <c r="R616" t="s">
        <v>782</v>
      </c>
      <c r="S616" t="s">
        <v>794</v>
      </c>
      <c r="T616">
        <v>3013.977253</v>
      </c>
      <c r="U616" s="2">
        <v>44509</v>
      </c>
      <c r="V616" t="s">
        <v>805</v>
      </c>
    </row>
    <row r="617" spans="1:22">
      <c r="A617" s="1" t="s">
        <v>637</v>
      </c>
      <c r="B617">
        <f>HYPERLINK("https://www.suredividend.com/sure-analysis-EIFZF/","Exchange Income Corp.")</f>
        <v>0</v>
      </c>
      <c r="C617">
        <v>33.15</v>
      </c>
      <c r="D617">
        <v>35</v>
      </c>
      <c r="E617">
        <v>0.9471428571428571</v>
      </c>
      <c r="F617">
        <v>0.0555052790346908</v>
      </c>
      <c r="G617">
        <v>0.01092026449589256</v>
      </c>
      <c r="H617">
        <v>0.07000000000000001</v>
      </c>
      <c r="I617">
        <v>0.1239452218487049</v>
      </c>
      <c r="J617" t="s">
        <v>778</v>
      </c>
      <c r="K617" t="s">
        <v>345</v>
      </c>
      <c r="L617">
        <v>2.3</v>
      </c>
      <c r="M617">
        <v>1.84</v>
      </c>
      <c r="N617">
        <v>0.8</v>
      </c>
      <c r="O617">
        <v>0</v>
      </c>
      <c r="P617">
        <v>0.04012620718096094</v>
      </c>
      <c r="Q617">
        <v>0.274999999999999</v>
      </c>
      <c r="R617" t="s">
        <v>780</v>
      </c>
      <c r="S617" t="s">
        <v>786</v>
      </c>
      <c r="T617">
        <v>1540.760485</v>
      </c>
      <c r="U617" s="2">
        <v>44516</v>
      </c>
      <c r="V617" t="s">
        <v>795</v>
      </c>
    </row>
    <row r="618" spans="1:22">
      <c r="A618" s="1" t="s">
        <v>638</v>
      </c>
      <c r="B618">
        <f>HYPERLINK("https://www.suredividend.com/sure-analysis-CLPR/","Clipper Realty Inc")</f>
        <v>0</v>
      </c>
      <c r="C618">
        <v>9.630000000000001</v>
      </c>
      <c r="D618">
        <v>11.7</v>
      </c>
      <c r="E618">
        <v>0.8230769230769232</v>
      </c>
      <c r="F618">
        <v>0.03946002076843198</v>
      </c>
      <c r="G618">
        <v>0.03970926709216616</v>
      </c>
      <c r="H618">
        <v>0.055</v>
      </c>
      <c r="I618">
        <v>0.1228898435820771</v>
      </c>
      <c r="J618" t="s">
        <v>778</v>
      </c>
      <c r="K618" t="s">
        <v>526</v>
      </c>
      <c r="L618">
        <v>0.35</v>
      </c>
      <c r="M618">
        <v>0.38</v>
      </c>
      <c r="N618">
        <v>1.085714285714286</v>
      </c>
      <c r="O618">
        <v>0</v>
      </c>
      <c r="P618">
        <v>0</v>
      </c>
      <c r="Q618">
        <v>0.573735128775003</v>
      </c>
      <c r="R618" t="s">
        <v>782</v>
      </c>
      <c r="S618" t="s">
        <v>794</v>
      </c>
      <c r="T618">
        <v>154.688886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HYPERLINK("https://www.suredividend.com/sure-analysis-TEF/","Telefonica S.A")</f>
        <v>0</v>
      </c>
      <c r="C619">
        <v>4.35</v>
      </c>
      <c r="D619">
        <v>4.95</v>
      </c>
      <c r="E619">
        <v>0.8787878787878787</v>
      </c>
      <c r="F619">
        <v>0.103448275862069</v>
      </c>
      <c r="G619">
        <v>0.02617915477537269</v>
      </c>
      <c r="H619">
        <v>0.02</v>
      </c>
      <c r="I619">
        <v>0.1214284922731268</v>
      </c>
      <c r="J619" t="s">
        <v>778</v>
      </c>
      <c r="K619" t="s">
        <v>345</v>
      </c>
      <c r="L619">
        <v>0.55</v>
      </c>
      <c r="M619">
        <v>0.45</v>
      </c>
      <c r="N619">
        <v>0.8181818181818181</v>
      </c>
      <c r="O619">
        <v>0</v>
      </c>
      <c r="P619">
        <v>0</v>
      </c>
      <c r="Q619">
        <v>0.112304387849033</v>
      </c>
      <c r="R619" t="s">
        <v>780</v>
      </c>
      <c r="S619" t="s">
        <v>784</v>
      </c>
      <c r="T619">
        <v>24525.532755</v>
      </c>
      <c r="U619" s="2">
        <v>44529</v>
      </c>
      <c r="V619" t="s">
        <v>797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3.54</v>
      </c>
      <c r="D620">
        <v>4.69</v>
      </c>
      <c r="E620">
        <v>0.7547974413646055</v>
      </c>
      <c r="F620">
        <v>0.05649717514124294</v>
      </c>
      <c r="G620">
        <v>0.05787393372005201</v>
      </c>
      <c r="H620">
        <v>0.02</v>
      </c>
      <c r="I620">
        <v>0.1178174426630627</v>
      </c>
      <c r="J620" t="s">
        <v>778</v>
      </c>
      <c r="K620" t="s">
        <v>526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-0.516829088526738</v>
      </c>
      <c r="R620" t="s">
        <v>780</v>
      </c>
      <c r="S620" t="s">
        <v>794</v>
      </c>
      <c r="T620">
        <v>52.628468</v>
      </c>
      <c r="U620" s="2">
        <v>44514</v>
      </c>
      <c r="V620" t="s">
        <v>796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28.9</v>
      </c>
      <c r="D621">
        <v>31</v>
      </c>
      <c r="E621">
        <v>0.932258064516129</v>
      </c>
      <c r="F621">
        <v>0.04982698961937716</v>
      </c>
      <c r="G621">
        <v>0.01412799181540425</v>
      </c>
      <c r="H621">
        <v>0.06</v>
      </c>
      <c r="I621">
        <v>0.1163077613774148</v>
      </c>
      <c r="J621" t="s">
        <v>778</v>
      </c>
      <c r="K621" t="s">
        <v>345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0.169207366410978</v>
      </c>
      <c r="R621" t="s">
        <v>782</v>
      </c>
      <c r="S621" t="s">
        <v>794</v>
      </c>
      <c r="T621">
        <v>18176.540354</v>
      </c>
      <c r="U621" s="2">
        <v>44509</v>
      </c>
      <c r="V621" t="s">
        <v>803</v>
      </c>
    </row>
    <row r="622" spans="1:22">
      <c r="A622" s="1" t="s">
        <v>642</v>
      </c>
      <c r="B622">
        <f>HYPERLINK("https://www.suredividend.com/sure-analysis-PINE/","Alpine Income Property Trust Inc")</f>
        <v>0</v>
      </c>
      <c r="C622">
        <v>19.11</v>
      </c>
      <c r="D622">
        <v>18.88</v>
      </c>
      <c r="E622">
        <v>1.01218220338983</v>
      </c>
      <c r="F622">
        <v>0.0565149136577708</v>
      </c>
      <c r="G622">
        <v>-0.002418789509967767</v>
      </c>
      <c r="H622">
        <v>0.07000000000000001</v>
      </c>
      <c r="I622">
        <v>0.1162118584719287</v>
      </c>
      <c r="J622" t="s">
        <v>778</v>
      </c>
      <c r="K622" t="s">
        <v>345</v>
      </c>
      <c r="L622">
        <v>1.51</v>
      </c>
      <c r="M622">
        <v>1.08</v>
      </c>
      <c r="N622">
        <v>0.7152317880794702</v>
      </c>
      <c r="O622">
        <v>3</v>
      </c>
      <c r="P622">
        <v>0.06932726018096602</v>
      </c>
      <c r="Q622">
        <v>0.423315259488768</v>
      </c>
      <c r="R622" t="s">
        <v>782</v>
      </c>
      <c r="S622" t="s">
        <v>794</v>
      </c>
      <c r="T622">
        <v>216.003044</v>
      </c>
      <c r="U622" s="2">
        <v>44494</v>
      </c>
      <c r="V622" t="s">
        <v>795</v>
      </c>
    </row>
    <row r="623" spans="1:22">
      <c r="A623" s="1" t="s">
        <v>643</v>
      </c>
      <c r="B623">
        <f>HYPERLINK("https://www.suredividend.com/sure-analysis-SFL/","SFL Corporation Ltd")</f>
        <v>0</v>
      </c>
      <c r="C623">
        <v>8.050000000000001</v>
      </c>
      <c r="D623">
        <v>8.640000000000001</v>
      </c>
      <c r="E623">
        <v>0.931712962962963</v>
      </c>
      <c r="F623">
        <v>0.08944099378881987</v>
      </c>
      <c r="G623">
        <v>0.01424662779949548</v>
      </c>
      <c r="H623">
        <v>0.03</v>
      </c>
      <c r="I623">
        <v>0.116072987064739</v>
      </c>
      <c r="J623" t="s">
        <v>778</v>
      </c>
      <c r="K623" t="s">
        <v>345</v>
      </c>
      <c r="L623">
        <v>0.96</v>
      </c>
      <c r="M623">
        <v>0.72</v>
      </c>
      <c r="N623">
        <v>0.75</v>
      </c>
      <c r="O623">
        <v>1</v>
      </c>
      <c r="P623">
        <v>0.02884302866442456</v>
      </c>
      <c r="Q623">
        <v>0.433736441840169</v>
      </c>
      <c r="R623" t="s">
        <v>780</v>
      </c>
      <c r="S623" t="s">
        <v>786</v>
      </c>
      <c r="T623">
        <v>1031.406854</v>
      </c>
      <c r="U623" s="2">
        <v>44517</v>
      </c>
      <c r="V623" t="s">
        <v>795</v>
      </c>
    </row>
    <row r="624" spans="1:22">
      <c r="A624" s="1" t="s">
        <v>644</v>
      </c>
      <c r="B624">
        <f>HYPERLINK("https://www.suredividend.com/sure-analysis-LTC/","LTC Properties, Inc.")</f>
        <v>0</v>
      </c>
      <c r="C624">
        <v>33.27</v>
      </c>
      <c r="D624">
        <v>36</v>
      </c>
      <c r="E624">
        <v>0.9241666666666668</v>
      </c>
      <c r="F624">
        <v>0.06853020739404868</v>
      </c>
      <c r="G624">
        <v>0.01589761321664596</v>
      </c>
      <c r="H624">
        <v>0.05</v>
      </c>
      <c r="I624">
        <v>0.1150395509358877</v>
      </c>
      <c r="J624" t="s">
        <v>778</v>
      </c>
      <c r="K624" t="s">
        <v>345</v>
      </c>
      <c r="L624">
        <v>2.4</v>
      </c>
      <c r="M624">
        <v>2.28</v>
      </c>
      <c r="N624">
        <v>0.95</v>
      </c>
      <c r="O624">
        <v>0</v>
      </c>
      <c r="P624">
        <v>0</v>
      </c>
      <c r="Q624">
        <v>-0.092122174649824</v>
      </c>
      <c r="R624" t="s">
        <v>782</v>
      </c>
      <c r="S624" t="s">
        <v>794</v>
      </c>
      <c r="T624">
        <v>1309.974444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6.06</v>
      </c>
      <c r="D625">
        <v>6.3</v>
      </c>
      <c r="E625">
        <v>0.9619047619047618</v>
      </c>
      <c r="F625">
        <v>0.1122112211221122</v>
      </c>
      <c r="G625">
        <v>0.007798215589783331</v>
      </c>
      <c r="H625">
        <v>0.018</v>
      </c>
      <c r="I625">
        <v>0.1129431708083519</v>
      </c>
      <c r="J625" t="s">
        <v>778</v>
      </c>
      <c r="K625" t="s">
        <v>345</v>
      </c>
      <c r="L625">
        <v>0.75</v>
      </c>
      <c r="M625">
        <v>0.68</v>
      </c>
      <c r="N625">
        <v>0.9066666666666667</v>
      </c>
      <c r="O625">
        <v>0</v>
      </c>
      <c r="P625">
        <v>0.005814345444414393</v>
      </c>
      <c r="Q625">
        <v>0.007514796834474001</v>
      </c>
      <c r="R625" t="s">
        <v>782</v>
      </c>
      <c r="S625" t="s">
        <v>794</v>
      </c>
      <c r="T625">
        <v>2084.06507</v>
      </c>
      <c r="U625" s="2">
        <v>44511</v>
      </c>
      <c r="V625" t="s">
        <v>805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17.03</v>
      </c>
      <c r="D626">
        <v>18.8</v>
      </c>
      <c r="E626">
        <v>0.9058510638297873</v>
      </c>
      <c r="F626">
        <v>0.1056958308866706</v>
      </c>
      <c r="G626">
        <v>0.01997291705036175</v>
      </c>
      <c r="H626">
        <v>0.01</v>
      </c>
      <c r="I626">
        <v>0.1125465643213708</v>
      </c>
      <c r="J626" t="s">
        <v>778</v>
      </c>
      <c r="K626" t="s">
        <v>345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0.230571352183306</v>
      </c>
      <c r="R626" t="s">
        <v>782</v>
      </c>
      <c r="S626" t="s">
        <v>789</v>
      </c>
      <c r="T626">
        <v>977.993169</v>
      </c>
      <c r="U626" s="2">
        <v>44509</v>
      </c>
      <c r="V626" t="s">
        <v>795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47.1</v>
      </c>
      <c r="D627">
        <v>53</v>
      </c>
      <c r="E627">
        <v>0.8886792452830189</v>
      </c>
      <c r="F627">
        <v>0.05859872611464968</v>
      </c>
      <c r="G627">
        <v>0.0238845565378687</v>
      </c>
      <c r="H627">
        <v>0.04</v>
      </c>
      <c r="I627">
        <v>0.1105877335345877</v>
      </c>
      <c r="J627" t="s">
        <v>778</v>
      </c>
      <c r="K627" t="s">
        <v>345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0.215239255066076</v>
      </c>
      <c r="R627" t="s">
        <v>780</v>
      </c>
      <c r="S627" t="s">
        <v>793</v>
      </c>
      <c r="T627">
        <v>46123.119106</v>
      </c>
      <c r="U627" s="2">
        <v>44510</v>
      </c>
      <c r="V627" t="s">
        <v>803</v>
      </c>
    </row>
    <row r="628" spans="1:22">
      <c r="A628" s="1" t="s">
        <v>648</v>
      </c>
      <c r="B628">
        <f>HYPERLINK("https://www.suredividend.com/sure-analysis-USAC/","USA Compression Partners LP")</f>
        <v>0</v>
      </c>
      <c r="C628">
        <v>15.5</v>
      </c>
      <c r="D628">
        <v>14.8</v>
      </c>
      <c r="E628">
        <v>1.047297297297297</v>
      </c>
      <c r="F628">
        <v>0.1354838709677419</v>
      </c>
      <c r="G628">
        <v>-0.009199987381264041</v>
      </c>
      <c r="H628">
        <v>0.01</v>
      </c>
      <c r="I628">
        <v>0.1094601430737692</v>
      </c>
      <c r="J628" t="s">
        <v>778</v>
      </c>
      <c r="K628" t="s">
        <v>345</v>
      </c>
      <c r="L628">
        <v>2.11</v>
      </c>
      <c r="M628">
        <v>2.1</v>
      </c>
      <c r="N628">
        <v>0.9952606635071091</v>
      </c>
      <c r="O628">
        <v>0</v>
      </c>
      <c r="P628">
        <v>0</v>
      </c>
      <c r="Q628">
        <v>0.358874326042168</v>
      </c>
      <c r="R628" t="s">
        <v>781</v>
      </c>
      <c r="S628" t="s">
        <v>793</v>
      </c>
      <c r="T628">
        <v>1504.54191</v>
      </c>
      <c r="U628" s="2">
        <v>44502</v>
      </c>
      <c r="V628" t="s">
        <v>802</v>
      </c>
    </row>
    <row r="629" spans="1:22">
      <c r="A629" s="1" t="s">
        <v>649</v>
      </c>
      <c r="B629">
        <f>HYPERLINK("https://www.suredividend.com/sure-analysis-EPR/","EPR Properties")</f>
        <v>0</v>
      </c>
      <c r="C629">
        <v>46.48</v>
      </c>
      <c r="D629">
        <v>42</v>
      </c>
      <c r="E629">
        <v>1.106666666666667</v>
      </c>
      <c r="F629">
        <v>0.06454388984509467</v>
      </c>
      <c r="G629">
        <v>-0.02006643345200898</v>
      </c>
      <c r="H629">
        <v>0.08</v>
      </c>
      <c r="I629">
        <v>0.1094376111532325</v>
      </c>
      <c r="J629" t="s">
        <v>778</v>
      </c>
      <c r="K629" t="s">
        <v>345</v>
      </c>
      <c r="L629">
        <v>3</v>
      </c>
      <c r="M629">
        <v>3</v>
      </c>
      <c r="N629">
        <v>1</v>
      </c>
      <c r="O629">
        <v>0</v>
      </c>
      <c r="P629">
        <v>0.03012896281839894</v>
      </c>
      <c r="Q629">
        <v>0.495707242981631</v>
      </c>
      <c r="R629" t="s">
        <v>782</v>
      </c>
      <c r="S629" t="s">
        <v>794</v>
      </c>
      <c r="T629">
        <v>3476.956526</v>
      </c>
      <c r="U629" s="2">
        <v>44522</v>
      </c>
      <c r="V629" t="s">
        <v>801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41.59</v>
      </c>
      <c r="D630">
        <v>45</v>
      </c>
      <c r="E630">
        <v>0.9242222222222223</v>
      </c>
      <c r="F630">
        <v>0.06395768213512863</v>
      </c>
      <c r="G630">
        <v>0.01588539967925029</v>
      </c>
      <c r="H630">
        <v>0.04</v>
      </c>
      <c r="I630">
        <v>0.1067225490170747</v>
      </c>
      <c r="J630" t="s">
        <v>778</v>
      </c>
      <c r="K630" t="s">
        <v>345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0.324745896600381</v>
      </c>
      <c r="R630" t="s">
        <v>781</v>
      </c>
      <c r="S630" t="s">
        <v>793</v>
      </c>
      <c r="T630">
        <v>20130.625661</v>
      </c>
      <c r="U630" s="2">
        <v>44509</v>
      </c>
      <c r="V630" t="s">
        <v>803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3.81</v>
      </c>
      <c r="D631">
        <v>3.9</v>
      </c>
      <c r="E631">
        <v>0.976923076923077</v>
      </c>
      <c r="F631">
        <v>0.1049868766404199</v>
      </c>
      <c r="G631">
        <v>0.004680391776183512</v>
      </c>
      <c r="H631">
        <v>0.02</v>
      </c>
      <c r="I631">
        <v>0.1060241991411341</v>
      </c>
      <c r="J631" t="s">
        <v>778</v>
      </c>
      <c r="K631" t="s">
        <v>345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0.1368383362177</v>
      </c>
      <c r="R631" t="s">
        <v>780</v>
      </c>
      <c r="S631" t="s">
        <v>794</v>
      </c>
      <c r="T631">
        <v>1445.08147</v>
      </c>
      <c r="U631" s="2">
        <v>44526</v>
      </c>
      <c r="V631" t="s">
        <v>801</v>
      </c>
    </row>
    <row r="632" spans="1:22">
      <c r="A632" s="1" t="s">
        <v>652</v>
      </c>
      <c r="B632">
        <f>HYPERLINK("https://www.suredividend.com/sure-analysis-QSR/","Restaurant Brands International Inc")</f>
        <v>0</v>
      </c>
      <c r="C632">
        <v>59.31</v>
      </c>
      <c r="D632">
        <v>53</v>
      </c>
      <c r="E632">
        <v>1.119056603773585</v>
      </c>
      <c r="F632">
        <v>0.03574439386275502</v>
      </c>
      <c r="G632">
        <v>-0.02224602750435078</v>
      </c>
      <c r="H632">
        <v>0.1</v>
      </c>
      <c r="I632">
        <v>0.1036834924709795</v>
      </c>
      <c r="J632" t="s">
        <v>778</v>
      </c>
      <c r="K632" t="s">
        <v>526</v>
      </c>
      <c r="L632">
        <v>2.8</v>
      </c>
      <c r="M632">
        <v>2.12</v>
      </c>
      <c r="N632">
        <v>0.7571428571428572</v>
      </c>
      <c r="O632">
        <v>9</v>
      </c>
      <c r="P632">
        <v>0.03517300006217261</v>
      </c>
      <c r="Q632">
        <v>0.009159170144814001</v>
      </c>
      <c r="R632" t="s">
        <v>780</v>
      </c>
      <c r="S632" t="s">
        <v>788</v>
      </c>
      <c r="T632">
        <v>18708.308158</v>
      </c>
      <c r="U632" s="2">
        <v>44495</v>
      </c>
      <c r="V632" t="s">
        <v>803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4.65</v>
      </c>
      <c r="D633">
        <v>3.6</v>
      </c>
      <c r="E633">
        <v>1.291666666666667</v>
      </c>
      <c r="F633">
        <v>0.167741935483871</v>
      </c>
      <c r="G633">
        <v>-0.04989870601803115</v>
      </c>
      <c r="H633">
        <v>0.003</v>
      </c>
      <c r="I633">
        <v>0.1036551154787835</v>
      </c>
      <c r="J633" t="s">
        <v>778</v>
      </c>
      <c r="K633" t="s">
        <v>777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0</v>
      </c>
      <c r="R633" t="s">
        <v>782</v>
      </c>
      <c r="S633" t="s">
        <v>794</v>
      </c>
      <c r="T633">
        <v>823.017678</v>
      </c>
      <c r="U633" s="2">
        <v>44506</v>
      </c>
      <c r="V633" t="s">
        <v>805</v>
      </c>
    </row>
    <row r="634" spans="1:22">
      <c r="A634" s="1" t="s">
        <v>654</v>
      </c>
      <c r="B634">
        <f>HYPERLINK("https://www.suredividend.com/sure-analysis-MGP/","MGM Growth Properties LLC")</f>
        <v>0</v>
      </c>
      <c r="C634">
        <v>39.71</v>
      </c>
      <c r="D634">
        <v>38</v>
      </c>
      <c r="E634">
        <v>1.045</v>
      </c>
      <c r="F634">
        <v>0.0528834046839587</v>
      </c>
      <c r="G634">
        <v>-0.008764740818979599</v>
      </c>
      <c r="H634">
        <v>0.07000000000000001</v>
      </c>
      <c r="I634">
        <v>0.1032771289140149</v>
      </c>
      <c r="J634" t="s">
        <v>778</v>
      </c>
      <c r="K634" t="s">
        <v>345</v>
      </c>
      <c r="L634">
        <v>2.54</v>
      </c>
      <c r="M634">
        <v>2.1</v>
      </c>
      <c r="N634">
        <v>0.8267716535433071</v>
      </c>
      <c r="O634">
        <v>5</v>
      </c>
      <c r="P634">
        <v>0.03382368391565871</v>
      </c>
      <c r="Q634">
        <v>0.336317135549872</v>
      </c>
      <c r="R634" t="s">
        <v>782</v>
      </c>
      <c r="S634" t="s">
        <v>794</v>
      </c>
      <c r="T634">
        <v>6221.001718</v>
      </c>
      <c r="U634" s="2">
        <v>44507</v>
      </c>
      <c r="V634" t="s">
        <v>798</v>
      </c>
    </row>
    <row r="635" spans="1:22">
      <c r="A635" s="1" t="s">
        <v>655</v>
      </c>
      <c r="B635">
        <f>HYPERLINK("https://www.suredividend.com/sure-analysis-VGR/","Vector Group Ltd")</f>
        <v>0</v>
      </c>
      <c r="C635">
        <v>16.96</v>
      </c>
      <c r="D635">
        <v>20</v>
      </c>
      <c r="E635">
        <v>0.8480000000000001</v>
      </c>
      <c r="F635">
        <v>0.04716981132075472</v>
      </c>
      <c r="G635">
        <v>0.03352462704646753</v>
      </c>
      <c r="H635">
        <v>0.03</v>
      </c>
      <c r="I635">
        <v>0.09896088825933913</v>
      </c>
      <c r="J635" t="s">
        <v>778</v>
      </c>
      <c r="K635" t="s">
        <v>526</v>
      </c>
      <c r="L635">
        <v>1</v>
      </c>
      <c r="M635">
        <v>0.8</v>
      </c>
      <c r="N635">
        <v>0.8</v>
      </c>
      <c r="O635">
        <v>0</v>
      </c>
      <c r="P635">
        <v>0</v>
      </c>
      <c r="Q635">
        <v>0.5125975473801561</v>
      </c>
      <c r="R635" t="s">
        <v>780</v>
      </c>
      <c r="S635" t="s">
        <v>791</v>
      </c>
      <c r="T635">
        <v>2611.151882</v>
      </c>
      <c r="U635" s="2">
        <v>44454</v>
      </c>
      <c r="V635" t="s">
        <v>800</v>
      </c>
    </row>
    <row r="636" spans="1:22">
      <c r="A636" s="1" t="s">
        <v>656</v>
      </c>
      <c r="B636">
        <f>HYPERLINK("https://www.suredividend.com/sure-analysis-AAT/","American Assets Trust Inc")</f>
        <v>0</v>
      </c>
      <c r="C636">
        <v>36.36</v>
      </c>
      <c r="D636">
        <v>38</v>
      </c>
      <c r="E636">
        <v>0.9568421052631578</v>
      </c>
      <c r="F636">
        <v>0.033003300330033</v>
      </c>
      <c r="G636">
        <v>0.008862418823081253</v>
      </c>
      <c r="H636">
        <v>0.06</v>
      </c>
      <c r="I636">
        <v>0.09717682077530476</v>
      </c>
      <c r="J636" t="s">
        <v>778</v>
      </c>
      <c r="K636" t="s">
        <v>526</v>
      </c>
      <c r="L636">
        <v>1.92</v>
      </c>
      <c r="M636">
        <v>1.2</v>
      </c>
      <c r="N636">
        <v>0.625</v>
      </c>
      <c r="O636">
        <v>1</v>
      </c>
      <c r="P636">
        <v>0.04978904632428516</v>
      </c>
      <c r="Q636">
        <v>0.334116093050561</v>
      </c>
      <c r="R636" t="s">
        <v>782</v>
      </c>
      <c r="S636" t="s">
        <v>794</v>
      </c>
      <c r="T636">
        <v>2198.764283</v>
      </c>
      <c r="U636" s="2">
        <v>44502</v>
      </c>
      <c r="V636" t="s">
        <v>803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47.14</v>
      </c>
      <c r="D637">
        <v>50</v>
      </c>
      <c r="E637">
        <v>0.9428</v>
      </c>
      <c r="F637">
        <v>0.05409418752651676</v>
      </c>
      <c r="G637">
        <v>0.01184988166263246</v>
      </c>
      <c r="H637">
        <v>0.04</v>
      </c>
      <c r="I637">
        <v>0.09550760024479121</v>
      </c>
      <c r="J637" t="s">
        <v>778</v>
      </c>
      <c r="K637" t="s">
        <v>345</v>
      </c>
      <c r="L637">
        <v>3.3</v>
      </c>
      <c r="M637">
        <v>2.55</v>
      </c>
      <c r="N637">
        <v>0.7727272727272727</v>
      </c>
      <c r="O637">
        <v>1</v>
      </c>
      <c r="P637">
        <v>0.02033265364950054</v>
      </c>
      <c r="Q637">
        <v>0.260650275182251</v>
      </c>
      <c r="R637" t="s">
        <v>782</v>
      </c>
      <c r="S637" t="s">
        <v>794</v>
      </c>
      <c r="T637">
        <v>5813.094367</v>
      </c>
      <c r="U637" s="2">
        <v>44509</v>
      </c>
      <c r="V637" t="s">
        <v>795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14.95</v>
      </c>
      <c r="D638">
        <v>12.4</v>
      </c>
      <c r="E638">
        <v>1.205645161290323</v>
      </c>
      <c r="F638">
        <v>0.1070234113712375</v>
      </c>
      <c r="G638">
        <v>-0.03671211460288804</v>
      </c>
      <c r="H638">
        <v>0.04</v>
      </c>
      <c r="I638">
        <v>0.09496511048292922</v>
      </c>
      <c r="J638" t="s">
        <v>778</v>
      </c>
      <c r="K638" t="s">
        <v>345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-0.022914134086244</v>
      </c>
      <c r="R638" t="s">
        <v>782</v>
      </c>
      <c r="S638" t="s">
        <v>794</v>
      </c>
      <c r="T638">
        <v>1548.883956</v>
      </c>
      <c r="U638" s="2">
        <v>44509</v>
      </c>
      <c r="V638" t="s">
        <v>805</v>
      </c>
    </row>
    <row r="639" spans="1:22">
      <c r="A639" s="1" t="s">
        <v>659</v>
      </c>
      <c r="B639">
        <f>HYPERLINK("https://www.suredividend.com/sure-analysis-HR/","Healthcare Realty Trust, Inc.")</f>
        <v>0</v>
      </c>
      <c r="C639">
        <v>31.17</v>
      </c>
      <c r="D639">
        <v>32</v>
      </c>
      <c r="E639">
        <v>0.9740625000000001</v>
      </c>
      <c r="F639">
        <v>0.03881937760667308</v>
      </c>
      <c r="G639">
        <v>0.005269798602612452</v>
      </c>
      <c r="H639">
        <v>0.06</v>
      </c>
      <c r="I639">
        <v>0.09492427506452805</v>
      </c>
      <c r="J639" t="s">
        <v>778</v>
      </c>
      <c r="K639" t="s">
        <v>526</v>
      </c>
      <c r="L639">
        <v>1.72</v>
      </c>
      <c r="M639">
        <v>1.21</v>
      </c>
      <c r="N639">
        <v>0.7034883720930233</v>
      </c>
      <c r="O639">
        <v>1</v>
      </c>
      <c r="P639">
        <v>0.00972630418295628</v>
      </c>
      <c r="Q639">
        <v>0.108503147338098</v>
      </c>
      <c r="R639" t="s">
        <v>782</v>
      </c>
      <c r="S639" t="s">
        <v>794</v>
      </c>
      <c r="T639">
        <v>4598.878903</v>
      </c>
      <c r="U639" s="2">
        <v>44513</v>
      </c>
      <c r="V639" t="s">
        <v>802</v>
      </c>
    </row>
    <row r="640" spans="1:22">
      <c r="A640" s="1" t="s">
        <v>660</v>
      </c>
      <c r="B640">
        <f>HYPERLINK("https://www.suredividend.com/sure-analysis-NTST/","Netstreit Corp")</f>
        <v>0</v>
      </c>
      <c r="C640">
        <v>21.68</v>
      </c>
      <c r="D640">
        <v>21</v>
      </c>
      <c r="E640">
        <v>1.032380952380952</v>
      </c>
      <c r="F640">
        <v>0.03690036900369004</v>
      </c>
      <c r="G640">
        <v>-0.006353279796510791</v>
      </c>
      <c r="H640">
        <v>0.07000000000000001</v>
      </c>
      <c r="I640">
        <v>0.09476076306922243</v>
      </c>
      <c r="J640" t="s">
        <v>778</v>
      </c>
      <c r="K640" t="s">
        <v>526</v>
      </c>
      <c r="L640">
        <v>0.9399999999999999</v>
      </c>
      <c r="M640">
        <v>0.8</v>
      </c>
      <c r="N640">
        <v>0.8510638297872342</v>
      </c>
      <c r="O640">
        <v>1</v>
      </c>
      <c r="P640">
        <v>0.04978904632428516</v>
      </c>
      <c r="Q640">
        <v>0.217362007973496</v>
      </c>
      <c r="R640" t="s">
        <v>782</v>
      </c>
      <c r="S640" t="s">
        <v>794</v>
      </c>
      <c r="T640">
        <v>859.068352</v>
      </c>
      <c r="U640" s="2">
        <v>44502</v>
      </c>
      <c r="V640" t="s">
        <v>802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27.93</v>
      </c>
      <c r="D641">
        <v>27.05</v>
      </c>
      <c r="E641">
        <v>1.032532347504621</v>
      </c>
      <c r="F641">
        <v>0.0372359470103831</v>
      </c>
      <c r="G641">
        <v>-0.006382420208846273</v>
      </c>
      <c r="H641">
        <v>0.07000000000000001</v>
      </c>
      <c r="I641">
        <v>0.09435480802360496</v>
      </c>
      <c r="J641" t="s">
        <v>778</v>
      </c>
      <c r="K641" t="s">
        <v>526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0.385698480345705</v>
      </c>
      <c r="R641" t="s">
        <v>782</v>
      </c>
      <c r="S641" t="s">
        <v>794</v>
      </c>
      <c r="T641">
        <v>3395.557966</v>
      </c>
      <c r="U641" s="2">
        <v>44508</v>
      </c>
      <c r="V641" t="s">
        <v>802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11.02</v>
      </c>
      <c r="D642">
        <v>12.4</v>
      </c>
      <c r="E642">
        <v>0.8887096774193548</v>
      </c>
      <c r="F642">
        <v>0.03085299455535391</v>
      </c>
      <c r="G642">
        <v>0.02387754425432798</v>
      </c>
      <c r="H642">
        <v>0.042</v>
      </c>
      <c r="I642">
        <v>0.09375612639598963</v>
      </c>
      <c r="J642" t="s">
        <v>778</v>
      </c>
      <c r="K642" t="s">
        <v>778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-0.05806330293265401</v>
      </c>
      <c r="R642" t="s">
        <v>780</v>
      </c>
      <c r="S642" t="s">
        <v>792</v>
      </c>
      <c r="T642">
        <v>167.621903</v>
      </c>
      <c r="U642" s="2">
        <v>44517</v>
      </c>
      <c r="V642" t="s">
        <v>805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15.22</v>
      </c>
      <c r="D643">
        <v>16</v>
      </c>
      <c r="E643">
        <v>0.95125</v>
      </c>
      <c r="F643">
        <v>0.06701708278580815</v>
      </c>
      <c r="G643">
        <v>0.0100457975774555</v>
      </c>
      <c r="H643">
        <v>0.03</v>
      </c>
      <c r="I643">
        <v>0.09213762120441649</v>
      </c>
      <c r="J643" t="s">
        <v>778</v>
      </c>
      <c r="K643" t="s">
        <v>345</v>
      </c>
      <c r="L643">
        <v>1.15</v>
      </c>
      <c r="M643">
        <v>1.02</v>
      </c>
      <c r="N643">
        <v>0.8869565217391305</v>
      </c>
      <c r="O643">
        <v>0</v>
      </c>
      <c r="P643">
        <v>0</v>
      </c>
      <c r="Q643">
        <v>-0.025707994059507</v>
      </c>
      <c r="R643" t="s">
        <v>780</v>
      </c>
      <c r="S643" t="s">
        <v>784</v>
      </c>
      <c r="T643">
        <v>41452.305283</v>
      </c>
      <c r="U643" s="2">
        <v>44528</v>
      </c>
      <c r="V643" t="s">
        <v>801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14.41</v>
      </c>
      <c r="D644">
        <v>14.64</v>
      </c>
      <c r="E644">
        <v>0.9842896174863388</v>
      </c>
      <c r="F644">
        <v>0.08605135322692574</v>
      </c>
      <c r="G644">
        <v>0.003172040009653765</v>
      </c>
      <c r="H644">
        <v>0.02</v>
      </c>
      <c r="I644">
        <v>0.09188299474518913</v>
      </c>
      <c r="J644" t="s">
        <v>778</v>
      </c>
      <c r="K644" t="s">
        <v>345</v>
      </c>
      <c r="L644">
        <v>1.22</v>
      </c>
      <c r="M644">
        <v>1.24</v>
      </c>
      <c r="N644">
        <v>1.016393442622951</v>
      </c>
      <c r="O644">
        <v>0</v>
      </c>
      <c r="P644">
        <v>0</v>
      </c>
      <c r="Q644">
        <v>0.211036314281152</v>
      </c>
      <c r="R644" t="s">
        <v>783</v>
      </c>
      <c r="S644" t="s">
        <v>789</v>
      </c>
      <c r="T644">
        <v>5665.328303</v>
      </c>
      <c r="U644" s="2">
        <v>44509</v>
      </c>
      <c r="V644" t="s">
        <v>795</v>
      </c>
    </row>
    <row r="645" spans="1:22">
      <c r="A645" s="1" t="s">
        <v>665</v>
      </c>
      <c r="B645">
        <f>HYPERLINK("https://www.suredividend.com/sure-analysis-FCPT/","Four Corners Property Trust Inc")</f>
        <v>0</v>
      </c>
      <c r="C645">
        <v>28.67</v>
      </c>
      <c r="D645">
        <v>29</v>
      </c>
      <c r="E645">
        <v>0.9886206896551725</v>
      </c>
      <c r="F645">
        <v>0.0463899546564353</v>
      </c>
      <c r="G645">
        <v>0.002291531572560679</v>
      </c>
      <c r="H645">
        <v>0.05</v>
      </c>
      <c r="I645">
        <v>0.09011140745321566</v>
      </c>
      <c r="J645" t="s">
        <v>778</v>
      </c>
      <c r="K645" t="s">
        <v>526</v>
      </c>
      <c r="L645">
        <v>1.53</v>
      </c>
      <c r="M645">
        <v>1.33</v>
      </c>
      <c r="N645">
        <v>0.869281045751634</v>
      </c>
      <c r="O645">
        <v>4</v>
      </c>
      <c r="P645">
        <v>0.02297948759813462</v>
      </c>
      <c r="Q645">
        <v>0.025488779357164</v>
      </c>
      <c r="R645" t="s">
        <v>782</v>
      </c>
      <c r="S645" t="s">
        <v>794</v>
      </c>
      <c r="T645">
        <v>2217.699988</v>
      </c>
      <c r="U645" s="2">
        <v>44499</v>
      </c>
      <c r="V645" t="s">
        <v>798</v>
      </c>
    </row>
    <row r="646" spans="1:22">
      <c r="A646" s="1" t="s">
        <v>666</v>
      </c>
      <c r="B646">
        <f>HYPERLINK("https://www.suredividend.com/sure-analysis-WSO/","Watsco Inc.")</f>
        <v>0</v>
      </c>
      <c r="C646">
        <v>302.91</v>
      </c>
      <c r="D646">
        <v>257</v>
      </c>
      <c r="E646">
        <v>1.17863813229572</v>
      </c>
      <c r="F646">
        <v>0.02575022283846687</v>
      </c>
      <c r="G646">
        <v>-0.03233751919114558</v>
      </c>
      <c r="H646">
        <v>0.1</v>
      </c>
      <c r="I646">
        <v>0.0900996041445159</v>
      </c>
      <c r="J646" t="s">
        <v>778</v>
      </c>
      <c r="K646" t="s">
        <v>778</v>
      </c>
      <c r="L646">
        <v>10.29</v>
      </c>
      <c r="M646">
        <v>7.8</v>
      </c>
      <c r="N646">
        <v>0.7580174927113703</v>
      </c>
      <c r="O646">
        <v>8</v>
      </c>
      <c r="P646">
        <v>0.0999653567765697</v>
      </c>
      <c r="Q646">
        <v>0.325978604691069</v>
      </c>
      <c r="R646" t="s">
        <v>782</v>
      </c>
      <c r="S646" t="s">
        <v>794</v>
      </c>
      <c r="T646">
        <v>11729.601545</v>
      </c>
      <c r="U646" s="2">
        <v>44490</v>
      </c>
      <c r="V646" t="s">
        <v>796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17.83</v>
      </c>
      <c r="D647">
        <v>17</v>
      </c>
      <c r="E647">
        <v>1.048823529411765</v>
      </c>
      <c r="F647">
        <v>0.105440269209198</v>
      </c>
      <c r="G647">
        <v>-0.009488514808806081</v>
      </c>
      <c r="H647">
        <v>0.01</v>
      </c>
      <c r="I647">
        <v>0.08867373962359548</v>
      </c>
      <c r="J647" t="s">
        <v>778</v>
      </c>
      <c r="K647" t="s">
        <v>345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0.080337613077962</v>
      </c>
      <c r="R647" t="s">
        <v>782</v>
      </c>
      <c r="S647" t="s">
        <v>789</v>
      </c>
      <c r="T647">
        <v>1729.629354</v>
      </c>
      <c r="U647" s="2">
        <v>44512</v>
      </c>
      <c r="V647" t="s">
        <v>802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19.41</v>
      </c>
      <c r="D648">
        <v>20.64</v>
      </c>
      <c r="E648">
        <v>0.9404069767441861</v>
      </c>
      <c r="F648">
        <v>0.09273570324574962</v>
      </c>
      <c r="G648">
        <v>0.01236432263788423</v>
      </c>
      <c r="H648">
        <v>0</v>
      </c>
      <c r="I648">
        <v>0.08835488971795846</v>
      </c>
      <c r="J648" t="s">
        <v>778</v>
      </c>
      <c r="K648" t="s">
        <v>345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0.124207234079522</v>
      </c>
      <c r="R648" t="s">
        <v>783</v>
      </c>
      <c r="S648" t="s">
        <v>789</v>
      </c>
      <c r="T648">
        <v>1976.303122</v>
      </c>
      <c r="U648" s="2">
        <v>44513</v>
      </c>
      <c r="V648" t="s">
        <v>795</v>
      </c>
    </row>
    <row r="649" spans="1:22">
      <c r="A649" s="1" t="s">
        <v>669</v>
      </c>
      <c r="B649">
        <f>HYPERLINK("https://www.suredividend.com/sure-analysis-CTRE/","CareTrust REIT Inc")</f>
        <v>0</v>
      </c>
      <c r="C649">
        <v>22.43</v>
      </c>
      <c r="D649">
        <v>22</v>
      </c>
      <c r="E649">
        <v>1.019545454545455</v>
      </c>
      <c r="F649">
        <v>0.04725813642443157</v>
      </c>
      <c r="G649">
        <v>-0.003863894908023635</v>
      </c>
      <c r="H649">
        <v>0.05</v>
      </c>
      <c r="I649">
        <v>0.08815453760336833</v>
      </c>
      <c r="J649" t="s">
        <v>778</v>
      </c>
      <c r="K649" t="s">
        <v>345</v>
      </c>
      <c r="L649">
        <v>1.5</v>
      </c>
      <c r="M649">
        <v>1.06</v>
      </c>
      <c r="N649">
        <v>0.7066666666666667</v>
      </c>
      <c r="O649">
        <v>5</v>
      </c>
      <c r="P649">
        <v>0.04955591526723868</v>
      </c>
      <c r="Q649">
        <v>0.048414990978863</v>
      </c>
      <c r="R649" t="s">
        <v>782</v>
      </c>
      <c r="S649" t="s">
        <v>794</v>
      </c>
      <c r="T649">
        <v>2176.446736</v>
      </c>
      <c r="U649" s="2">
        <v>44508</v>
      </c>
      <c r="V649" t="s">
        <v>802</v>
      </c>
    </row>
    <row r="650" spans="1:22">
      <c r="A650" s="1" t="s">
        <v>670</v>
      </c>
      <c r="B650">
        <f>HYPERLINK("https://www.suredividend.com/sure-analysis-AQN/","Algonquin Power &amp; Utilities Corp")</f>
        <v>0</v>
      </c>
      <c r="C650">
        <v>14.32</v>
      </c>
      <c r="D650">
        <v>13</v>
      </c>
      <c r="E650">
        <v>1.101538461538462</v>
      </c>
      <c r="F650">
        <v>0.04748603351955308</v>
      </c>
      <c r="G650">
        <v>-0.01915571295149487</v>
      </c>
      <c r="H650">
        <v>0.065</v>
      </c>
      <c r="I650">
        <v>0.08786891192464341</v>
      </c>
      <c r="J650" t="s">
        <v>778</v>
      </c>
      <c r="K650" t="s">
        <v>526</v>
      </c>
      <c r="L650">
        <v>0.73</v>
      </c>
      <c r="M650">
        <v>0.68</v>
      </c>
      <c r="N650">
        <v>0.9315068493150686</v>
      </c>
      <c r="O650">
        <v>9</v>
      </c>
      <c r="P650">
        <v>0.05530068195228077</v>
      </c>
      <c r="Q650">
        <v>-0.074289556020996</v>
      </c>
      <c r="R650" t="s">
        <v>780</v>
      </c>
      <c r="S650" t="s">
        <v>792</v>
      </c>
      <c r="T650">
        <v>9621.254969</v>
      </c>
      <c r="U650" s="2">
        <v>44513</v>
      </c>
      <c r="V650" t="s">
        <v>804</v>
      </c>
    </row>
    <row r="651" spans="1:22">
      <c r="A651" s="1" t="s">
        <v>671</v>
      </c>
      <c r="B651">
        <f>HYPERLINK("https://www.suredividend.com/sure-analysis-ACRE/","Ares Commercial Real Estate Corp")</f>
        <v>0</v>
      </c>
      <c r="C651">
        <v>14.75</v>
      </c>
      <c r="D651">
        <v>15.87</v>
      </c>
      <c r="E651">
        <v>0.9294265910523</v>
      </c>
      <c r="F651">
        <v>0.08949152542372882</v>
      </c>
      <c r="G651">
        <v>0.01474514302605234</v>
      </c>
      <c r="H651">
        <v>0</v>
      </c>
      <c r="I651">
        <v>0.08783295287158532</v>
      </c>
      <c r="J651" t="s">
        <v>778</v>
      </c>
      <c r="K651" t="s">
        <v>345</v>
      </c>
      <c r="L651">
        <v>1.38</v>
      </c>
      <c r="M651">
        <v>1.32</v>
      </c>
      <c r="N651">
        <v>0.9565217391304349</v>
      </c>
      <c r="O651">
        <v>0</v>
      </c>
      <c r="P651">
        <v>0</v>
      </c>
      <c r="Q651">
        <v>0.270215807512788</v>
      </c>
      <c r="R651" t="s">
        <v>782</v>
      </c>
      <c r="S651" t="s">
        <v>794</v>
      </c>
      <c r="T651">
        <v>693.2768600000001</v>
      </c>
      <c r="U651" s="2">
        <v>44506</v>
      </c>
      <c r="V651" t="s">
        <v>795</v>
      </c>
    </row>
    <row r="652" spans="1:22">
      <c r="A652" s="1" t="s">
        <v>672</v>
      </c>
      <c r="B652">
        <f>HYPERLINK("https://www.suredividend.com/sure-analysis-CTO/","CTO Realty Growth Inc")</f>
        <v>0</v>
      </c>
      <c r="C652">
        <v>59.76</v>
      </c>
      <c r="D652">
        <v>56</v>
      </c>
      <c r="E652">
        <v>1.067142857142857</v>
      </c>
      <c r="F652">
        <v>0.06693440428380187</v>
      </c>
      <c r="G652">
        <v>-0.01291287412790376</v>
      </c>
      <c r="H652">
        <v>0.045</v>
      </c>
      <c r="I652">
        <v>0.08781297566953739</v>
      </c>
      <c r="J652" t="s">
        <v>778</v>
      </c>
      <c r="K652" t="s">
        <v>345</v>
      </c>
      <c r="L652">
        <v>4.15</v>
      </c>
      <c r="M652">
        <v>4</v>
      </c>
      <c r="N652">
        <v>0.9638554216867469</v>
      </c>
      <c r="O652">
        <v>8</v>
      </c>
      <c r="P652">
        <v>0.02016978262061087</v>
      </c>
      <c r="Q652">
        <v>0.373452108442041</v>
      </c>
      <c r="R652" t="s">
        <v>782</v>
      </c>
      <c r="S652" t="s">
        <v>794</v>
      </c>
      <c r="T652">
        <v>356.298084</v>
      </c>
      <c r="U652" s="2">
        <v>44502</v>
      </c>
      <c r="V652" t="s">
        <v>802</v>
      </c>
    </row>
    <row r="653" spans="1:22">
      <c r="A653" s="1" t="s">
        <v>673</v>
      </c>
      <c r="B653">
        <f>HYPERLINK("https://www.suredividend.com/sure-analysis-IDEXY/","Industria De Diseno Textil SA")</f>
        <v>0</v>
      </c>
      <c r="C653">
        <v>15.88</v>
      </c>
      <c r="D653">
        <v>15.5</v>
      </c>
      <c r="E653">
        <v>1.024516129032258</v>
      </c>
      <c r="F653">
        <v>0.02581863979848866</v>
      </c>
      <c r="G653">
        <v>-0.004832372713969302</v>
      </c>
      <c r="H653">
        <v>0.07000000000000001</v>
      </c>
      <c r="I653">
        <v>0.08709154070407377</v>
      </c>
      <c r="J653" t="s">
        <v>778</v>
      </c>
      <c r="K653" t="s">
        <v>778</v>
      </c>
      <c r="L653">
        <v>0.62</v>
      </c>
      <c r="M653">
        <v>0.41</v>
      </c>
      <c r="N653">
        <v>0.6612903225806451</v>
      </c>
      <c r="O653">
        <v>1</v>
      </c>
      <c r="P653">
        <v>0.04868220215701746</v>
      </c>
      <c r="Q653">
        <v>0.005063291139240001</v>
      </c>
      <c r="R653" t="s">
        <v>780</v>
      </c>
      <c r="S653" t="s">
        <v>788</v>
      </c>
      <c r="T653">
        <v>98984.86752</v>
      </c>
      <c r="U653" s="2">
        <v>44551</v>
      </c>
      <c r="V653" t="s">
        <v>795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8.19</v>
      </c>
      <c r="D654">
        <v>7.8</v>
      </c>
      <c r="E654">
        <v>1.05</v>
      </c>
      <c r="F654">
        <v>0.1074481074481075</v>
      </c>
      <c r="G654">
        <v>-0.009710577713137658</v>
      </c>
      <c r="H654">
        <v>-0.004</v>
      </c>
      <c r="I654">
        <v>0.08647894250261001</v>
      </c>
      <c r="J654" t="s">
        <v>778</v>
      </c>
      <c r="K654" t="s">
        <v>777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0.06993089213163101</v>
      </c>
      <c r="R654" t="s">
        <v>782</v>
      </c>
      <c r="S654" t="s">
        <v>794</v>
      </c>
      <c r="T654">
        <v>11876.488435</v>
      </c>
      <c r="U654" s="2">
        <v>44503</v>
      </c>
      <c r="V654" t="s">
        <v>805</v>
      </c>
    </row>
    <row r="655" spans="1:22">
      <c r="A655" s="1" t="s">
        <v>675</v>
      </c>
      <c r="B655">
        <f>HYPERLINK("https://www.suredividend.com/sure-analysis-CBRL/","Cracker Barrel Old Country Store Inc")</f>
        <v>0</v>
      </c>
      <c r="C655">
        <v>128.09</v>
      </c>
      <c r="D655">
        <v>127</v>
      </c>
      <c r="E655">
        <v>1.008582677165354</v>
      </c>
      <c r="F655">
        <v>0.04059645561714419</v>
      </c>
      <c r="G655">
        <v>-0.001707751207498109</v>
      </c>
      <c r="H655">
        <v>0.054</v>
      </c>
      <c r="I655">
        <v>0.08606777487063955</v>
      </c>
      <c r="J655" t="s">
        <v>778</v>
      </c>
      <c r="K655" t="s">
        <v>345</v>
      </c>
      <c r="L655">
        <v>8.460000000000001</v>
      </c>
      <c r="M655">
        <v>5.2</v>
      </c>
      <c r="N655">
        <v>0.6146572104018913</v>
      </c>
      <c r="O655">
        <v>1</v>
      </c>
      <c r="P655">
        <v>0.02903366107118788</v>
      </c>
      <c r="Q655">
        <v>-0.040246123782699</v>
      </c>
      <c r="R655" t="s">
        <v>780</v>
      </c>
      <c r="S655" t="s">
        <v>788</v>
      </c>
      <c r="T655">
        <v>3012.918506</v>
      </c>
      <c r="U655" s="2">
        <v>44524</v>
      </c>
      <c r="V655" t="s">
        <v>805</v>
      </c>
    </row>
    <row r="656" spans="1:22">
      <c r="A656" s="1" t="s">
        <v>676</v>
      </c>
      <c r="B656">
        <f>HYPERLINK("https://www.suredividend.com/sure-analysis-MRCC/","Monroe Capital Corp")</f>
        <v>0</v>
      </c>
      <c r="C656">
        <v>11.2</v>
      </c>
      <c r="D656">
        <v>11.6</v>
      </c>
      <c r="E656">
        <v>0.9655172413793103</v>
      </c>
      <c r="F656">
        <v>0.08928571428571429</v>
      </c>
      <c r="G656">
        <v>0.007042949693310208</v>
      </c>
      <c r="H656">
        <v>0</v>
      </c>
      <c r="I656">
        <v>0.08571076285740431</v>
      </c>
      <c r="J656" t="s">
        <v>778</v>
      </c>
      <c r="K656" t="s">
        <v>777</v>
      </c>
      <c r="L656">
        <v>1.45</v>
      </c>
      <c r="M656">
        <v>1</v>
      </c>
      <c r="N656">
        <v>0.6896551724137931</v>
      </c>
      <c r="O656">
        <v>0</v>
      </c>
      <c r="P656">
        <v>0.01924487649145656</v>
      </c>
      <c r="Q656">
        <v>0.5257192676547511</v>
      </c>
      <c r="R656" t="s">
        <v>783</v>
      </c>
      <c r="S656" t="s">
        <v>789</v>
      </c>
      <c r="T656">
        <v>241.287648</v>
      </c>
      <c r="U656" s="2">
        <v>44507</v>
      </c>
      <c r="V656" t="s">
        <v>795</v>
      </c>
    </row>
    <row r="657" spans="1:22">
      <c r="A657" s="1" t="s">
        <v>677</v>
      </c>
      <c r="B657">
        <f>HYPERLINK("https://www.suredividend.com/sure-analysis-KREF/","KKR Real Estate Finance Trust Inc")</f>
        <v>0</v>
      </c>
      <c r="C657">
        <v>21.26</v>
      </c>
      <c r="D657">
        <v>21.53</v>
      </c>
      <c r="E657">
        <v>0.9874593590339062</v>
      </c>
      <c r="F657">
        <v>0.08090310442144873</v>
      </c>
      <c r="G657">
        <v>0.00252717563097149</v>
      </c>
      <c r="H657">
        <v>0.015</v>
      </c>
      <c r="I657">
        <v>0.0856396839387954</v>
      </c>
      <c r="J657" t="s">
        <v>778</v>
      </c>
      <c r="K657" t="s">
        <v>345</v>
      </c>
      <c r="L657">
        <v>2.05</v>
      </c>
      <c r="M657">
        <v>1.72</v>
      </c>
      <c r="N657">
        <v>0.8390243902439025</v>
      </c>
      <c r="O657">
        <v>0</v>
      </c>
      <c r="P657">
        <v>0.01025271344829148</v>
      </c>
      <c r="Q657">
        <v>0.258911864326488</v>
      </c>
      <c r="R657" t="s">
        <v>782</v>
      </c>
      <c r="S657" t="s">
        <v>794</v>
      </c>
      <c r="T657">
        <v>1304.741762</v>
      </c>
      <c r="U657" s="2">
        <v>44495</v>
      </c>
      <c r="V657" t="s">
        <v>795</v>
      </c>
    </row>
    <row r="658" spans="1:22">
      <c r="A658" s="1" t="s">
        <v>678</v>
      </c>
      <c r="B658">
        <f>HYPERLINK("https://www.suredividend.com/sure-analysis-AFIN/","American Fin Tr Inc")</f>
        <v>0</v>
      </c>
      <c r="C658">
        <v>8.800000000000001</v>
      </c>
      <c r="D658">
        <v>9</v>
      </c>
      <c r="E658">
        <v>0.9777777777777779</v>
      </c>
      <c r="F658">
        <v>0.09659090909090907</v>
      </c>
      <c r="G658">
        <v>0.004504686905032917</v>
      </c>
      <c r="H658">
        <v>0</v>
      </c>
      <c r="I658">
        <v>0.08529209874064092</v>
      </c>
      <c r="J658" t="s">
        <v>778</v>
      </c>
      <c r="K658" t="s">
        <v>345</v>
      </c>
      <c r="L658">
        <v>1</v>
      </c>
      <c r="M658">
        <v>0.85</v>
      </c>
      <c r="N658">
        <v>0.85</v>
      </c>
      <c r="O658">
        <v>0</v>
      </c>
      <c r="P658">
        <v>0</v>
      </c>
      <c r="Q658">
        <v>0.278679472835326</v>
      </c>
      <c r="R658" t="s">
        <v>782</v>
      </c>
      <c r="S658" t="s">
        <v>794</v>
      </c>
      <c r="T658">
        <v>1086.856971</v>
      </c>
      <c r="U658" s="2">
        <v>44509</v>
      </c>
      <c r="V658" t="s">
        <v>795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11.03</v>
      </c>
      <c r="D659">
        <v>10</v>
      </c>
      <c r="E659">
        <v>1.103</v>
      </c>
      <c r="F659">
        <v>0.09066183136899365</v>
      </c>
      <c r="G659">
        <v>-0.01941578585539405</v>
      </c>
      <c r="H659">
        <v>0.02</v>
      </c>
      <c r="I659">
        <v>0.08402979316345482</v>
      </c>
      <c r="J659" t="s">
        <v>778</v>
      </c>
      <c r="K659" t="s">
        <v>345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0.169497635557817</v>
      </c>
      <c r="R659" t="s">
        <v>782</v>
      </c>
      <c r="S659" t="s">
        <v>794</v>
      </c>
      <c r="T659">
        <v>5146.376518</v>
      </c>
      <c r="U659" s="2">
        <v>44503</v>
      </c>
      <c r="V659" t="s">
        <v>797</v>
      </c>
    </row>
    <row r="660" spans="1:22">
      <c r="A660" s="1" t="s">
        <v>680</v>
      </c>
      <c r="B660">
        <f>HYPERLINK("https://www.suredividend.com/sure-analysis-HRZN/","Horizon Technology Finance Corp")</f>
        <v>0</v>
      </c>
      <c r="C660">
        <v>15.75</v>
      </c>
      <c r="D660">
        <v>15.76</v>
      </c>
      <c r="E660">
        <v>0.9993654822335025</v>
      </c>
      <c r="F660">
        <v>0.07619047619047618</v>
      </c>
      <c r="G660">
        <v>0.0001269518893274313</v>
      </c>
      <c r="H660">
        <v>0.02</v>
      </c>
      <c r="I660">
        <v>0.08240109610148183</v>
      </c>
      <c r="J660" t="s">
        <v>778</v>
      </c>
      <c r="K660" t="s">
        <v>345</v>
      </c>
      <c r="L660">
        <v>1.37</v>
      </c>
      <c r="M660">
        <v>1.2</v>
      </c>
      <c r="N660">
        <v>0.875912408759124</v>
      </c>
      <c r="O660">
        <v>0</v>
      </c>
      <c r="P660">
        <v>0</v>
      </c>
      <c r="Q660">
        <v>0.314833830048335</v>
      </c>
      <c r="R660" t="s">
        <v>783</v>
      </c>
      <c r="S660" t="s">
        <v>789</v>
      </c>
      <c r="T660">
        <v>321.729077</v>
      </c>
      <c r="U660" s="2">
        <v>44502</v>
      </c>
      <c r="V660" t="s">
        <v>795</v>
      </c>
    </row>
    <row r="661" spans="1:22">
      <c r="A661" s="1" t="s">
        <v>681</v>
      </c>
      <c r="B661">
        <f>HYPERLINK("https://www.suredividend.com/sure-analysis-CHCT/","Community Healthcare Trust Inc")</f>
        <v>0</v>
      </c>
      <c r="C661">
        <v>45.43</v>
      </c>
      <c r="D661">
        <v>43</v>
      </c>
      <c r="E661">
        <v>1.056511627906977</v>
      </c>
      <c r="F661">
        <v>0.03830068236847898</v>
      </c>
      <c r="G661">
        <v>-0.0109342940535595</v>
      </c>
      <c r="H661">
        <v>0.06</v>
      </c>
      <c r="I661">
        <v>0.08008101040752424</v>
      </c>
      <c r="J661" t="s">
        <v>778</v>
      </c>
      <c r="K661" t="s">
        <v>526</v>
      </c>
      <c r="L661">
        <v>2.21</v>
      </c>
      <c r="M661">
        <v>1.74</v>
      </c>
      <c r="N661">
        <v>0.7873303167420814</v>
      </c>
      <c r="O661">
        <v>6</v>
      </c>
      <c r="P661">
        <v>0.01988310171094443</v>
      </c>
      <c r="Q661">
        <v>0.009474797571749001</v>
      </c>
      <c r="R661" t="s">
        <v>782</v>
      </c>
      <c r="S661" t="s">
        <v>794</v>
      </c>
      <c r="T661">
        <v>1134.955248</v>
      </c>
      <c r="U661" s="2">
        <v>44508</v>
      </c>
      <c r="V661" t="s">
        <v>802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27.66</v>
      </c>
      <c r="D662">
        <v>29</v>
      </c>
      <c r="E662">
        <v>0.9537931034482758</v>
      </c>
      <c r="F662">
        <v>0.05712219812002892</v>
      </c>
      <c r="G662">
        <v>0.0095066041496219</v>
      </c>
      <c r="H662">
        <v>0.02</v>
      </c>
      <c r="I662">
        <v>0.08006400892820675</v>
      </c>
      <c r="J662" t="s">
        <v>778</v>
      </c>
      <c r="K662" t="s">
        <v>345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0.422729727644471</v>
      </c>
      <c r="R662" t="s">
        <v>780</v>
      </c>
      <c r="S662" t="s">
        <v>793</v>
      </c>
      <c r="T662">
        <v>49865.376748</v>
      </c>
      <c r="U662" s="2">
        <v>44502</v>
      </c>
      <c r="V662" t="s">
        <v>803</v>
      </c>
    </row>
    <row r="663" spans="1:22">
      <c r="A663" s="1" t="s">
        <v>683</v>
      </c>
      <c r="B663">
        <f>HYPERLINK("https://www.suredividend.com/sure-analysis-CSWC/","Capital Southwest Corp.")</f>
        <v>0</v>
      </c>
      <c r="C663">
        <v>25.31</v>
      </c>
      <c r="D663">
        <v>23</v>
      </c>
      <c r="E663">
        <v>1.100434782608696</v>
      </c>
      <c r="F663">
        <v>0.07427894112998815</v>
      </c>
      <c r="G663">
        <v>-0.01895904466004583</v>
      </c>
      <c r="H663">
        <v>0.03</v>
      </c>
      <c r="I663">
        <v>0.07858402666119302</v>
      </c>
      <c r="J663" t="s">
        <v>778</v>
      </c>
      <c r="K663" t="s">
        <v>345</v>
      </c>
      <c r="L663">
        <v>1.65</v>
      </c>
      <c r="M663">
        <v>1.88</v>
      </c>
      <c r="N663">
        <v>1.139393939393939</v>
      </c>
      <c r="O663">
        <v>5</v>
      </c>
      <c r="P663">
        <v>0.03005337366563188</v>
      </c>
      <c r="Q663">
        <v>0.6252383918423431</v>
      </c>
      <c r="R663" t="s">
        <v>783</v>
      </c>
      <c r="S663" t="s">
        <v>789</v>
      </c>
      <c r="T663">
        <v>590.761697</v>
      </c>
      <c r="U663" s="2">
        <v>44504</v>
      </c>
      <c r="V663" t="s">
        <v>795</v>
      </c>
    </row>
    <row r="664" spans="1:22">
      <c r="A664" s="1" t="s">
        <v>684</v>
      </c>
      <c r="B664">
        <f>HYPERLINK("https://www.suredividend.com/sure-analysis-EIC/","Eagle Point Income Company Inc")</f>
        <v>0</v>
      </c>
      <c r="C664">
        <v>17.14</v>
      </c>
      <c r="D664">
        <v>15.86</v>
      </c>
      <c r="E664">
        <v>1.080706179066835</v>
      </c>
      <c r="F664">
        <v>0.07759626604434072</v>
      </c>
      <c r="G664">
        <v>-0.01540307956262144</v>
      </c>
      <c r="H664">
        <v>0.02</v>
      </c>
      <c r="I664">
        <v>0.07774242646263785</v>
      </c>
      <c r="J664" t="s">
        <v>778</v>
      </c>
      <c r="K664" t="s">
        <v>345</v>
      </c>
      <c r="L664">
        <v>1.22</v>
      </c>
      <c r="M664">
        <v>1.33</v>
      </c>
      <c r="N664">
        <v>1.090163934426229</v>
      </c>
      <c r="O664">
        <v>1</v>
      </c>
      <c r="P664">
        <v>0.03635631157614205</v>
      </c>
      <c r="Q664">
        <v>0.240159759203519</v>
      </c>
      <c r="R664" t="s">
        <v>780</v>
      </c>
      <c r="S664" t="s">
        <v>789</v>
      </c>
      <c r="T664">
        <v>104.66469</v>
      </c>
      <c r="U664" s="2">
        <v>44517</v>
      </c>
      <c r="V664" t="s">
        <v>795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24.01</v>
      </c>
      <c r="D665">
        <v>24</v>
      </c>
      <c r="E665">
        <v>1.000416666666667</v>
      </c>
      <c r="F665">
        <v>0.05497709287796751</v>
      </c>
      <c r="G665">
        <v>-8.331250636361975e-05</v>
      </c>
      <c r="H665">
        <v>0.03</v>
      </c>
      <c r="I665">
        <v>0.07728236965264013</v>
      </c>
      <c r="J665" t="s">
        <v>778</v>
      </c>
      <c r="K665" t="s">
        <v>345</v>
      </c>
      <c r="L665">
        <v>1.87</v>
      </c>
      <c r="M665">
        <v>1.32</v>
      </c>
      <c r="N665">
        <v>0.7058823529411765</v>
      </c>
      <c r="O665">
        <v>0</v>
      </c>
      <c r="P665">
        <v>0.02036554426441151</v>
      </c>
      <c r="Q665">
        <v>0.113781010520846</v>
      </c>
      <c r="R665" t="s">
        <v>782</v>
      </c>
      <c r="S665" t="s">
        <v>794</v>
      </c>
      <c r="T665">
        <v>1570.364254</v>
      </c>
      <c r="U665" s="2">
        <v>44498</v>
      </c>
      <c r="V665" t="s">
        <v>795</v>
      </c>
    </row>
    <row r="666" spans="1:22">
      <c r="A666" s="1" t="s">
        <v>686</v>
      </c>
      <c r="B666">
        <f>HYPERLINK("https://www.suredividend.com/sure-analysis-VNO/","Vornado Realty Trust")</f>
        <v>0</v>
      </c>
      <c r="C666">
        <v>41.49</v>
      </c>
      <c r="D666">
        <v>42</v>
      </c>
      <c r="E666">
        <v>0.9878571428571429</v>
      </c>
      <c r="F666">
        <v>0.05109664979513136</v>
      </c>
      <c r="G666">
        <v>0.002446424412247739</v>
      </c>
      <c r="H666">
        <v>0.03</v>
      </c>
      <c r="I666">
        <v>0.07635579830106676</v>
      </c>
      <c r="J666" t="s">
        <v>778</v>
      </c>
      <c r="K666" t="s">
        <v>345</v>
      </c>
      <c r="L666">
        <v>2.8</v>
      </c>
      <c r="M666">
        <v>2.12</v>
      </c>
      <c r="N666">
        <v>0.7571428571428572</v>
      </c>
      <c r="O666">
        <v>0</v>
      </c>
      <c r="P666">
        <v>0.01994322923769842</v>
      </c>
      <c r="Q666">
        <v>0.195243225802734</v>
      </c>
      <c r="R666" t="s">
        <v>782</v>
      </c>
      <c r="S666" t="s">
        <v>794</v>
      </c>
      <c r="T666">
        <v>7947.855766</v>
      </c>
      <c r="U666" s="2">
        <v>44503</v>
      </c>
      <c r="V666" t="s">
        <v>795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24.48</v>
      </c>
      <c r="D667">
        <v>21</v>
      </c>
      <c r="E667">
        <v>1.165714285714286</v>
      </c>
      <c r="F667">
        <v>0.06576797385620915</v>
      </c>
      <c r="G667">
        <v>-0.03020134770418659</v>
      </c>
      <c r="H667">
        <v>0.05</v>
      </c>
      <c r="I667">
        <v>0.07628701908731284</v>
      </c>
      <c r="J667" t="s">
        <v>778</v>
      </c>
      <c r="K667" t="s">
        <v>345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0.055172413793103</v>
      </c>
      <c r="R667" t="s">
        <v>780</v>
      </c>
      <c r="S667" t="s">
        <v>789</v>
      </c>
      <c r="T667">
        <v>31089.336204</v>
      </c>
      <c r="U667" s="2">
        <v>44503</v>
      </c>
      <c r="V667" t="s">
        <v>795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13.58</v>
      </c>
      <c r="D668">
        <v>14</v>
      </c>
      <c r="E668">
        <v>0.97</v>
      </c>
      <c r="F668">
        <v>0.08836524300441825</v>
      </c>
      <c r="G668">
        <v>0.006110434499387196</v>
      </c>
      <c r="H668">
        <v>-0.005</v>
      </c>
      <c r="I668">
        <v>0.07574151828717124</v>
      </c>
      <c r="J668" t="s">
        <v>778</v>
      </c>
      <c r="K668" t="s">
        <v>345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0.304377059100383</v>
      </c>
      <c r="R668" t="s">
        <v>783</v>
      </c>
      <c r="S668" t="s">
        <v>789</v>
      </c>
      <c r="T668">
        <v>1315.996897</v>
      </c>
      <c r="U668" s="2">
        <v>44509</v>
      </c>
      <c r="V668" t="s">
        <v>795</v>
      </c>
    </row>
    <row r="669" spans="1:22">
      <c r="A669" s="1" t="s">
        <v>689</v>
      </c>
      <c r="B669">
        <f>HYPERLINK("https://www.suredividend.com/sure-analysis-VST/","Vistra Corp")</f>
        <v>0</v>
      </c>
      <c r="C669">
        <v>22.03</v>
      </c>
      <c r="D669">
        <v>19</v>
      </c>
      <c r="E669">
        <v>1.159473684210526</v>
      </c>
      <c r="F669">
        <v>0.02723558783477077</v>
      </c>
      <c r="G669">
        <v>-0.02915964417006933</v>
      </c>
      <c r="H669">
        <v>0.08</v>
      </c>
      <c r="I669">
        <v>0.07559439200083706</v>
      </c>
      <c r="J669" t="s">
        <v>778</v>
      </c>
      <c r="K669" t="s">
        <v>778</v>
      </c>
      <c r="L669">
        <v>-0.55</v>
      </c>
      <c r="M669">
        <v>0.6</v>
      </c>
      <c r="N669">
        <v>9.99</v>
      </c>
      <c r="O669">
        <v>2</v>
      </c>
      <c r="P669">
        <v>0.0796084730466029</v>
      </c>
      <c r="Q669">
        <v>0.231414197875908</v>
      </c>
      <c r="R669" t="s">
        <v>780</v>
      </c>
      <c r="S669" t="s">
        <v>792</v>
      </c>
      <c r="T669">
        <v>10632.284266</v>
      </c>
      <c r="U669" s="2">
        <v>44515</v>
      </c>
      <c r="V669" t="s">
        <v>802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49.2</v>
      </c>
      <c r="D670">
        <v>41</v>
      </c>
      <c r="E670">
        <v>1.2</v>
      </c>
      <c r="F670">
        <v>0.03658536585365853</v>
      </c>
      <c r="G670">
        <v>-0.03580749599737276</v>
      </c>
      <c r="H670">
        <v>0.08</v>
      </c>
      <c r="I670">
        <v>0.07535517393326541</v>
      </c>
      <c r="J670" t="s">
        <v>778</v>
      </c>
      <c r="K670" t="s">
        <v>526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0.038318599198468</v>
      </c>
      <c r="R670" t="s">
        <v>782</v>
      </c>
      <c r="S670" t="s">
        <v>794</v>
      </c>
      <c r="T670">
        <v>19639.453886</v>
      </c>
      <c r="U670" s="2">
        <v>44518</v>
      </c>
      <c r="V670" t="s">
        <v>803</v>
      </c>
    </row>
    <row r="671" spans="1:22">
      <c r="A671" s="1" t="s">
        <v>691</v>
      </c>
      <c r="B671">
        <f>HYPERLINK("https://www.suredividend.com/sure-analysis-PFLT/","PennantPark Floating Rate Capital Ltd")</f>
        <v>0</v>
      </c>
      <c r="C671">
        <v>12.64</v>
      </c>
      <c r="D671">
        <v>11.9</v>
      </c>
      <c r="E671">
        <v>1.06218487394958</v>
      </c>
      <c r="F671">
        <v>0.09018987341772151</v>
      </c>
      <c r="G671">
        <v>-0.01199310026405243</v>
      </c>
      <c r="H671">
        <v>0.008</v>
      </c>
      <c r="I671">
        <v>0.07425636185916917</v>
      </c>
      <c r="J671" t="s">
        <v>778</v>
      </c>
      <c r="K671" t="s">
        <v>345</v>
      </c>
      <c r="L671">
        <v>1.12</v>
      </c>
      <c r="M671">
        <v>1.14</v>
      </c>
      <c r="N671">
        <v>1.017857142857143</v>
      </c>
      <c r="O671">
        <v>0</v>
      </c>
      <c r="P671">
        <v>0</v>
      </c>
      <c r="Q671">
        <v>0.344852534366089</v>
      </c>
      <c r="R671" t="s">
        <v>783</v>
      </c>
      <c r="S671" t="s">
        <v>789</v>
      </c>
      <c r="T671">
        <v>492.194446</v>
      </c>
      <c r="U671" s="2">
        <v>44521</v>
      </c>
      <c r="V671" t="s">
        <v>805</v>
      </c>
    </row>
    <row r="672" spans="1:22">
      <c r="A672" s="1" t="s">
        <v>692</v>
      </c>
      <c r="B672">
        <f>HYPERLINK("https://www.suredividend.com/sure-analysis-UMH/","UMH Properties Inc")</f>
        <v>0</v>
      </c>
      <c r="C672">
        <v>25.36</v>
      </c>
      <c r="D672">
        <v>25.7</v>
      </c>
      <c r="E672">
        <v>0.9867704280155642</v>
      </c>
      <c r="F672">
        <v>0.02996845425867508</v>
      </c>
      <c r="G672">
        <v>0.002667122927175081</v>
      </c>
      <c r="H672">
        <v>0.045</v>
      </c>
      <c r="I672">
        <v>0.07399333298474131</v>
      </c>
      <c r="J672" t="s">
        <v>778</v>
      </c>
      <c r="K672" t="s">
        <v>778</v>
      </c>
      <c r="L672">
        <v>0.89</v>
      </c>
      <c r="M672">
        <v>0.76</v>
      </c>
      <c r="N672">
        <v>0.8539325842696629</v>
      </c>
      <c r="O672">
        <v>1</v>
      </c>
      <c r="P672">
        <v>0.03439350143683439</v>
      </c>
      <c r="Q672">
        <v>0.7545680344825201</v>
      </c>
      <c r="R672" t="s">
        <v>782</v>
      </c>
      <c r="S672" t="s">
        <v>794</v>
      </c>
      <c r="T672">
        <v>1243.00247</v>
      </c>
      <c r="U672" s="2">
        <v>44509</v>
      </c>
      <c r="V672" t="s">
        <v>805</v>
      </c>
    </row>
    <row r="673" spans="1:22">
      <c r="A673" s="1" t="s">
        <v>693</v>
      </c>
      <c r="B673">
        <f>HYPERLINK("https://www.suredividend.com/sure-analysis-TSLX/","Sixth Street Specialty Lending Inc")</f>
        <v>0</v>
      </c>
      <c r="C673">
        <v>23.08</v>
      </c>
      <c r="D673">
        <v>21.78</v>
      </c>
      <c r="E673">
        <v>1.059687786960514</v>
      </c>
      <c r="F673">
        <v>0.07105719237435008</v>
      </c>
      <c r="G673">
        <v>-0.0115279034344753</v>
      </c>
      <c r="H673">
        <v>0.02</v>
      </c>
      <c r="I673">
        <v>0.07249570543542849</v>
      </c>
      <c r="J673" t="s">
        <v>778</v>
      </c>
      <c r="K673" t="s">
        <v>345</v>
      </c>
      <c r="L673">
        <v>1.98</v>
      </c>
      <c r="M673">
        <v>1.64</v>
      </c>
      <c r="N673">
        <v>0.8282828282828283</v>
      </c>
      <c r="O673">
        <v>6</v>
      </c>
      <c r="P673">
        <v>0.01992196624507558</v>
      </c>
      <c r="Q673">
        <v>0.312131531521287</v>
      </c>
      <c r="R673" t="s">
        <v>783</v>
      </c>
      <c r="S673" t="s">
        <v>789</v>
      </c>
      <c r="T673">
        <v>1687.232657</v>
      </c>
      <c r="U673" s="2">
        <v>44504</v>
      </c>
      <c r="V673" t="s">
        <v>795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9.84</v>
      </c>
      <c r="D674">
        <v>6.7</v>
      </c>
      <c r="E674">
        <v>1.46865671641791</v>
      </c>
      <c r="F674">
        <v>0.1219512195121951</v>
      </c>
      <c r="G674">
        <v>-0.07398943668502644</v>
      </c>
      <c r="H674">
        <v>0.046</v>
      </c>
      <c r="I674">
        <v>0.07201325162855721</v>
      </c>
      <c r="J674" t="s">
        <v>778</v>
      </c>
      <c r="K674" t="s">
        <v>345</v>
      </c>
      <c r="L674">
        <v>0.96</v>
      </c>
      <c r="M674">
        <v>1.2</v>
      </c>
      <c r="N674">
        <v>1.25</v>
      </c>
      <c r="O674">
        <v>0</v>
      </c>
      <c r="P674">
        <v>-0.0263528193848318</v>
      </c>
      <c r="Q674">
        <v>0.007670172348465</v>
      </c>
      <c r="R674" t="s">
        <v>782</v>
      </c>
      <c r="S674" t="s">
        <v>794</v>
      </c>
      <c r="T674">
        <v>882.540045</v>
      </c>
      <c r="U674" s="2">
        <v>44503</v>
      </c>
      <c r="V674" t="s">
        <v>805</v>
      </c>
    </row>
    <row r="675" spans="1:22">
      <c r="A675" s="1" t="s">
        <v>695</v>
      </c>
      <c r="B675">
        <f>HYPERLINK("https://www.suredividend.com/sure-analysis-GBDC/","Golub Capital BDC Inc")</f>
        <v>0</v>
      </c>
      <c r="C675">
        <v>15.27</v>
      </c>
      <c r="D675">
        <v>15.6</v>
      </c>
      <c r="E675">
        <v>0.9788461538461538</v>
      </c>
      <c r="F675">
        <v>0.07858546168958742</v>
      </c>
      <c r="G675">
        <v>0.004285314818828212</v>
      </c>
      <c r="H675">
        <v>0</v>
      </c>
      <c r="I675">
        <v>0.07182268061402941</v>
      </c>
      <c r="J675" t="s">
        <v>778</v>
      </c>
      <c r="K675" t="s">
        <v>345</v>
      </c>
      <c r="L675">
        <v>1.2</v>
      </c>
      <c r="M675">
        <v>1.2</v>
      </c>
      <c r="N675">
        <v>1</v>
      </c>
      <c r="O675">
        <v>0</v>
      </c>
      <c r="P675">
        <v>0</v>
      </c>
      <c r="Q675">
        <v>0.171596271147427</v>
      </c>
      <c r="R675" t="s">
        <v>783</v>
      </c>
      <c r="S675" t="s">
        <v>789</v>
      </c>
      <c r="T675">
        <v>2596.336478</v>
      </c>
      <c r="U675" s="2">
        <v>44532</v>
      </c>
      <c r="V675" t="s">
        <v>795</v>
      </c>
    </row>
    <row r="676" spans="1:22">
      <c r="A676" s="1" t="s">
        <v>696</v>
      </c>
      <c r="B676">
        <f>HYPERLINK("https://www.suredividend.com/sure-analysis-BEP/","Brookfield Renewable Partners LP")</f>
        <v>0</v>
      </c>
      <c r="C676">
        <v>35.5</v>
      </c>
      <c r="D676">
        <v>32</v>
      </c>
      <c r="E676">
        <v>1.109375</v>
      </c>
      <c r="F676">
        <v>0.03436619718309859</v>
      </c>
      <c r="G676">
        <v>-0.02054536658680861</v>
      </c>
      <c r="H676">
        <v>0.06</v>
      </c>
      <c r="I676">
        <v>0.07051197538140208</v>
      </c>
      <c r="J676" t="s">
        <v>778</v>
      </c>
      <c r="K676" t="s">
        <v>526</v>
      </c>
      <c r="L676">
        <v>1.9</v>
      </c>
      <c r="M676">
        <v>1.22</v>
      </c>
      <c r="N676">
        <v>0.6421052631578947</v>
      </c>
      <c r="O676">
        <v>0</v>
      </c>
      <c r="P676">
        <v>0.05039574430966676</v>
      </c>
      <c r="Q676">
        <v>-0.111544910779087</v>
      </c>
      <c r="R676" t="s">
        <v>781</v>
      </c>
      <c r="S676" t="s">
        <v>792</v>
      </c>
      <c r="T676">
        <v>9762.869377999999</v>
      </c>
      <c r="U676" s="2">
        <v>44518</v>
      </c>
      <c r="V676" t="s">
        <v>803</v>
      </c>
    </row>
    <row r="677" spans="1:22">
      <c r="A677" s="1" t="s">
        <v>697</v>
      </c>
      <c r="B677">
        <f>HYPERLINK("https://www.suredividend.com/sure-analysis-STWD/","Starwood Property Trust Inc")</f>
        <v>0</v>
      </c>
      <c r="C677">
        <v>24.82</v>
      </c>
      <c r="D677">
        <v>25</v>
      </c>
      <c r="E677">
        <v>0.9928</v>
      </c>
      <c r="F677">
        <v>0.0773569701853344</v>
      </c>
      <c r="G677">
        <v>0.001446253836167477</v>
      </c>
      <c r="H677">
        <v>0</v>
      </c>
      <c r="I677">
        <v>0.06869767441378949</v>
      </c>
      <c r="J677" t="s">
        <v>778</v>
      </c>
      <c r="K677" t="s">
        <v>345</v>
      </c>
      <c r="L677">
        <v>2</v>
      </c>
      <c r="M677">
        <v>1.92</v>
      </c>
      <c r="N677">
        <v>0.96</v>
      </c>
      <c r="O677">
        <v>0</v>
      </c>
      <c r="P677">
        <v>0</v>
      </c>
      <c r="Q677">
        <v>0.365845068484858</v>
      </c>
      <c r="R677" t="s">
        <v>782</v>
      </c>
      <c r="S677" t="s">
        <v>794</v>
      </c>
      <c r="T677">
        <v>7163.488187</v>
      </c>
      <c r="U677" s="2">
        <v>44509</v>
      </c>
      <c r="V677" t="s">
        <v>795</v>
      </c>
    </row>
    <row r="678" spans="1:22">
      <c r="A678" s="1" t="s">
        <v>698</v>
      </c>
      <c r="B678">
        <f>HYPERLINK("https://www.suredividend.com/sure-analysis-VIA/","Via Renewables Inc")</f>
        <v>0</v>
      </c>
      <c r="C678">
        <v>11.02</v>
      </c>
      <c r="D678">
        <v>10.6</v>
      </c>
      <c r="E678">
        <v>1.039622641509434</v>
      </c>
      <c r="F678">
        <v>0.06624319419237749</v>
      </c>
      <c r="G678">
        <v>-0.007741440023146029</v>
      </c>
      <c r="H678">
        <v>0.02</v>
      </c>
      <c r="I678">
        <v>0.06857198078711524</v>
      </c>
      <c r="J678" t="s">
        <v>778</v>
      </c>
      <c r="K678" t="s">
        <v>345</v>
      </c>
      <c r="L678">
        <v>0.85</v>
      </c>
      <c r="M678">
        <v>0.73</v>
      </c>
      <c r="N678">
        <v>0.8588235294117647</v>
      </c>
      <c r="O678">
        <v>0</v>
      </c>
      <c r="P678">
        <v>0</v>
      </c>
      <c r="Q678">
        <v>0.192137517714384</v>
      </c>
      <c r="R678" t="s">
        <v>780</v>
      </c>
      <c r="S678" t="s">
        <v>792</v>
      </c>
      <c r="T678">
        <v>171.607716</v>
      </c>
      <c r="U678" s="2">
        <v>44519</v>
      </c>
      <c r="V678" t="s">
        <v>803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9.52</v>
      </c>
      <c r="D679">
        <v>7.8</v>
      </c>
      <c r="E679">
        <v>1.22051282051282</v>
      </c>
      <c r="F679">
        <v>0.08823529411764706</v>
      </c>
      <c r="G679">
        <v>-0.03907048965697679</v>
      </c>
      <c r="H679">
        <v>0.03</v>
      </c>
      <c r="I679">
        <v>0.06823189926829487</v>
      </c>
      <c r="J679" t="s">
        <v>778</v>
      </c>
      <c r="K679" t="s">
        <v>345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0.010090292735201</v>
      </c>
      <c r="R679" t="s">
        <v>782</v>
      </c>
      <c r="S679" t="s">
        <v>794</v>
      </c>
      <c r="T679">
        <v>1263.226345</v>
      </c>
      <c r="U679" s="2">
        <v>44509</v>
      </c>
      <c r="V679" t="s">
        <v>796</v>
      </c>
    </row>
    <row r="680" spans="1:22">
      <c r="A680" s="1" t="s">
        <v>700</v>
      </c>
      <c r="B680">
        <f>HYPERLINK("https://www.suredividend.com/sure-analysis-SUNS/","SLR Senior Investment Corp")</f>
        <v>0</v>
      </c>
      <c r="C680">
        <v>13.96</v>
      </c>
      <c r="D680">
        <v>12.1</v>
      </c>
      <c r="E680">
        <v>1.153719008264463</v>
      </c>
      <c r="F680">
        <v>0.08595988538681948</v>
      </c>
      <c r="G680">
        <v>-0.02819307292268913</v>
      </c>
      <c r="H680">
        <v>0.02</v>
      </c>
      <c r="I680">
        <v>0.06758188268885568</v>
      </c>
      <c r="J680" t="s">
        <v>778</v>
      </c>
      <c r="K680" t="s">
        <v>345</v>
      </c>
      <c r="L680">
        <v>1.1</v>
      </c>
      <c r="M680">
        <v>1.2</v>
      </c>
      <c r="N680">
        <v>1.090909090909091</v>
      </c>
      <c r="O680">
        <v>0</v>
      </c>
      <c r="P680">
        <v>0</v>
      </c>
      <c r="Q680">
        <v>0.053354360177772</v>
      </c>
      <c r="R680" t="s">
        <v>783</v>
      </c>
      <c r="S680" t="s">
        <v>789</v>
      </c>
      <c r="T680">
        <v>224.044515</v>
      </c>
      <c r="U680" s="2">
        <v>44504</v>
      </c>
      <c r="V680" t="s">
        <v>795</v>
      </c>
    </row>
    <row r="681" spans="1:22">
      <c r="A681" s="1" t="s">
        <v>701</v>
      </c>
      <c r="B681">
        <f>HYPERLINK("https://www.suredividend.com/sure-analysis-AM/","Antero Midstream Corp")</f>
        <v>0</v>
      </c>
      <c r="C681">
        <v>9.6</v>
      </c>
      <c r="D681">
        <v>8.800000000000001</v>
      </c>
      <c r="E681">
        <v>1.090909090909091</v>
      </c>
      <c r="F681">
        <v>0.09375</v>
      </c>
      <c r="G681">
        <v>-0.01725173034385397</v>
      </c>
      <c r="H681">
        <v>0</v>
      </c>
      <c r="I681">
        <v>0.06737267750676157</v>
      </c>
      <c r="J681" t="s">
        <v>778</v>
      </c>
      <c r="K681" t="s">
        <v>777</v>
      </c>
      <c r="L681">
        <v>1.25</v>
      </c>
      <c r="M681">
        <v>0.9</v>
      </c>
      <c r="N681">
        <v>0.72</v>
      </c>
      <c r="O681">
        <v>0</v>
      </c>
      <c r="P681">
        <v>0</v>
      </c>
      <c r="Q681">
        <v>0.26425580109042</v>
      </c>
      <c r="R681" t="s">
        <v>780</v>
      </c>
      <c r="S681" t="s">
        <v>793</v>
      </c>
      <c r="T681">
        <v>4584.036355</v>
      </c>
      <c r="U681" s="2">
        <v>44504</v>
      </c>
      <c r="V681" t="s">
        <v>805</v>
      </c>
    </row>
    <row r="682" spans="1:22">
      <c r="A682" s="1" t="s">
        <v>702</v>
      </c>
      <c r="B682">
        <f>HYPERLINK("https://www.suredividend.com/sure-analysis-EXR/","Extra Space Storage Inc.")</f>
        <v>0</v>
      </c>
      <c r="C682">
        <v>218</v>
      </c>
      <c r="D682">
        <v>150</v>
      </c>
      <c r="E682">
        <v>1.453333333333333</v>
      </c>
      <c r="F682">
        <v>0.02293577981651376</v>
      </c>
      <c r="G682">
        <v>-0.07204492111229166</v>
      </c>
      <c r="H682">
        <v>0.12</v>
      </c>
      <c r="I682">
        <v>0.06517754924209185</v>
      </c>
      <c r="J682" t="s">
        <v>778</v>
      </c>
      <c r="K682" t="s">
        <v>778</v>
      </c>
      <c r="L682">
        <v>6.8</v>
      </c>
      <c r="M682">
        <v>5</v>
      </c>
      <c r="N682">
        <v>0.7352941176470589</v>
      </c>
      <c r="O682">
        <v>12</v>
      </c>
      <c r="P682">
        <v>0.1101240567487265</v>
      </c>
      <c r="Q682">
        <v>0.9843310665233331</v>
      </c>
      <c r="R682" t="s">
        <v>782</v>
      </c>
      <c r="S682" t="s">
        <v>794</v>
      </c>
      <c r="T682">
        <v>29188.413272</v>
      </c>
      <c r="U682" s="2">
        <v>44500</v>
      </c>
      <c r="V682" t="s">
        <v>795</v>
      </c>
    </row>
    <row r="683" spans="1:22">
      <c r="A683" s="1" t="s">
        <v>703</v>
      </c>
      <c r="B683">
        <f>HYPERLINK("https://www.suredividend.com/sure-analysis-FE/","Firstenergy Corp.")</f>
        <v>0</v>
      </c>
      <c r="C683">
        <v>40.53</v>
      </c>
      <c r="D683">
        <v>39</v>
      </c>
      <c r="E683">
        <v>1.039230769230769</v>
      </c>
      <c r="F683">
        <v>0.0384900074019245</v>
      </c>
      <c r="G683">
        <v>-0.00766661930025736</v>
      </c>
      <c r="H683">
        <v>0.04</v>
      </c>
      <c r="I683">
        <v>0.06483980930336619</v>
      </c>
      <c r="J683" t="s">
        <v>778</v>
      </c>
      <c r="K683" t="s">
        <v>526</v>
      </c>
      <c r="L683">
        <v>2.6</v>
      </c>
      <c r="M683">
        <v>1.56</v>
      </c>
      <c r="N683">
        <v>0.6</v>
      </c>
      <c r="O683">
        <v>0</v>
      </c>
      <c r="P683">
        <v>0.01005227214699711</v>
      </c>
      <c r="Q683">
        <v>0.444188681665609</v>
      </c>
      <c r="R683" t="s">
        <v>780</v>
      </c>
      <c r="S683" t="s">
        <v>792</v>
      </c>
      <c r="T683">
        <v>22065.327158</v>
      </c>
      <c r="U683" s="2">
        <v>44498</v>
      </c>
      <c r="V683" t="s">
        <v>795</v>
      </c>
    </row>
    <row r="684" spans="1:22">
      <c r="A684" s="1" t="s">
        <v>704</v>
      </c>
      <c r="B684">
        <f>HYPERLINK("https://www.suredividend.com/sure-analysis-FDUS/","Fidus Investment Corp")</f>
        <v>0</v>
      </c>
      <c r="C684">
        <v>17.92</v>
      </c>
      <c r="D684">
        <v>17.97</v>
      </c>
      <c r="E684">
        <v>0.9972175848636619</v>
      </c>
      <c r="F684">
        <v>0.07142857142857142</v>
      </c>
      <c r="G684">
        <v>0.0005574139471835604</v>
      </c>
      <c r="H684">
        <v>0</v>
      </c>
      <c r="I684">
        <v>0.0634167698757544</v>
      </c>
      <c r="J684" t="s">
        <v>778</v>
      </c>
      <c r="K684" t="s">
        <v>345</v>
      </c>
      <c r="L684">
        <v>1.51</v>
      </c>
      <c r="M684">
        <v>1.28</v>
      </c>
      <c r="N684">
        <v>0.847682119205298</v>
      </c>
      <c r="O684">
        <v>0</v>
      </c>
      <c r="P684">
        <v>0</v>
      </c>
      <c r="Q684">
        <v>0.4584164136954411</v>
      </c>
      <c r="R684" t="s">
        <v>783</v>
      </c>
      <c r="S684" t="s">
        <v>789</v>
      </c>
      <c r="T684">
        <v>437.918208</v>
      </c>
      <c r="U684" s="2">
        <v>44513</v>
      </c>
      <c r="V684" t="s">
        <v>795</v>
      </c>
    </row>
    <row r="685" spans="1:22">
      <c r="A685" s="1" t="s">
        <v>705</v>
      </c>
      <c r="B685">
        <f>HYPERLINK("https://www.suredividend.com/sure-analysis-DX/","Dynex Capital, Inc.")</f>
        <v>0</v>
      </c>
      <c r="C685">
        <v>16.68</v>
      </c>
      <c r="D685">
        <v>15.6</v>
      </c>
      <c r="E685">
        <v>1.069230769230769</v>
      </c>
      <c r="F685">
        <v>0.09352517985611511</v>
      </c>
      <c r="G685">
        <v>-0.01329867724488631</v>
      </c>
      <c r="H685">
        <v>-0.0016</v>
      </c>
      <c r="I685">
        <v>0.06323803205907996</v>
      </c>
      <c r="J685" t="s">
        <v>778</v>
      </c>
      <c r="K685" t="s">
        <v>345</v>
      </c>
      <c r="L685">
        <v>1.95</v>
      </c>
      <c r="M685">
        <v>1.56</v>
      </c>
      <c r="N685">
        <v>0.8</v>
      </c>
      <c r="O685">
        <v>0</v>
      </c>
      <c r="P685">
        <v>-0.02706716144586752</v>
      </c>
      <c r="Q685">
        <v>0.020089900009173</v>
      </c>
      <c r="R685" t="s">
        <v>782</v>
      </c>
      <c r="S685" t="s">
        <v>794</v>
      </c>
      <c r="T685">
        <v>611.585627</v>
      </c>
      <c r="U685" s="2">
        <v>44503</v>
      </c>
      <c r="V685" t="s">
        <v>805</v>
      </c>
    </row>
    <row r="686" spans="1:22">
      <c r="A686" s="1" t="s">
        <v>706</v>
      </c>
      <c r="B686">
        <f>HYPERLINK("https://www.suredividend.com/sure-analysis-VLO/","Valero Energy Corp.")</f>
        <v>0</v>
      </c>
      <c r="C686">
        <v>71.73</v>
      </c>
      <c r="D686">
        <v>64</v>
      </c>
      <c r="E686">
        <v>1.12078125</v>
      </c>
      <c r="F686">
        <v>0.05464937961801199</v>
      </c>
      <c r="G686">
        <v>-0.02254712436692541</v>
      </c>
      <c r="H686">
        <v>0.04</v>
      </c>
      <c r="I686">
        <v>0.06323746545675046</v>
      </c>
      <c r="J686" t="s">
        <v>778</v>
      </c>
      <c r="K686" t="s">
        <v>526</v>
      </c>
      <c r="L686">
        <v>0.5</v>
      </c>
      <c r="M686">
        <v>3.92</v>
      </c>
      <c r="N686">
        <v>7.84</v>
      </c>
      <c r="O686">
        <v>10</v>
      </c>
      <c r="P686">
        <v>0</v>
      </c>
      <c r="Q686">
        <v>0.358147178999746</v>
      </c>
      <c r="R686" t="s">
        <v>780</v>
      </c>
      <c r="S686" t="s">
        <v>793</v>
      </c>
      <c r="T686">
        <v>29325.778664</v>
      </c>
      <c r="U686" s="2">
        <v>44491</v>
      </c>
      <c r="V686" t="s">
        <v>803</v>
      </c>
    </row>
    <row r="687" spans="1:22">
      <c r="A687" s="1" t="s">
        <v>707</v>
      </c>
      <c r="B687">
        <f>HYPERLINK("https://www.suredividend.com/sure-analysis-TPVG/","TriplePoint Venture Growth BDC Corp")</f>
        <v>0</v>
      </c>
      <c r="C687">
        <v>17.52</v>
      </c>
      <c r="D687">
        <v>15</v>
      </c>
      <c r="E687">
        <v>1.168</v>
      </c>
      <c r="F687">
        <v>0.0821917808219178</v>
      </c>
      <c r="G687">
        <v>-0.03058121411622672</v>
      </c>
      <c r="H687">
        <v>0.02</v>
      </c>
      <c r="I687">
        <v>0.06283756964259424</v>
      </c>
      <c r="J687" t="s">
        <v>778</v>
      </c>
      <c r="K687" t="s">
        <v>345</v>
      </c>
      <c r="L687">
        <v>1.25</v>
      </c>
      <c r="M687">
        <v>1.44</v>
      </c>
      <c r="N687">
        <v>1.152</v>
      </c>
      <c r="O687">
        <v>0</v>
      </c>
      <c r="P687">
        <v>0</v>
      </c>
      <c r="Q687">
        <v>0.4729001504846611</v>
      </c>
      <c r="R687" t="s">
        <v>783</v>
      </c>
      <c r="S687" t="s">
        <v>789</v>
      </c>
      <c r="T687">
        <v>542.840994</v>
      </c>
      <c r="U687" s="2">
        <v>44506</v>
      </c>
      <c r="V687" t="s">
        <v>795</v>
      </c>
    </row>
    <row r="688" spans="1:22">
      <c r="A688" s="1" t="s">
        <v>708</v>
      </c>
      <c r="B688">
        <f>HYPERLINK("https://www.suredividend.com/sure-analysis-LWSCF/","Sienna Senior Living, Inc.")</f>
        <v>0</v>
      </c>
      <c r="C688">
        <v>11.54</v>
      </c>
      <c r="D688">
        <v>11.88</v>
      </c>
      <c r="E688">
        <v>0.9713804713804712</v>
      </c>
      <c r="F688">
        <v>0.06499133448873484</v>
      </c>
      <c r="G688">
        <v>0.005824306270599156</v>
      </c>
      <c r="H688">
        <v>0</v>
      </c>
      <c r="I688">
        <v>0.06255307835839208</v>
      </c>
      <c r="J688" t="s">
        <v>778</v>
      </c>
      <c r="K688" t="s">
        <v>345</v>
      </c>
      <c r="L688">
        <v>0.88</v>
      </c>
      <c r="M688">
        <v>0.75</v>
      </c>
      <c r="N688">
        <v>0.8522727272727273</v>
      </c>
      <c r="O688">
        <v>0</v>
      </c>
      <c r="P688">
        <v>0</v>
      </c>
      <c r="Q688">
        <v>0.06457564575645701</v>
      </c>
      <c r="R688" t="s">
        <v>780</v>
      </c>
      <c r="S688" t="s">
        <v>785</v>
      </c>
      <c r="T688">
        <v>773.631479</v>
      </c>
      <c r="U688" s="2">
        <v>44516</v>
      </c>
      <c r="V688" t="s">
        <v>795</v>
      </c>
    </row>
    <row r="689" spans="1:22">
      <c r="A689" s="1" t="s">
        <v>709</v>
      </c>
      <c r="B689">
        <f>HYPERLINK("https://www.suredividend.com/sure-analysis-SACH/","Sachem Capital Corp")</f>
        <v>0</v>
      </c>
      <c r="C689">
        <v>6.06</v>
      </c>
      <c r="D689">
        <v>5.26</v>
      </c>
      <c r="E689">
        <v>1.152091254752852</v>
      </c>
      <c r="F689">
        <v>0.07920792079207921</v>
      </c>
      <c r="G689">
        <v>-0.02791862089409758</v>
      </c>
      <c r="H689">
        <v>0.02</v>
      </c>
      <c r="I689">
        <v>0.06254488091692378</v>
      </c>
      <c r="J689" t="s">
        <v>778</v>
      </c>
      <c r="K689" t="s">
        <v>345</v>
      </c>
      <c r="L689">
        <v>0.47</v>
      </c>
      <c r="M689">
        <v>0.48</v>
      </c>
      <c r="N689">
        <v>1.021276595744681</v>
      </c>
      <c r="O689">
        <v>0</v>
      </c>
      <c r="P689">
        <v>0</v>
      </c>
      <c r="Q689">
        <v>0.590926990627707</v>
      </c>
      <c r="R689" t="s">
        <v>782</v>
      </c>
      <c r="S689" t="s">
        <v>794</v>
      </c>
      <c r="T689">
        <v>178.425901</v>
      </c>
      <c r="U689" s="2">
        <v>44517</v>
      </c>
      <c r="V689" t="s">
        <v>795</v>
      </c>
    </row>
    <row r="690" spans="1:22">
      <c r="A690" s="1" t="s">
        <v>710</v>
      </c>
      <c r="B690">
        <f>HYPERLINK("https://www.suredividend.com/sure-analysis-BFS/","Saul Centers, Inc.")</f>
        <v>0</v>
      </c>
      <c r="C690">
        <v>51.99</v>
      </c>
      <c r="D690">
        <v>50</v>
      </c>
      <c r="E690">
        <v>1.0398</v>
      </c>
      <c r="F690">
        <v>0.04385458742065781</v>
      </c>
      <c r="G690">
        <v>-0.007775292204104334</v>
      </c>
      <c r="H690">
        <v>0.03</v>
      </c>
      <c r="I690">
        <v>0.06178346329290751</v>
      </c>
      <c r="J690" t="s">
        <v>778</v>
      </c>
      <c r="K690" t="s">
        <v>526</v>
      </c>
      <c r="L690">
        <v>3.05</v>
      </c>
      <c r="M690">
        <v>2.28</v>
      </c>
      <c r="N690">
        <v>0.7475409836065574</v>
      </c>
      <c r="O690">
        <v>2</v>
      </c>
      <c r="P690">
        <v>0.02263597526826988</v>
      </c>
      <c r="Q690">
        <v>0.7029932587802911</v>
      </c>
      <c r="R690" t="s">
        <v>782</v>
      </c>
      <c r="S690" t="s">
        <v>794</v>
      </c>
      <c r="T690">
        <v>1232.163</v>
      </c>
      <c r="U690" s="2">
        <v>44531</v>
      </c>
      <c r="V690" t="s">
        <v>795</v>
      </c>
    </row>
    <row r="691" spans="1:22">
      <c r="A691" s="1" t="s">
        <v>711</v>
      </c>
      <c r="B691">
        <f>HYPERLINK("https://www.suredividend.com/sure-analysis-GLPI/","Gaming and Leisure Properties Inc")</f>
        <v>0</v>
      </c>
      <c r="C691">
        <v>46.5</v>
      </c>
      <c r="D691">
        <v>49</v>
      </c>
      <c r="E691">
        <v>0.9489795918367347</v>
      </c>
      <c r="F691">
        <v>0.05763440860215054</v>
      </c>
      <c r="G691">
        <v>0.01052863720974129</v>
      </c>
      <c r="H691">
        <v>-0.001</v>
      </c>
      <c r="I691">
        <v>0.06097222676220859</v>
      </c>
      <c r="J691" t="s">
        <v>778</v>
      </c>
      <c r="K691" t="s">
        <v>345</v>
      </c>
      <c r="L691">
        <v>3.47</v>
      </c>
      <c r="M691">
        <v>2.68</v>
      </c>
      <c r="N691">
        <v>0.7723342939481268</v>
      </c>
      <c r="O691">
        <v>0</v>
      </c>
      <c r="P691">
        <v>0.008799010229586735</v>
      </c>
      <c r="Q691">
        <v>0.169511219762476</v>
      </c>
      <c r="R691" t="s">
        <v>782</v>
      </c>
      <c r="S691" t="s">
        <v>794</v>
      </c>
      <c r="T691">
        <v>11083.326522</v>
      </c>
      <c r="U691" s="2">
        <v>44506</v>
      </c>
      <c r="V691" t="s">
        <v>805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12.138</v>
      </c>
      <c r="D692">
        <v>12.6</v>
      </c>
      <c r="E692">
        <v>0.9633333333333334</v>
      </c>
      <c r="F692">
        <v>0.03624979403526116</v>
      </c>
      <c r="G692">
        <v>0.007499136038948695</v>
      </c>
      <c r="H692">
        <v>0.02</v>
      </c>
      <c r="I692">
        <v>0.06020722690665825</v>
      </c>
      <c r="J692" t="s">
        <v>778</v>
      </c>
      <c r="K692" t="s">
        <v>526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-0.042102355680069</v>
      </c>
      <c r="R692" t="s">
        <v>780</v>
      </c>
      <c r="S692" t="s">
        <v>791</v>
      </c>
      <c r="T692">
        <v>41732.8716</v>
      </c>
      <c r="U692" s="2">
        <v>44490</v>
      </c>
      <c r="V692" t="s">
        <v>806</v>
      </c>
    </row>
    <row r="693" spans="1:22">
      <c r="A693" s="1" t="s">
        <v>713</v>
      </c>
      <c r="B693">
        <f>HYPERLINK("https://www.suredividend.com/sure-analysis-SJT/","San Juan Basin Royalty Trust")</f>
        <v>0</v>
      </c>
      <c r="C693">
        <v>5.84</v>
      </c>
      <c r="D693">
        <v>4.8</v>
      </c>
      <c r="E693">
        <v>1.216666666666667</v>
      </c>
      <c r="F693">
        <v>0.1027397260273973</v>
      </c>
      <c r="G693">
        <v>-0.0384637140667472</v>
      </c>
      <c r="H693">
        <v>0</v>
      </c>
      <c r="I693">
        <v>0.0595863407370818</v>
      </c>
      <c r="J693" t="s">
        <v>778</v>
      </c>
      <c r="K693" t="s">
        <v>345</v>
      </c>
      <c r="L693">
        <v>0.6</v>
      </c>
      <c r="M693">
        <v>0.6</v>
      </c>
      <c r="N693">
        <v>1</v>
      </c>
      <c r="O693">
        <v>1</v>
      </c>
      <c r="P693">
        <v>0</v>
      </c>
      <c r="Q693">
        <v>1.268137331054839</v>
      </c>
      <c r="R693" t="s">
        <v>780</v>
      </c>
      <c r="S693" t="s">
        <v>793</v>
      </c>
      <c r="T693">
        <v>272.195369</v>
      </c>
      <c r="U693" s="2">
        <v>44519</v>
      </c>
      <c r="V693" t="s">
        <v>803</v>
      </c>
    </row>
    <row r="694" spans="1:22">
      <c r="A694" s="1" t="s">
        <v>714</v>
      </c>
      <c r="B694">
        <f>HYPERLINK("https://www.suredividend.com/sure-analysis-STOR/","Store Capital Corp")</f>
        <v>0</v>
      </c>
      <c r="C694">
        <v>34.04</v>
      </c>
      <c r="D694">
        <v>30</v>
      </c>
      <c r="E694">
        <v>1.134666666666667</v>
      </c>
      <c r="F694">
        <v>0.04524089306698002</v>
      </c>
      <c r="G694">
        <v>-0.02495122579378595</v>
      </c>
      <c r="H694">
        <v>0.04</v>
      </c>
      <c r="I694">
        <v>0.05950658901376582</v>
      </c>
      <c r="J694" t="s">
        <v>778</v>
      </c>
      <c r="K694" t="s">
        <v>345</v>
      </c>
      <c r="L694">
        <v>1.99</v>
      </c>
      <c r="M694">
        <v>1.54</v>
      </c>
      <c r="N694">
        <v>0.7738693467336684</v>
      </c>
      <c r="O694">
        <v>8</v>
      </c>
      <c r="P694">
        <v>0.05048317528676538</v>
      </c>
      <c r="Q694">
        <v>0.07967178485224301</v>
      </c>
      <c r="R694" t="s">
        <v>782</v>
      </c>
      <c r="S694" t="s">
        <v>794</v>
      </c>
      <c r="T694">
        <v>9281.833342</v>
      </c>
      <c r="U694" s="2">
        <v>44530</v>
      </c>
      <c r="V694" t="s">
        <v>800</v>
      </c>
    </row>
    <row r="695" spans="1:22">
      <c r="A695" s="1" t="s">
        <v>715</v>
      </c>
      <c r="B695">
        <f>HYPERLINK("https://www.suredividend.com/sure-analysis-GSK/","Glaxosmithkline plc")</f>
        <v>0</v>
      </c>
      <c r="C695">
        <v>43.76</v>
      </c>
      <c r="D695">
        <v>40</v>
      </c>
      <c r="E695">
        <v>1.094</v>
      </c>
      <c r="F695">
        <v>0.05027422303473492</v>
      </c>
      <c r="G695">
        <v>-0.0178076762784396</v>
      </c>
      <c r="H695">
        <v>0.03</v>
      </c>
      <c r="I695">
        <v>0.05941850741233345</v>
      </c>
      <c r="J695" t="s">
        <v>778</v>
      </c>
      <c r="K695" t="s">
        <v>345</v>
      </c>
      <c r="L695">
        <v>2.9</v>
      </c>
      <c r="M695">
        <v>2.2</v>
      </c>
      <c r="N695">
        <v>0.7586206896551725</v>
      </c>
      <c r="O695">
        <v>3</v>
      </c>
      <c r="P695">
        <v>0.02996744995959233</v>
      </c>
      <c r="Q695">
        <v>0.277649312124821</v>
      </c>
      <c r="R695" t="s">
        <v>780</v>
      </c>
      <c r="S695" t="s">
        <v>785</v>
      </c>
      <c r="T695">
        <v>110079.947125</v>
      </c>
      <c r="U695" s="2">
        <v>44496</v>
      </c>
      <c r="V695" t="s">
        <v>796</v>
      </c>
    </row>
    <row r="696" spans="1:22">
      <c r="A696" s="1" t="s">
        <v>716</v>
      </c>
      <c r="B696">
        <f>HYPERLINK("https://www.suredividend.com/sure-analysis-CRT/","Cross Timbers Royalty Trust")</f>
        <v>0</v>
      </c>
      <c r="C696">
        <v>11.6</v>
      </c>
      <c r="D696">
        <v>9.9</v>
      </c>
      <c r="E696">
        <v>1.171717171717172</v>
      </c>
      <c r="F696">
        <v>0.09482758620689656</v>
      </c>
      <c r="G696">
        <v>-0.03119707562541241</v>
      </c>
      <c r="H696">
        <v>0</v>
      </c>
      <c r="I696">
        <v>0.05830913861225784</v>
      </c>
      <c r="J696" t="s">
        <v>778</v>
      </c>
      <c r="K696" t="s">
        <v>345</v>
      </c>
      <c r="L696">
        <v>1.1</v>
      </c>
      <c r="M696">
        <v>1.1</v>
      </c>
      <c r="N696">
        <v>1</v>
      </c>
      <c r="O696">
        <v>0</v>
      </c>
      <c r="P696">
        <v>0</v>
      </c>
      <c r="Q696">
        <v>0.521550932605787</v>
      </c>
      <c r="R696" t="s">
        <v>780</v>
      </c>
      <c r="S696" t="s">
        <v>793</v>
      </c>
      <c r="T696">
        <v>69.59999999999999</v>
      </c>
      <c r="U696" s="2">
        <v>44519</v>
      </c>
      <c r="V696" t="s">
        <v>803</v>
      </c>
    </row>
    <row r="697" spans="1:22">
      <c r="A697" s="1" t="s">
        <v>717</v>
      </c>
      <c r="B697">
        <f>HYPERLINK("https://www.suredividend.com/sure-analysis-ARI/","Apollo Commercial Real Estate Finance Inc")</f>
        <v>0</v>
      </c>
      <c r="C697">
        <v>13.46</v>
      </c>
      <c r="D697">
        <v>11</v>
      </c>
      <c r="E697">
        <v>1.223636363636364</v>
      </c>
      <c r="F697">
        <v>0.1040118870728083</v>
      </c>
      <c r="G697">
        <v>-0.03956157905242119</v>
      </c>
      <c r="H697">
        <v>0.003</v>
      </c>
      <c r="I697">
        <v>0.0582347249351054</v>
      </c>
      <c r="J697" t="s">
        <v>778</v>
      </c>
      <c r="K697" t="s">
        <v>345</v>
      </c>
      <c r="L697">
        <v>1.38</v>
      </c>
      <c r="M697">
        <v>1.4</v>
      </c>
      <c r="N697">
        <v>1.014492753623188</v>
      </c>
      <c r="O697">
        <v>0</v>
      </c>
      <c r="P697">
        <v>-0.01471229526229867</v>
      </c>
      <c r="Q697">
        <v>0.295090011642339</v>
      </c>
      <c r="R697" t="s">
        <v>782</v>
      </c>
      <c r="S697" t="s">
        <v>794</v>
      </c>
      <c r="T697">
        <v>1882.974048</v>
      </c>
      <c r="U697" s="2">
        <v>44503</v>
      </c>
      <c r="V697" t="s">
        <v>805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44</v>
      </c>
      <c r="D698">
        <v>40</v>
      </c>
      <c r="E698">
        <v>1.1</v>
      </c>
      <c r="F698">
        <v>0.05727272727272727</v>
      </c>
      <c r="G698">
        <v>-0.01888150427373569</v>
      </c>
      <c r="H698">
        <v>0.025</v>
      </c>
      <c r="I698">
        <v>0.05769213591849742</v>
      </c>
      <c r="J698" t="s">
        <v>778</v>
      </c>
      <c r="K698" t="s">
        <v>345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0.5075153064196161</v>
      </c>
      <c r="R698" t="s">
        <v>783</v>
      </c>
      <c r="S698" t="s">
        <v>789</v>
      </c>
      <c r="T698">
        <v>3061.660404</v>
      </c>
      <c r="U698" s="2">
        <v>44511</v>
      </c>
      <c r="V698" t="s">
        <v>802</v>
      </c>
    </row>
    <row r="699" spans="1:22">
      <c r="A699" s="1" t="s">
        <v>719</v>
      </c>
      <c r="B699">
        <f>HYPERLINK("https://www.suredividend.com/sure-analysis-SCM/","Stellus Capital Investment Corp")</f>
        <v>0</v>
      </c>
      <c r="C699">
        <v>12.97</v>
      </c>
      <c r="D699">
        <v>11</v>
      </c>
      <c r="E699">
        <v>1.179090909090909</v>
      </c>
      <c r="F699">
        <v>0.08635312259059368</v>
      </c>
      <c r="G699">
        <v>-0.0324118480537372</v>
      </c>
      <c r="H699">
        <v>0.01</v>
      </c>
      <c r="I699">
        <v>0.05759912441142445</v>
      </c>
      <c r="J699" t="s">
        <v>778</v>
      </c>
      <c r="K699" t="s">
        <v>345</v>
      </c>
      <c r="L699">
        <v>1.08</v>
      </c>
      <c r="M699">
        <v>1.12</v>
      </c>
      <c r="N699">
        <v>1.037037037037037</v>
      </c>
      <c r="O699">
        <v>0</v>
      </c>
      <c r="P699">
        <v>0</v>
      </c>
      <c r="Q699">
        <v>0.298038430744595</v>
      </c>
      <c r="R699" t="s">
        <v>783</v>
      </c>
      <c r="S699" t="s">
        <v>789</v>
      </c>
      <c r="T699">
        <v>252.733459</v>
      </c>
      <c r="U699" s="2">
        <v>44522</v>
      </c>
      <c r="V699" t="s">
        <v>801</v>
      </c>
    </row>
    <row r="700" spans="1:22">
      <c r="A700" s="1" t="s">
        <v>720</v>
      </c>
      <c r="B700">
        <f>HYPERLINK("https://www.suredividend.com/sure-analysis-CIM/","Chimera Investment Corp")</f>
        <v>0</v>
      </c>
      <c r="C700">
        <v>15.46</v>
      </c>
      <c r="D700">
        <v>12</v>
      </c>
      <c r="E700">
        <v>1.288333333333333</v>
      </c>
      <c r="F700">
        <v>0.08538163001293661</v>
      </c>
      <c r="G700">
        <v>-0.04940757042660404</v>
      </c>
      <c r="H700">
        <v>0.02</v>
      </c>
      <c r="I700">
        <v>0.05560210244928832</v>
      </c>
      <c r="J700" t="s">
        <v>778</v>
      </c>
      <c r="K700" t="s">
        <v>345</v>
      </c>
      <c r="L700">
        <v>1.5</v>
      </c>
      <c r="M700">
        <v>1.32</v>
      </c>
      <c r="N700">
        <v>0.88</v>
      </c>
      <c r="O700">
        <v>1</v>
      </c>
      <c r="P700">
        <v>0.02036554426441151</v>
      </c>
      <c r="Q700">
        <v>0.6002318576559601</v>
      </c>
      <c r="R700" t="s">
        <v>780</v>
      </c>
      <c r="S700" t="s">
        <v>794</v>
      </c>
      <c r="T700">
        <v>3662.237601</v>
      </c>
      <c r="U700" s="2">
        <v>44515</v>
      </c>
      <c r="V700" t="s">
        <v>803</v>
      </c>
    </row>
    <row r="701" spans="1:22">
      <c r="A701" s="1" t="s">
        <v>721</v>
      </c>
      <c r="B701">
        <f>HYPERLINK("https://www.suredividend.com/sure-analysis-GMRE/","Global Medical REIT Inc")</f>
        <v>0</v>
      </c>
      <c r="C701">
        <v>17.15</v>
      </c>
      <c r="D701">
        <v>14.25</v>
      </c>
      <c r="E701">
        <v>1.203508771929825</v>
      </c>
      <c r="F701">
        <v>0.0478134110787172</v>
      </c>
      <c r="G701">
        <v>-0.03637036415929185</v>
      </c>
      <c r="H701">
        <v>0.05</v>
      </c>
      <c r="I701">
        <v>0.05492360822460141</v>
      </c>
      <c r="J701" t="s">
        <v>778</v>
      </c>
      <c r="K701" t="s">
        <v>526</v>
      </c>
      <c r="L701">
        <v>0.95</v>
      </c>
      <c r="M701">
        <v>0.82</v>
      </c>
      <c r="N701">
        <v>0.8631578947368421</v>
      </c>
      <c r="O701">
        <v>1</v>
      </c>
      <c r="P701">
        <v>0.009571122817161548</v>
      </c>
      <c r="Q701">
        <v>0.33447457495234</v>
      </c>
      <c r="R701" t="s">
        <v>782</v>
      </c>
      <c r="S701" t="s">
        <v>794</v>
      </c>
      <c r="T701">
        <v>1101.165879</v>
      </c>
      <c r="U701" s="2">
        <v>44504</v>
      </c>
      <c r="V701" t="s">
        <v>795</v>
      </c>
    </row>
    <row r="702" spans="1:22">
      <c r="A702" s="1" t="s">
        <v>722</v>
      </c>
      <c r="B702">
        <f>HYPERLINK("https://www.suredividend.com/sure-analysis-PBA/","Pembina Pipeline Corporation")</f>
        <v>0</v>
      </c>
      <c r="C702">
        <v>30.11</v>
      </c>
      <c r="D702">
        <v>24</v>
      </c>
      <c r="E702">
        <v>1.254583333333333</v>
      </c>
      <c r="F702">
        <v>0.06642311524410495</v>
      </c>
      <c r="G702">
        <v>-0.04434728659770515</v>
      </c>
      <c r="H702">
        <v>0.04</v>
      </c>
      <c r="I702">
        <v>0.05417892674638258</v>
      </c>
      <c r="J702" t="s">
        <v>778</v>
      </c>
      <c r="K702" t="s">
        <v>345</v>
      </c>
      <c r="L702">
        <v>2</v>
      </c>
      <c r="M702">
        <v>2</v>
      </c>
      <c r="N702">
        <v>1</v>
      </c>
      <c r="O702">
        <v>5</v>
      </c>
      <c r="P702">
        <v>0</v>
      </c>
      <c r="Q702">
        <v>0.331582066318182</v>
      </c>
      <c r="R702" t="s">
        <v>780</v>
      </c>
      <c r="S702" t="s">
        <v>793</v>
      </c>
      <c r="T702">
        <v>16571.509089</v>
      </c>
      <c r="U702" s="2">
        <v>44512</v>
      </c>
      <c r="V702" t="s">
        <v>803</v>
      </c>
    </row>
    <row r="703" spans="1:22">
      <c r="A703" s="1" t="s">
        <v>723</v>
      </c>
      <c r="B703">
        <f>HYPERLINK("https://www.suredividend.com/sure-analysis-NEM/","Newmont Corp")</f>
        <v>0</v>
      </c>
      <c r="C703">
        <v>59.53</v>
      </c>
      <c r="D703">
        <v>56</v>
      </c>
      <c r="E703">
        <v>1.063035714285714</v>
      </c>
      <c r="F703">
        <v>0.03695615655971779</v>
      </c>
      <c r="G703">
        <v>-0.01215130856778102</v>
      </c>
      <c r="H703">
        <v>0.03</v>
      </c>
      <c r="I703">
        <v>0.05368999395973928</v>
      </c>
      <c r="J703" t="s">
        <v>778</v>
      </c>
      <c r="K703" t="s">
        <v>526</v>
      </c>
      <c r="L703">
        <v>3.1</v>
      </c>
      <c r="M703">
        <v>2.2</v>
      </c>
      <c r="N703">
        <v>0.7096774193548387</v>
      </c>
      <c r="O703">
        <v>6</v>
      </c>
      <c r="P703">
        <v>0.04026125343417397</v>
      </c>
      <c r="Q703">
        <v>0.032814815071844</v>
      </c>
      <c r="R703" t="s">
        <v>780</v>
      </c>
      <c r="S703" t="s">
        <v>790</v>
      </c>
      <c r="T703">
        <v>47471.323647</v>
      </c>
      <c r="U703" s="2">
        <v>44502</v>
      </c>
      <c r="V703" t="s">
        <v>797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20.67</v>
      </c>
      <c r="D704">
        <v>16.4</v>
      </c>
      <c r="E704">
        <v>1.260365853658537</v>
      </c>
      <c r="F704">
        <v>0.07934204160619254</v>
      </c>
      <c r="G704">
        <v>-0.0452258014554846</v>
      </c>
      <c r="H704">
        <v>0.019</v>
      </c>
      <c r="I704">
        <v>0.05292975548625223</v>
      </c>
      <c r="J704" t="s">
        <v>778</v>
      </c>
      <c r="K704" t="s">
        <v>345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0.367624290383623</v>
      </c>
      <c r="R704" t="s">
        <v>783</v>
      </c>
      <c r="S704" t="s">
        <v>789</v>
      </c>
      <c r="T704">
        <v>9523.783919</v>
      </c>
      <c r="U704" s="2">
        <v>44496</v>
      </c>
      <c r="V704" t="s">
        <v>805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33.25</v>
      </c>
      <c r="D705">
        <v>31</v>
      </c>
      <c r="E705">
        <v>1.07258064516129</v>
      </c>
      <c r="F705">
        <v>0.03879699248120301</v>
      </c>
      <c r="G705">
        <v>-0.01391578031319929</v>
      </c>
      <c r="H705">
        <v>0.03</v>
      </c>
      <c r="I705">
        <v>0.05122512044229244</v>
      </c>
      <c r="J705" t="s">
        <v>778</v>
      </c>
      <c r="K705" t="s">
        <v>526</v>
      </c>
      <c r="L705">
        <v>1.76</v>
      </c>
      <c r="M705">
        <v>1.29</v>
      </c>
      <c r="N705">
        <v>0.7329545454545455</v>
      </c>
      <c r="O705">
        <v>8</v>
      </c>
      <c r="P705">
        <v>0.01504434962783696</v>
      </c>
      <c r="Q705">
        <v>0.274297890605837</v>
      </c>
      <c r="R705" t="s">
        <v>782</v>
      </c>
      <c r="S705" t="s">
        <v>794</v>
      </c>
      <c r="T705">
        <v>7342.866892</v>
      </c>
      <c r="U705" s="2">
        <v>44526</v>
      </c>
      <c r="V705" t="s">
        <v>798</v>
      </c>
    </row>
    <row r="706" spans="1:22">
      <c r="A706" s="1" t="s">
        <v>726</v>
      </c>
      <c r="B706">
        <f>HYPERLINK("https://www.suredividend.com/sure-analysis-BX/","Blackstone Inc")</f>
        <v>0</v>
      </c>
      <c r="C706">
        <v>135</v>
      </c>
      <c r="D706">
        <v>92</v>
      </c>
      <c r="E706">
        <v>1.467391304347826</v>
      </c>
      <c r="F706">
        <v>0.0322962962962963</v>
      </c>
      <c r="G706">
        <v>-0.07382978179929922</v>
      </c>
      <c r="H706">
        <v>0.1</v>
      </c>
      <c r="I706">
        <v>0.04963211661510125</v>
      </c>
      <c r="J706" t="s">
        <v>778</v>
      </c>
      <c r="K706" t="s">
        <v>526</v>
      </c>
      <c r="L706">
        <v>4.6</v>
      </c>
      <c r="M706">
        <v>4.36</v>
      </c>
      <c r="N706">
        <v>0.9478260869565219</v>
      </c>
      <c r="O706">
        <v>0</v>
      </c>
      <c r="P706">
        <v>0.02981918386499416</v>
      </c>
      <c r="Q706">
        <v>1.152879995279611</v>
      </c>
      <c r="R706" t="s">
        <v>780</v>
      </c>
      <c r="S706" t="s">
        <v>789</v>
      </c>
      <c r="T706">
        <v>92727.694755</v>
      </c>
      <c r="U706" s="2">
        <v>44494</v>
      </c>
      <c r="V706" t="s">
        <v>795</v>
      </c>
    </row>
    <row r="707" spans="1:22">
      <c r="A707" s="1" t="s">
        <v>727</v>
      </c>
      <c r="B707">
        <f>HYPERLINK("https://www.suredividend.com/sure-analysis-GWRS/","Global Water Resources Inc")</f>
        <v>0</v>
      </c>
      <c r="C707">
        <v>17.01</v>
      </c>
      <c r="D707">
        <v>15</v>
      </c>
      <c r="E707">
        <v>1.134</v>
      </c>
      <c r="F707">
        <v>0.0170487948265726</v>
      </c>
      <c r="G707">
        <v>-0.02483660856078362</v>
      </c>
      <c r="H707">
        <v>0.06</v>
      </c>
      <c r="I707">
        <v>0.04905665508788348</v>
      </c>
      <c r="J707" t="s">
        <v>778</v>
      </c>
      <c r="K707" t="s">
        <v>778</v>
      </c>
      <c r="L707">
        <v>0.4</v>
      </c>
      <c r="M707">
        <v>0.29</v>
      </c>
      <c r="N707">
        <v>0.7249999999999999</v>
      </c>
      <c r="O707">
        <v>6</v>
      </c>
      <c r="P707">
        <v>0.01988310171094443</v>
      </c>
      <c r="Q707">
        <v>0.170077386070507</v>
      </c>
      <c r="R707" t="s">
        <v>780</v>
      </c>
      <c r="S707" t="s">
        <v>792</v>
      </c>
      <c r="T707">
        <v>385.262654</v>
      </c>
      <c r="U707" s="2">
        <v>44513</v>
      </c>
      <c r="V707" t="s">
        <v>795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4.08</v>
      </c>
      <c r="D708">
        <v>3.4</v>
      </c>
      <c r="E708">
        <v>1.2</v>
      </c>
      <c r="F708">
        <v>0.1029411764705882</v>
      </c>
      <c r="G708">
        <v>-0.03580749599737276</v>
      </c>
      <c r="H708">
        <v>0</v>
      </c>
      <c r="I708">
        <v>0.04795263709321929</v>
      </c>
      <c r="J708" t="s">
        <v>778</v>
      </c>
      <c r="K708" t="s">
        <v>345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0.424581005586592</v>
      </c>
      <c r="R708" t="s">
        <v>783</v>
      </c>
      <c r="S708" t="s">
        <v>789</v>
      </c>
      <c r="T708">
        <v>202.593522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HYPERLINK("https://www.suredividend.com/sure-analysis-HTGC/","Hercules Capital Inc")</f>
        <v>0</v>
      </c>
      <c r="C709">
        <v>16.5</v>
      </c>
      <c r="D709">
        <v>13.7</v>
      </c>
      <c r="E709">
        <v>1.204379562043796</v>
      </c>
      <c r="F709">
        <v>0.08</v>
      </c>
      <c r="G709">
        <v>-0.03650974911268468</v>
      </c>
      <c r="H709">
        <v>0.001</v>
      </c>
      <c r="I709">
        <v>0.04694180477743393</v>
      </c>
      <c r="J709" t="s">
        <v>778</v>
      </c>
      <c r="K709" t="s">
        <v>345</v>
      </c>
      <c r="L709">
        <v>1.28</v>
      </c>
      <c r="M709">
        <v>1.32</v>
      </c>
      <c r="N709">
        <v>1.03125</v>
      </c>
      <c r="O709">
        <v>0</v>
      </c>
      <c r="P709">
        <v>0.01896393794917839</v>
      </c>
      <c r="Q709">
        <v>0.223962969556702</v>
      </c>
      <c r="R709" t="s">
        <v>783</v>
      </c>
      <c r="S709" t="s">
        <v>789</v>
      </c>
      <c r="T709">
        <v>1912.340463</v>
      </c>
      <c r="U709" s="2">
        <v>44506</v>
      </c>
      <c r="V709" t="s">
        <v>805</v>
      </c>
    </row>
    <row r="710" spans="1:22">
      <c r="A710" s="1" t="s">
        <v>730</v>
      </c>
      <c r="B710">
        <f>HYPERLINK("https://www.suredividend.com/sure-analysis-PRT/","PermRock Royalty Trust")</f>
        <v>0</v>
      </c>
      <c r="C710">
        <v>6.8</v>
      </c>
      <c r="D710">
        <v>4.13</v>
      </c>
      <c r="E710">
        <v>1.646489104116223</v>
      </c>
      <c r="F710">
        <v>0.08088235294117647</v>
      </c>
      <c r="G710">
        <v>-0.09491737494091113</v>
      </c>
      <c r="H710">
        <v>0.05</v>
      </c>
      <c r="I710">
        <v>0.04456927863661475</v>
      </c>
      <c r="J710" t="s">
        <v>778</v>
      </c>
      <c r="K710" t="s">
        <v>345</v>
      </c>
      <c r="L710">
        <v>0.55</v>
      </c>
      <c r="M710">
        <v>0.55</v>
      </c>
      <c r="N710">
        <v>1</v>
      </c>
      <c r="O710">
        <v>0</v>
      </c>
      <c r="P710">
        <v>0.04941452284458392</v>
      </c>
      <c r="Q710">
        <v>1.344827586206896</v>
      </c>
      <c r="R710" t="s">
        <v>780</v>
      </c>
      <c r="S710" t="s">
        <v>793</v>
      </c>
      <c r="T710">
        <v>82.726978</v>
      </c>
      <c r="U710" s="2">
        <v>44516</v>
      </c>
      <c r="V710" t="s">
        <v>802</v>
      </c>
    </row>
    <row r="711" spans="1:22">
      <c r="A711" s="1" t="s">
        <v>731</v>
      </c>
      <c r="B711">
        <f>HYPERLINK("https://www.suredividend.com/sure-analysis-NSA/","National Storage Affiliates Trust")</f>
        <v>0</v>
      </c>
      <c r="C711">
        <v>67.09</v>
      </c>
      <c r="D711">
        <v>49</v>
      </c>
      <c r="E711">
        <v>1.369183673469388</v>
      </c>
      <c r="F711">
        <v>0.02682963183782978</v>
      </c>
      <c r="G711">
        <v>-0.06090904491806159</v>
      </c>
      <c r="H711">
        <v>0.08</v>
      </c>
      <c r="I711">
        <v>0.04363156236215815</v>
      </c>
      <c r="J711" t="s">
        <v>778</v>
      </c>
      <c r="K711" t="s">
        <v>778</v>
      </c>
      <c r="L711">
        <v>2.21</v>
      </c>
      <c r="M711">
        <v>1.8</v>
      </c>
      <c r="N711">
        <v>0.8144796380090498</v>
      </c>
      <c r="O711">
        <v>6</v>
      </c>
      <c r="P711">
        <v>0.06961037572506878</v>
      </c>
      <c r="Q711">
        <v>0.9574775994421381</v>
      </c>
      <c r="R711" t="s">
        <v>782</v>
      </c>
      <c r="S711" t="s">
        <v>794</v>
      </c>
      <c r="T711">
        <v>5975.610428</v>
      </c>
      <c r="U711" s="2">
        <v>44505</v>
      </c>
      <c r="V711" t="s">
        <v>795</v>
      </c>
    </row>
    <row r="712" spans="1:22">
      <c r="A712" s="1" t="s">
        <v>732</v>
      </c>
      <c r="B712">
        <f>HYPERLINK("https://www.suredividend.com/sure-analysis-MNR/","Monmouth Real Estate Investment Corp.")</f>
        <v>0</v>
      </c>
      <c r="C712">
        <v>20.97</v>
      </c>
      <c r="D712">
        <v>19.11</v>
      </c>
      <c r="E712">
        <v>1.097331240188383</v>
      </c>
      <c r="F712">
        <v>0.03433476394849785</v>
      </c>
      <c r="G712">
        <v>-0.01840474283129312</v>
      </c>
      <c r="H712">
        <v>0.03</v>
      </c>
      <c r="I712">
        <v>0.04362634191238013</v>
      </c>
      <c r="J712" t="s">
        <v>778</v>
      </c>
      <c r="K712" t="s">
        <v>526</v>
      </c>
      <c r="L712">
        <v>0.91</v>
      </c>
      <c r="M712">
        <v>0.72</v>
      </c>
      <c r="N712">
        <v>0.7912087912087912</v>
      </c>
      <c r="O712">
        <v>1</v>
      </c>
      <c r="P712">
        <v>0.01872958559274807</v>
      </c>
      <c r="Q712">
        <v>0.24208518678663</v>
      </c>
      <c r="R712" t="s">
        <v>782</v>
      </c>
      <c r="S712" t="s">
        <v>794</v>
      </c>
      <c r="T712">
        <v>2062.177554</v>
      </c>
      <c r="U712" s="2">
        <v>44520</v>
      </c>
      <c r="V712" t="s">
        <v>795</v>
      </c>
    </row>
    <row r="713" spans="1:22">
      <c r="A713" s="1" t="s">
        <v>733</v>
      </c>
      <c r="B713">
        <f>HYPERLINK("https://www.suredividend.com/sure-analysis-BGS/","B&amp;G Foods, Inc")</f>
        <v>0</v>
      </c>
      <c r="C713">
        <v>31.23</v>
      </c>
      <c r="D713">
        <v>25</v>
      </c>
      <c r="E713">
        <v>1.2492</v>
      </c>
      <c r="F713">
        <v>0.06083893691962856</v>
      </c>
      <c r="G713">
        <v>-0.04352504006127877</v>
      </c>
      <c r="H713">
        <v>0.03</v>
      </c>
      <c r="I713">
        <v>0.04264579445407968</v>
      </c>
      <c r="J713" t="s">
        <v>778</v>
      </c>
      <c r="K713" t="s">
        <v>526</v>
      </c>
      <c r="L713">
        <v>1.9</v>
      </c>
      <c r="M713">
        <v>1.9</v>
      </c>
      <c r="N713">
        <v>1</v>
      </c>
      <c r="O713">
        <v>0</v>
      </c>
      <c r="P713">
        <v>0</v>
      </c>
      <c r="Q713">
        <v>0.07388227526872801</v>
      </c>
      <c r="R713" t="s">
        <v>780</v>
      </c>
      <c r="S713" t="s">
        <v>791</v>
      </c>
      <c r="T713">
        <v>2026.730468</v>
      </c>
      <c r="U713" s="2">
        <v>44511</v>
      </c>
      <c r="V713" t="s">
        <v>799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40.57</v>
      </c>
      <c r="D714">
        <v>32</v>
      </c>
      <c r="E714">
        <v>1.2678125</v>
      </c>
      <c r="F714">
        <v>0.07764357899926054</v>
      </c>
      <c r="G714">
        <v>-0.04635004169741508</v>
      </c>
      <c r="H714">
        <v>0.01</v>
      </c>
      <c r="I714">
        <v>0.04209658799973304</v>
      </c>
      <c r="J714" t="s">
        <v>778</v>
      </c>
      <c r="K714" t="s">
        <v>345</v>
      </c>
      <c r="L714">
        <v>3.15</v>
      </c>
      <c r="M714">
        <v>3.15</v>
      </c>
      <c r="N714">
        <v>1</v>
      </c>
      <c r="O714">
        <v>0</v>
      </c>
      <c r="P714">
        <v>0.009958405478199817</v>
      </c>
      <c r="Q714">
        <v>0.5393371402553541</v>
      </c>
      <c r="R714" t="s">
        <v>780</v>
      </c>
      <c r="S714" t="s">
        <v>793</v>
      </c>
      <c r="T714">
        <v>591.484027</v>
      </c>
      <c r="U714" s="2">
        <v>44519</v>
      </c>
      <c r="V714" t="s">
        <v>803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29.69</v>
      </c>
      <c r="D715">
        <v>24</v>
      </c>
      <c r="E715">
        <v>1.237083333333333</v>
      </c>
      <c r="F715">
        <v>0.048501178848097</v>
      </c>
      <c r="G715">
        <v>-0.04165869068077654</v>
      </c>
      <c r="H715">
        <v>0.04</v>
      </c>
      <c r="I715">
        <v>0.0415915522675212</v>
      </c>
      <c r="J715" t="s">
        <v>778</v>
      </c>
      <c r="K715" t="s">
        <v>345</v>
      </c>
      <c r="L715">
        <v>2.4</v>
      </c>
      <c r="M715">
        <v>1.44</v>
      </c>
      <c r="N715">
        <v>0.6</v>
      </c>
      <c r="O715">
        <v>0</v>
      </c>
      <c r="P715">
        <v>0</v>
      </c>
      <c r="Q715">
        <v>0.6593173828725361</v>
      </c>
      <c r="R715" t="s">
        <v>780</v>
      </c>
      <c r="S715" t="s">
        <v>786</v>
      </c>
      <c r="T715">
        <v>1958.076135</v>
      </c>
      <c r="U715" s="2">
        <v>44504</v>
      </c>
      <c r="V715" t="s">
        <v>797</v>
      </c>
    </row>
    <row r="716" spans="1:22">
      <c r="A716" s="1" t="s">
        <v>736</v>
      </c>
      <c r="B716">
        <f>HYPERLINK("https://www.suredividend.com/sure-analysis-XRX/","Xerox Holdings Corp")</f>
        <v>0</v>
      </c>
      <c r="C716">
        <v>22.45</v>
      </c>
      <c r="D716">
        <v>16</v>
      </c>
      <c r="E716">
        <v>1.403125</v>
      </c>
      <c r="F716">
        <v>0.044543429844098</v>
      </c>
      <c r="G716">
        <v>-0.0654969407253112</v>
      </c>
      <c r="H716">
        <v>0.07000000000000001</v>
      </c>
      <c r="I716">
        <v>0.04096510704009493</v>
      </c>
      <c r="J716" t="s">
        <v>778</v>
      </c>
      <c r="K716" t="s">
        <v>345</v>
      </c>
      <c r="L716">
        <v>1.6</v>
      </c>
      <c r="M716">
        <v>1</v>
      </c>
      <c r="N716">
        <v>0.625</v>
      </c>
      <c r="O716">
        <v>0</v>
      </c>
      <c r="P716">
        <v>0</v>
      </c>
      <c r="Q716">
        <v>0.029632313485202</v>
      </c>
      <c r="R716" t="s">
        <v>780</v>
      </c>
      <c r="S716" t="s">
        <v>787</v>
      </c>
      <c r="T716">
        <v>4007.595657</v>
      </c>
      <c r="U716" s="2">
        <v>44512</v>
      </c>
      <c r="V716" t="s">
        <v>801</v>
      </c>
    </row>
    <row r="717" spans="1:22">
      <c r="A717" s="1" t="s">
        <v>737</v>
      </c>
      <c r="B717">
        <f>HYPERLINK("https://www.suredividend.com/sure-analysis-GOOD/","Gladstone Commercial Corp")</f>
        <v>0</v>
      </c>
      <c r="C717">
        <v>24.48</v>
      </c>
      <c r="D717">
        <v>19</v>
      </c>
      <c r="E717">
        <v>1.288421052631579</v>
      </c>
      <c r="F717">
        <v>0.06127450980392157</v>
      </c>
      <c r="G717">
        <v>-0.04942051457581731</v>
      </c>
      <c r="H717">
        <v>0.03</v>
      </c>
      <c r="I717">
        <v>0.03819575919047047</v>
      </c>
      <c r="J717" t="s">
        <v>778</v>
      </c>
      <c r="K717" t="s">
        <v>345</v>
      </c>
      <c r="L717">
        <v>1.56</v>
      </c>
      <c r="M717">
        <v>1.5</v>
      </c>
      <c r="N717">
        <v>0.9615384615384615</v>
      </c>
      <c r="O717">
        <v>0</v>
      </c>
      <c r="P717">
        <v>0</v>
      </c>
      <c r="Q717">
        <v>0.477680861980502</v>
      </c>
      <c r="R717" t="s">
        <v>782</v>
      </c>
      <c r="S717" t="s">
        <v>794</v>
      </c>
      <c r="T717">
        <v>912.330824</v>
      </c>
      <c r="U717" s="2">
        <v>44526</v>
      </c>
      <c r="V717" t="s">
        <v>801</v>
      </c>
    </row>
    <row r="718" spans="1:22">
      <c r="A718" s="1" t="s">
        <v>738</v>
      </c>
      <c r="B718">
        <f>HYPERLINK("https://www.suredividend.com/sure-analysis-IRT/","Independence Realty Trust Inc")</f>
        <v>0</v>
      </c>
      <c r="C718">
        <v>23.56</v>
      </c>
      <c r="D718">
        <v>18.7</v>
      </c>
      <c r="E718">
        <v>1.259893048128342</v>
      </c>
      <c r="F718">
        <v>0.02037351443123939</v>
      </c>
      <c r="G718">
        <v>-0.04515415175884285</v>
      </c>
      <c r="H718">
        <v>0.059</v>
      </c>
      <c r="I718">
        <v>0.03662251996026633</v>
      </c>
      <c r="J718" t="s">
        <v>778</v>
      </c>
      <c r="K718" t="s">
        <v>778</v>
      </c>
      <c r="L718">
        <v>0.79</v>
      </c>
      <c r="M718">
        <v>0.48</v>
      </c>
      <c r="N718">
        <v>0.6075949367088607</v>
      </c>
      <c r="O718">
        <v>0</v>
      </c>
      <c r="P718">
        <v>0.1075663432482901</v>
      </c>
      <c r="Q718">
        <v>0.844183698230178</v>
      </c>
      <c r="R718" t="s">
        <v>782</v>
      </c>
      <c r="S718" t="s">
        <v>794</v>
      </c>
      <c r="T718">
        <v>2476.437377</v>
      </c>
      <c r="U718" s="2">
        <v>44503</v>
      </c>
      <c r="V718" t="s">
        <v>805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31.46</v>
      </c>
      <c r="D719">
        <v>24.3</v>
      </c>
      <c r="E719">
        <v>1.294650205761317</v>
      </c>
      <c r="F719">
        <v>0.07883026064844247</v>
      </c>
      <c r="G719">
        <v>-0.05033701452326511</v>
      </c>
      <c r="H719">
        <v>0.004</v>
      </c>
      <c r="I719">
        <v>0.03403030436267374</v>
      </c>
      <c r="J719" t="s">
        <v>778</v>
      </c>
      <c r="K719" t="s">
        <v>345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0.20115304583548</v>
      </c>
      <c r="R719" t="s">
        <v>782</v>
      </c>
      <c r="S719" t="s">
        <v>794</v>
      </c>
      <c r="T719">
        <v>5265.707224</v>
      </c>
      <c r="U719" s="2">
        <v>44503</v>
      </c>
      <c r="V719" t="s">
        <v>805</v>
      </c>
    </row>
    <row r="720" spans="1:22">
      <c r="A720" s="1" t="s">
        <v>740</v>
      </c>
      <c r="B720">
        <f>HYPERLINK("https://www.suredividend.com/sure-analysis-BCE/","BCE Inc")</f>
        <v>0</v>
      </c>
      <c r="C720">
        <v>51.3</v>
      </c>
      <c r="D720">
        <v>40</v>
      </c>
      <c r="E720">
        <v>1.2825</v>
      </c>
      <c r="F720">
        <v>0.05477582846003899</v>
      </c>
      <c r="G720">
        <v>-0.04854440296325058</v>
      </c>
      <c r="H720">
        <v>0.03</v>
      </c>
      <c r="I720">
        <v>0.03398546350006737</v>
      </c>
      <c r="J720" t="s">
        <v>778</v>
      </c>
      <c r="K720" t="s">
        <v>526</v>
      </c>
      <c r="L720">
        <v>2.56</v>
      </c>
      <c r="M720">
        <v>2.81</v>
      </c>
      <c r="N720">
        <v>1.09765625</v>
      </c>
      <c r="O720">
        <v>12</v>
      </c>
      <c r="P720">
        <v>0.00493329096672368</v>
      </c>
      <c r="Q720">
        <v>0.276255917921568</v>
      </c>
      <c r="R720" t="s">
        <v>780</v>
      </c>
      <c r="S720" t="s">
        <v>784</v>
      </c>
      <c r="T720">
        <v>46623.990739</v>
      </c>
      <c r="U720" s="2">
        <v>44517</v>
      </c>
      <c r="V720" t="s">
        <v>804</v>
      </c>
    </row>
    <row r="721" spans="1:22">
      <c r="A721" s="1" t="s">
        <v>741</v>
      </c>
      <c r="B721">
        <f>HYPERLINK("https://www.suredividend.com/sure-analysis-PSEC/","Prospect Capital Corp")</f>
        <v>0</v>
      </c>
      <c r="C721">
        <v>8.43</v>
      </c>
      <c r="D721">
        <v>6.3</v>
      </c>
      <c r="E721">
        <v>1.338095238095238</v>
      </c>
      <c r="F721">
        <v>0.08540925266903915</v>
      </c>
      <c r="G721">
        <v>-0.05658539566937304</v>
      </c>
      <c r="H721">
        <v>0</v>
      </c>
      <c r="I721">
        <v>0.03266991306471878</v>
      </c>
      <c r="J721" t="s">
        <v>778</v>
      </c>
      <c r="K721" t="s">
        <v>345</v>
      </c>
      <c r="L721">
        <v>0.74</v>
      </c>
      <c r="M721">
        <v>0.72</v>
      </c>
      <c r="N721">
        <v>0.9729729729729729</v>
      </c>
      <c r="O721">
        <v>0</v>
      </c>
      <c r="P721">
        <v>0</v>
      </c>
      <c r="Q721">
        <v>0.694744883599372</v>
      </c>
      <c r="R721" t="s">
        <v>783</v>
      </c>
      <c r="S721" t="s">
        <v>789</v>
      </c>
      <c r="T721">
        <v>3286.574595</v>
      </c>
      <c r="U721" s="2">
        <v>44541</v>
      </c>
      <c r="V721" t="s">
        <v>801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8.19</v>
      </c>
      <c r="D722">
        <v>7</v>
      </c>
      <c r="E722">
        <v>1.17</v>
      </c>
      <c r="F722">
        <v>0.03296703296703297</v>
      </c>
      <c r="G722">
        <v>-0.03091286619041367</v>
      </c>
      <c r="H722">
        <v>0.03</v>
      </c>
      <c r="I722">
        <v>0.0293583589418609</v>
      </c>
      <c r="J722" t="s">
        <v>778</v>
      </c>
      <c r="K722" t="s">
        <v>526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-0.07555816420976601</v>
      </c>
      <c r="R722" t="s">
        <v>780</v>
      </c>
      <c r="S722" t="s">
        <v>784</v>
      </c>
      <c r="T722">
        <v>6198.064596</v>
      </c>
      <c r="U722" s="2">
        <v>44502</v>
      </c>
      <c r="V722" t="s">
        <v>797</v>
      </c>
    </row>
    <row r="723" spans="1:22">
      <c r="A723" s="1" t="s">
        <v>743</v>
      </c>
      <c r="B723">
        <f>HYPERLINK("https://www.suredividend.com/sure-analysis-ACC/","American Campus Communities Inc.")</f>
        <v>0</v>
      </c>
      <c r="C723">
        <v>55.72</v>
      </c>
      <c r="D723">
        <v>40</v>
      </c>
      <c r="E723">
        <v>1.393</v>
      </c>
      <c r="F723">
        <v>0.03374012921751615</v>
      </c>
      <c r="G723">
        <v>-0.06414238889032431</v>
      </c>
      <c r="H723">
        <v>0.06</v>
      </c>
      <c r="I723">
        <v>0.02702267005693271</v>
      </c>
      <c r="J723" t="s">
        <v>778</v>
      </c>
      <c r="K723" t="s">
        <v>526</v>
      </c>
      <c r="L723">
        <v>2.1</v>
      </c>
      <c r="M723">
        <v>1.88</v>
      </c>
      <c r="N723">
        <v>0.8952380952380952</v>
      </c>
      <c r="O723">
        <v>8</v>
      </c>
      <c r="P723">
        <v>0.02528440313403202</v>
      </c>
      <c r="Q723">
        <v>0.366456580915712</v>
      </c>
      <c r="R723" t="s">
        <v>782</v>
      </c>
      <c r="S723" t="s">
        <v>794</v>
      </c>
      <c r="T723">
        <v>7753.809708</v>
      </c>
      <c r="U723" s="2">
        <v>44498</v>
      </c>
      <c r="V723" t="s">
        <v>795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24.22</v>
      </c>
      <c r="D724">
        <v>13</v>
      </c>
      <c r="E724">
        <v>1.863076923076923</v>
      </c>
      <c r="F724">
        <v>0.02972749793559042</v>
      </c>
      <c r="G724">
        <v>-0.1170139493070437</v>
      </c>
      <c r="H724">
        <v>0.13</v>
      </c>
      <c r="I724">
        <v>0.02611188506415085</v>
      </c>
      <c r="J724" t="s">
        <v>778</v>
      </c>
      <c r="K724" t="s">
        <v>778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0.182316989826801</v>
      </c>
      <c r="R724" t="s">
        <v>780</v>
      </c>
      <c r="S724" t="s">
        <v>793</v>
      </c>
      <c r="T724">
        <v>25073.5128</v>
      </c>
      <c r="U724" s="2">
        <v>44491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34.14</v>
      </c>
      <c r="D725">
        <v>25</v>
      </c>
      <c r="E725">
        <v>1.3656</v>
      </c>
      <c r="F725">
        <v>0.05272407732864675</v>
      </c>
      <c r="G725">
        <v>-0.06041667991513033</v>
      </c>
      <c r="H725">
        <v>0.03</v>
      </c>
      <c r="I725">
        <v>0.02299568384340622</v>
      </c>
      <c r="J725" t="s">
        <v>778</v>
      </c>
      <c r="K725" t="s">
        <v>526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0.8473626111988911</v>
      </c>
      <c r="R725" t="s">
        <v>782</v>
      </c>
      <c r="S725" t="s">
        <v>794</v>
      </c>
      <c r="T725">
        <v>713.907788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HYPERLINK("https://www.suredividend.com/sure-analysis-EVA/","Enviva Partners LP")</f>
        <v>0</v>
      </c>
      <c r="C726">
        <v>71.06</v>
      </c>
      <c r="D726">
        <v>45</v>
      </c>
      <c r="E726">
        <v>1.579111111111111</v>
      </c>
      <c r="F726">
        <v>0.04728398536448072</v>
      </c>
      <c r="G726">
        <v>-0.08732225199838151</v>
      </c>
      <c r="H726">
        <v>0.055</v>
      </c>
      <c r="I726">
        <v>0.0211523971467833</v>
      </c>
      <c r="J726" t="s">
        <v>778</v>
      </c>
      <c r="K726" t="s">
        <v>526</v>
      </c>
      <c r="L726">
        <v>3.78</v>
      </c>
      <c r="M726">
        <v>3.36</v>
      </c>
      <c r="N726">
        <v>0.888888888888889</v>
      </c>
      <c r="O726">
        <v>5</v>
      </c>
      <c r="P726">
        <v>0.06016789231717445</v>
      </c>
      <c r="Q726">
        <v>0.6670928631252471</v>
      </c>
      <c r="R726" t="s">
        <v>780</v>
      </c>
      <c r="S726" t="s">
        <v>790</v>
      </c>
      <c r="T726">
        <v>4336.289477</v>
      </c>
      <c r="U726" s="2">
        <v>44512</v>
      </c>
      <c r="V726" t="s">
        <v>802</v>
      </c>
    </row>
    <row r="727" spans="1:22">
      <c r="A727" s="1" t="s">
        <v>747</v>
      </c>
      <c r="B727">
        <f>HYPERLINK("https://www.suredividend.com/sure-analysis-LADR/","Ladder Capital Corp")</f>
        <v>0</v>
      </c>
      <c r="C727">
        <v>12.2</v>
      </c>
      <c r="D727">
        <v>8.5</v>
      </c>
      <c r="E727">
        <v>1.435294117647059</v>
      </c>
      <c r="F727">
        <v>0.06557377049180328</v>
      </c>
      <c r="G727">
        <v>-0.06972399532866635</v>
      </c>
      <c r="H727">
        <v>0.02</v>
      </c>
      <c r="I727">
        <v>0.02051623116201751</v>
      </c>
      <c r="J727" t="s">
        <v>778</v>
      </c>
      <c r="K727" t="s">
        <v>526</v>
      </c>
      <c r="L727">
        <v>0.4</v>
      </c>
      <c r="M727">
        <v>0.8</v>
      </c>
      <c r="N727">
        <v>2</v>
      </c>
      <c r="O727">
        <v>0</v>
      </c>
      <c r="P727">
        <v>0.009805797673485328</v>
      </c>
      <c r="Q727">
        <v>0.334222815210139</v>
      </c>
      <c r="R727" t="s">
        <v>782</v>
      </c>
      <c r="S727" t="s">
        <v>794</v>
      </c>
      <c r="T727">
        <v>1530.62503</v>
      </c>
      <c r="U727" s="2">
        <v>44513</v>
      </c>
      <c r="V727" t="s">
        <v>802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29.71</v>
      </c>
      <c r="D728">
        <v>22</v>
      </c>
      <c r="E728">
        <v>1.350454545454546</v>
      </c>
      <c r="F728">
        <v>0.03231235274318411</v>
      </c>
      <c r="G728">
        <v>-0.05831857085386416</v>
      </c>
      <c r="H728">
        <v>0.045</v>
      </c>
      <c r="I728">
        <v>0.01763696456939079</v>
      </c>
      <c r="J728" t="s">
        <v>778</v>
      </c>
      <c r="K728" t="s">
        <v>526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0.774843932017085</v>
      </c>
      <c r="R728" t="s">
        <v>780</v>
      </c>
      <c r="S728" t="s">
        <v>784</v>
      </c>
      <c r="T728">
        <v>14160.032444</v>
      </c>
      <c r="U728" s="2">
        <v>44514</v>
      </c>
      <c r="V728" t="s">
        <v>802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88.18000000000001</v>
      </c>
      <c r="D729">
        <v>65</v>
      </c>
      <c r="E729">
        <v>1.356615384615385</v>
      </c>
      <c r="F729">
        <v>0.02744386482195509</v>
      </c>
      <c r="G729">
        <v>-0.05917542614211713</v>
      </c>
      <c r="H729">
        <v>0.048</v>
      </c>
      <c r="I729">
        <v>0.01705705448138861</v>
      </c>
      <c r="J729" t="s">
        <v>778</v>
      </c>
      <c r="K729" t="s">
        <v>778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0.598083314908316</v>
      </c>
      <c r="R729" t="s">
        <v>782</v>
      </c>
      <c r="S729" t="s">
        <v>794</v>
      </c>
      <c r="T729">
        <v>33068.930456</v>
      </c>
      <c r="U729" s="2">
        <v>44496</v>
      </c>
      <c r="V729" t="s">
        <v>805</v>
      </c>
    </row>
    <row r="730" spans="1:22">
      <c r="A730" s="1" t="s">
        <v>750</v>
      </c>
      <c r="B730">
        <f>HYPERLINK("https://www.suredividend.com/sure-analysis-APTS/","Preferred Apartment Communities Inc")</f>
        <v>0</v>
      </c>
      <c r="C730">
        <v>16.47</v>
      </c>
      <c r="D730">
        <v>12.3</v>
      </c>
      <c r="E730">
        <v>1.339024390243902</v>
      </c>
      <c r="F730">
        <v>0.04250151791135397</v>
      </c>
      <c r="G730">
        <v>-0.05671635954390752</v>
      </c>
      <c r="H730">
        <v>0.02</v>
      </c>
      <c r="I730">
        <v>0.01405138953447649</v>
      </c>
      <c r="J730" t="s">
        <v>778</v>
      </c>
      <c r="K730" t="s">
        <v>526</v>
      </c>
      <c r="L730">
        <v>1.04</v>
      </c>
      <c r="M730">
        <v>0.7</v>
      </c>
      <c r="N730">
        <v>0.673076923076923</v>
      </c>
      <c r="O730">
        <v>0</v>
      </c>
      <c r="P730">
        <v>0.05154749679728043</v>
      </c>
      <c r="Q730">
        <v>1.347257257685236</v>
      </c>
      <c r="R730" t="s">
        <v>782</v>
      </c>
      <c r="S730" t="s">
        <v>794</v>
      </c>
      <c r="T730">
        <v>872.02314</v>
      </c>
      <c r="U730" s="2">
        <v>44515</v>
      </c>
      <c r="V730" t="s">
        <v>803</v>
      </c>
    </row>
    <row r="731" spans="1:22">
      <c r="A731" s="1" t="s">
        <v>751</v>
      </c>
      <c r="B731">
        <f>HYPERLINK("https://www.suredividend.com/sure-analysis-PLYM/","Plymouth Industrial Reit Inc")</f>
        <v>0</v>
      </c>
      <c r="C731">
        <v>30.19</v>
      </c>
      <c r="D731">
        <v>20</v>
      </c>
      <c r="E731">
        <v>1.5095</v>
      </c>
      <c r="F731">
        <v>0.02782378270950646</v>
      </c>
      <c r="G731">
        <v>-0.07905567397013846</v>
      </c>
      <c r="H731">
        <v>0.07000000000000001</v>
      </c>
      <c r="I731">
        <v>0.01404375852908446</v>
      </c>
      <c r="J731" t="s">
        <v>778</v>
      </c>
      <c r="K731" t="s">
        <v>526</v>
      </c>
      <c r="L731">
        <v>1.39</v>
      </c>
      <c r="M731">
        <v>0.84</v>
      </c>
      <c r="N731">
        <v>0.6043165467625899</v>
      </c>
      <c r="O731">
        <v>0</v>
      </c>
      <c r="P731">
        <v>0.009347419909568888</v>
      </c>
      <c r="Q731">
        <v>1.152784215292683</v>
      </c>
      <c r="R731" t="s">
        <v>782</v>
      </c>
      <c r="S731" t="s">
        <v>794</v>
      </c>
      <c r="T731">
        <v>1044.738807</v>
      </c>
      <c r="U731" s="2">
        <v>44513</v>
      </c>
      <c r="V731" t="s">
        <v>802</v>
      </c>
    </row>
    <row r="732" spans="1:22">
      <c r="A732" s="1" t="s">
        <v>752</v>
      </c>
      <c r="B732">
        <f>HYPERLINK("https://www.suredividend.com/sure-analysis-EGP/","Eastgroup Properties, Inc.")</f>
        <v>0</v>
      </c>
      <c r="C732">
        <v>217.3</v>
      </c>
      <c r="D732">
        <v>145</v>
      </c>
      <c r="E732">
        <v>1.498620689655173</v>
      </c>
      <c r="F732">
        <v>0.02024850437183617</v>
      </c>
      <c r="G732">
        <v>-0.07772241182788298</v>
      </c>
      <c r="H732">
        <v>0.075</v>
      </c>
      <c r="I732">
        <v>0.01324801751219762</v>
      </c>
      <c r="J732" t="s">
        <v>778</v>
      </c>
      <c r="K732" t="s">
        <v>778</v>
      </c>
      <c r="L732">
        <v>6.05</v>
      </c>
      <c r="M732">
        <v>4.4</v>
      </c>
      <c r="N732">
        <v>0.7272727272727274</v>
      </c>
      <c r="O732">
        <v>11</v>
      </c>
      <c r="P732">
        <v>0.02793993925053573</v>
      </c>
      <c r="Q732">
        <v>0.6445364382504191</v>
      </c>
      <c r="R732" t="s">
        <v>782</v>
      </c>
      <c r="S732" t="s">
        <v>794</v>
      </c>
      <c r="T732">
        <v>8840.692523</v>
      </c>
      <c r="U732" s="2">
        <v>44500</v>
      </c>
      <c r="V732" t="s">
        <v>795</v>
      </c>
    </row>
    <row r="733" spans="1:22">
      <c r="A733" s="1" t="s">
        <v>753</v>
      </c>
      <c r="B733">
        <f>HYPERLINK("https://www.suredividend.com/sure-analysis-GLAD/","Gladstone Capital Corp.")</f>
        <v>0</v>
      </c>
      <c r="C733">
        <v>11.15</v>
      </c>
      <c r="D733">
        <v>8</v>
      </c>
      <c r="E733">
        <v>1.39375</v>
      </c>
      <c r="F733">
        <v>0.06995515695067264</v>
      </c>
      <c r="G733">
        <v>-0.06424313067863385</v>
      </c>
      <c r="H733">
        <v>0</v>
      </c>
      <c r="I733">
        <v>0.01310490682473797</v>
      </c>
      <c r="J733" t="s">
        <v>778</v>
      </c>
      <c r="K733" t="s">
        <v>345</v>
      </c>
      <c r="L733">
        <v>0.8</v>
      </c>
      <c r="M733">
        <v>0.78</v>
      </c>
      <c r="N733">
        <v>0.975</v>
      </c>
      <c r="O733">
        <v>0</v>
      </c>
      <c r="P733">
        <v>0</v>
      </c>
      <c r="Q733">
        <v>0.355030017256884</v>
      </c>
      <c r="R733" t="s">
        <v>780</v>
      </c>
      <c r="S733" t="s">
        <v>789</v>
      </c>
      <c r="T733">
        <v>382.493737</v>
      </c>
      <c r="U733" s="2">
        <v>44520</v>
      </c>
      <c r="V733" t="s">
        <v>801</v>
      </c>
    </row>
    <row r="734" spans="1:22">
      <c r="A734" s="1" t="s">
        <v>754</v>
      </c>
      <c r="B734">
        <f>HYPERLINK("https://www.suredividend.com/sure-analysis-LSI/","Life Storage Inc")</f>
        <v>0</v>
      </c>
      <c r="C734">
        <v>146.86</v>
      </c>
      <c r="D734">
        <v>88</v>
      </c>
      <c r="E734">
        <v>1.668863636363636</v>
      </c>
      <c r="F734">
        <v>0.02342366880021789</v>
      </c>
      <c r="G734">
        <v>-0.09735739259161158</v>
      </c>
      <c r="H734">
        <v>0.09</v>
      </c>
      <c r="I734">
        <v>0.0120761288752993</v>
      </c>
      <c r="J734" t="s">
        <v>778</v>
      </c>
      <c r="K734" t="s">
        <v>778</v>
      </c>
      <c r="L734">
        <v>4.85</v>
      </c>
      <c r="M734">
        <v>3.44</v>
      </c>
      <c r="N734">
        <v>0.709278350515464</v>
      </c>
      <c r="O734">
        <v>3</v>
      </c>
      <c r="P734">
        <v>0.05983895403096029</v>
      </c>
      <c r="Q734">
        <v>0.9428675751726761</v>
      </c>
      <c r="R734" t="s">
        <v>782</v>
      </c>
      <c r="S734" t="s">
        <v>794</v>
      </c>
      <c r="T734">
        <v>12044.911321</v>
      </c>
      <c r="U734" s="2">
        <v>44518</v>
      </c>
      <c r="V734" t="s">
        <v>803</v>
      </c>
    </row>
    <row r="735" spans="1:22">
      <c r="A735" s="1" t="s">
        <v>755</v>
      </c>
      <c r="B735">
        <f>HYPERLINK("https://www.suredividend.com/sure-analysis-PEAK/","Healthpeak Properties Inc")</f>
        <v>0</v>
      </c>
      <c r="C735">
        <v>35.19</v>
      </c>
      <c r="D735">
        <v>24</v>
      </c>
      <c r="E735">
        <v>1.46625</v>
      </c>
      <c r="F735">
        <v>0.03410059676044331</v>
      </c>
      <c r="G735">
        <v>-0.07368564360499907</v>
      </c>
      <c r="H735">
        <v>0.05</v>
      </c>
      <c r="I735">
        <v>0.01127147603165368</v>
      </c>
      <c r="J735" t="s">
        <v>778</v>
      </c>
      <c r="K735" t="s">
        <v>526</v>
      </c>
      <c r="L735">
        <v>1.6</v>
      </c>
      <c r="M735">
        <v>1.2</v>
      </c>
      <c r="N735">
        <v>0.7499999999999999</v>
      </c>
      <c r="O735">
        <v>0</v>
      </c>
      <c r="P735">
        <v>0.03131030647754507</v>
      </c>
      <c r="Q735">
        <v>0.235530182538261</v>
      </c>
      <c r="R735" t="s">
        <v>782</v>
      </c>
      <c r="S735" t="s">
        <v>794</v>
      </c>
      <c r="T735">
        <v>18969.951527</v>
      </c>
      <c r="U735" s="2">
        <v>44515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16.57</v>
      </c>
      <c r="D736">
        <v>11</v>
      </c>
      <c r="E736">
        <v>1.506363636363636</v>
      </c>
      <c r="F736">
        <v>0.05431502715751358</v>
      </c>
      <c r="G736">
        <v>-0.078672497734942</v>
      </c>
      <c r="H736">
        <v>0.03</v>
      </c>
      <c r="I736">
        <v>0.01119589812292276</v>
      </c>
      <c r="J736" t="s">
        <v>778</v>
      </c>
      <c r="K736" t="s">
        <v>526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0.7326292675275791</v>
      </c>
      <c r="R736" t="s">
        <v>783</v>
      </c>
      <c r="S736" t="s">
        <v>789</v>
      </c>
      <c r="T736">
        <v>550.207231</v>
      </c>
      <c r="U736" s="2">
        <v>44512</v>
      </c>
      <c r="V736" t="s">
        <v>797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18.12</v>
      </c>
      <c r="D737">
        <v>11.5</v>
      </c>
      <c r="E737">
        <v>1.575652173913044</v>
      </c>
      <c r="F737">
        <v>0.07947019867549668</v>
      </c>
      <c r="G737">
        <v>-0.08692189376560244</v>
      </c>
      <c r="H737">
        <v>0.008</v>
      </c>
      <c r="I737">
        <v>0.01002827924325245</v>
      </c>
      <c r="J737" t="s">
        <v>778</v>
      </c>
      <c r="K737" t="s">
        <v>345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0.385840261259952</v>
      </c>
      <c r="R737" t="s">
        <v>782</v>
      </c>
      <c r="S737" t="s">
        <v>794</v>
      </c>
      <c r="T737">
        <v>2591.280661</v>
      </c>
      <c r="U737" s="2">
        <v>44506</v>
      </c>
      <c r="V737" t="s">
        <v>805</v>
      </c>
    </row>
    <row r="738" spans="1:22">
      <c r="A738" s="1" t="s">
        <v>758</v>
      </c>
      <c r="B738">
        <f>HYPERLINK("https://www.suredividend.com/sure-analysis-IRM/","Iron Mountain Inc.")</f>
        <v>0</v>
      </c>
      <c r="C738">
        <v>51.3</v>
      </c>
      <c r="D738">
        <v>37</v>
      </c>
      <c r="E738">
        <v>1.386486486486486</v>
      </c>
      <c r="F738">
        <v>0.04814814814814816</v>
      </c>
      <c r="G738">
        <v>-0.06326473177498526</v>
      </c>
      <c r="H738">
        <v>0.02</v>
      </c>
      <c r="I738">
        <v>0.008766286804495538</v>
      </c>
      <c r="J738" t="s">
        <v>778</v>
      </c>
      <c r="K738" t="s">
        <v>345</v>
      </c>
      <c r="L738">
        <v>3.39</v>
      </c>
      <c r="M738">
        <v>2.47</v>
      </c>
      <c r="N738">
        <v>0.728613569321534</v>
      </c>
      <c r="O738">
        <v>10</v>
      </c>
      <c r="P738">
        <v>0.01031145931793609</v>
      </c>
      <c r="Q738">
        <v>0.8411183088987381</v>
      </c>
      <c r="R738" t="s">
        <v>782</v>
      </c>
      <c r="S738" t="s">
        <v>794</v>
      </c>
      <c r="T738">
        <v>14853.889247</v>
      </c>
      <c r="U738" s="2">
        <v>44511</v>
      </c>
      <c r="V738" t="s">
        <v>797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13.094</v>
      </c>
      <c r="D739">
        <v>9</v>
      </c>
      <c r="E739">
        <v>1.454888888888889</v>
      </c>
      <c r="F739">
        <v>0.04429509699098823</v>
      </c>
      <c r="G739">
        <v>-0.07224343846038128</v>
      </c>
      <c r="H739">
        <v>0.035</v>
      </c>
      <c r="I739">
        <v>0.007894946837595507</v>
      </c>
      <c r="J739" t="s">
        <v>778</v>
      </c>
      <c r="K739" t="s">
        <v>526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0.282694304578672</v>
      </c>
      <c r="R739" t="s">
        <v>782</v>
      </c>
      <c r="S739" t="s">
        <v>789</v>
      </c>
      <c r="T739">
        <v>3008.051911</v>
      </c>
      <c r="U739" s="2">
        <v>44513</v>
      </c>
      <c r="V739" t="s">
        <v>802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58.68</v>
      </c>
      <c r="D740">
        <v>40</v>
      </c>
      <c r="E740">
        <v>1.467</v>
      </c>
      <c r="F740">
        <v>0.02471029311520109</v>
      </c>
      <c r="G740">
        <v>-0.07378037814946348</v>
      </c>
      <c r="H740">
        <v>0.055</v>
      </c>
      <c r="I740">
        <v>0.006756946146069032</v>
      </c>
      <c r="J740" t="s">
        <v>778</v>
      </c>
      <c r="K740" t="s">
        <v>778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0.6355973776925471</v>
      </c>
      <c r="R740" t="s">
        <v>782</v>
      </c>
      <c r="S740" t="s">
        <v>794</v>
      </c>
      <c r="T740">
        <v>18143.05672</v>
      </c>
      <c r="U740" s="2">
        <v>44512</v>
      </c>
      <c r="V740" t="s">
        <v>802</v>
      </c>
    </row>
    <row r="741" spans="1:22">
      <c r="A741" s="1" t="s">
        <v>761</v>
      </c>
      <c r="B741">
        <f>HYPERLINK("https://www.suredividend.com/sure-analysis-STAG/","STAG Industrial Inc")</f>
        <v>0</v>
      </c>
      <c r="C741">
        <v>45.45</v>
      </c>
      <c r="D741">
        <v>31</v>
      </c>
      <c r="E741">
        <v>1.466129032258065</v>
      </c>
      <c r="F741">
        <v>0.0319031903190319</v>
      </c>
      <c r="G741">
        <v>-0.07367035839400116</v>
      </c>
      <c r="H741">
        <v>0.05</v>
      </c>
      <c r="I741">
        <v>0.006575444681259812</v>
      </c>
      <c r="J741" t="s">
        <v>778</v>
      </c>
      <c r="K741" t="s">
        <v>526</v>
      </c>
      <c r="L741">
        <v>2.04</v>
      </c>
      <c r="M741">
        <v>1.45</v>
      </c>
      <c r="N741">
        <v>0.7107843137254901</v>
      </c>
      <c r="O741">
        <v>10</v>
      </c>
      <c r="P741">
        <v>0.006803348678863008</v>
      </c>
      <c r="Q741">
        <v>0.538242849455269</v>
      </c>
      <c r="R741" t="s">
        <v>782</v>
      </c>
      <c r="S741" t="s">
        <v>794</v>
      </c>
      <c r="T741">
        <v>7716.103903</v>
      </c>
      <c r="U741" s="2">
        <v>44516</v>
      </c>
      <c r="V741" t="s">
        <v>803</v>
      </c>
    </row>
    <row r="742" spans="1:22">
      <c r="A742" s="1" t="s">
        <v>762</v>
      </c>
      <c r="B742">
        <f>HYPERLINK("https://www.suredividend.com/sure-analysis-LXP/","LXP Industrial Trust")</f>
        <v>0</v>
      </c>
      <c r="C742">
        <v>15.22</v>
      </c>
      <c r="D742">
        <v>11</v>
      </c>
      <c r="E742">
        <v>1.383636363636364</v>
      </c>
      <c r="F742">
        <v>0.03153745072273324</v>
      </c>
      <c r="G742">
        <v>-0.06287913718044491</v>
      </c>
      <c r="H742">
        <v>0.035</v>
      </c>
      <c r="I742">
        <v>0.003966086719755735</v>
      </c>
      <c r="J742" t="s">
        <v>778</v>
      </c>
      <c r="K742" t="s">
        <v>526</v>
      </c>
      <c r="L742">
        <v>0.76</v>
      </c>
      <c r="M742">
        <v>0.48</v>
      </c>
      <c r="N742">
        <v>0.631578947368421</v>
      </c>
      <c r="O742">
        <v>2</v>
      </c>
      <c r="P742">
        <v>0.008197818497166498</v>
      </c>
      <c r="Q742">
        <v>0.481394964035779</v>
      </c>
      <c r="R742" t="s">
        <v>782</v>
      </c>
      <c r="S742" t="s">
        <v>794</v>
      </c>
      <c r="T742">
        <v>4304.481315</v>
      </c>
      <c r="U742" s="2">
        <v>44513</v>
      </c>
      <c r="V742" t="s">
        <v>802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63.04</v>
      </c>
      <c r="D743">
        <v>49</v>
      </c>
      <c r="E743">
        <v>1.286530612244898</v>
      </c>
      <c r="F743">
        <v>0.03680203045685279</v>
      </c>
      <c r="G743">
        <v>-0.04914132051025488</v>
      </c>
      <c r="H743">
        <v>0.01</v>
      </c>
      <c r="I743">
        <v>0.001319709723391016</v>
      </c>
      <c r="J743" t="s">
        <v>778</v>
      </c>
      <c r="K743" t="s">
        <v>526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0.569775838799161</v>
      </c>
      <c r="R743" t="s">
        <v>780</v>
      </c>
      <c r="S743" t="s">
        <v>793</v>
      </c>
      <c r="T743">
        <v>38806.64741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HYPERLINK("https://www.suredividend.com/sure-analysis-GROW/","U.S. Global Investors, Inc.")</f>
        <v>0</v>
      </c>
      <c r="C744">
        <v>4.55</v>
      </c>
      <c r="D744">
        <v>7</v>
      </c>
      <c r="E744">
        <v>0.65</v>
      </c>
      <c r="F744">
        <v>0.01978021978021978</v>
      </c>
      <c r="G744">
        <v>0.08997698704834534</v>
      </c>
      <c r="H744">
        <v>-0.099</v>
      </c>
      <c r="I744">
        <v>0.001139097246904086</v>
      </c>
      <c r="J744" t="s">
        <v>778</v>
      </c>
      <c r="K744" t="s">
        <v>778</v>
      </c>
      <c r="L744">
        <v>0.06</v>
      </c>
      <c r="M744">
        <v>0.09</v>
      </c>
      <c r="N744">
        <v>1.5</v>
      </c>
      <c r="O744">
        <v>0</v>
      </c>
      <c r="P744">
        <v>-0.02328131613882611</v>
      </c>
      <c r="Q744">
        <v>-0.029933481152993</v>
      </c>
      <c r="R744" t="s">
        <v>780</v>
      </c>
      <c r="S744" t="s">
        <v>789</v>
      </c>
      <c r="T744">
        <v>58.935518</v>
      </c>
      <c r="U744" s="2">
        <v>44542</v>
      </c>
      <c r="V744" t="s">
        <v>805</v>
      </c>
    </row>
    <row r="745" spans="1:22">
      <c r="A745" s="1" t="s">
        <v>765</v>
      </c>
      <c r="B745">
        <f>HYPERLINK("https://www.suredividend.com/sure-analysis-HP/","Helmerich &amp; Payne, Inc.")</f>
        <v>0</v>
      </c>
      <c r="C745">
        <v>24.75</v>
      </c>
      <c r="D745">
        <v>9</v>
      </c>
      <c r="E745">
        <v>2.75</v>
      </c>
      <c r="F745">
        <v>0.04040404040404041</v>
      </c>
      <c r="G745">
        <v>-0.1831666495417976</v>
      </c>
      <c r="H745">
        <v>0.17</v>
      </c>
      <c r="I745">
        <v>-0.0001452355438321673</v>
      </c>
      <c r="J745" t="s">
        <v>778</v>
      </c>
      <c r="K745" t="s">
        <v>526</v>
      </c>
      <c r="L745">
        <v>0.55</v>
      </c>
      <c r="M745">
        <v>1</v>
      </c>
      <c r="N745">
        <v>1.818181818181818</v>
      </c>
      <c r="O745">
        <v>0</v>
      </c>
      <c r="P745">
        <v>0</v>
      </c>
      <c r="Q745">
        <v>0.04786743101010101</v>
      </c>
      <c r="R745" t="s">
        <v>780</v>
      </c>
      <c r="S745" t="s">
        <v>793</v>
      </c>
      <c r="T745">
        <v>2673.056009</v>
      </c>
      <c r="U745" s="2">
        <v>44524</v>
      </c>
      <c r="V745" t="s">
        <v>803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11.67</v>
      </c>
      <c r="D746">
        <v>6.7</v>
      </c>
      <c r="E746">
        <v>1.741791044776119</v>
      </c>
      <c r="F746">
        <v>0.05055698371893744</v>
      </c>
      <c r="G746">
        <v>-0.1050458436552183</v>
      </c>
      <c r="H746">
        <v>0.049</v>
      </c>
      <c r="I746">
        <v>-0.004667732203165964</v>
      </c>
      <c r="J746" t="s">
        <v>778</v>
      </c>
      <c r="K746" t="s">
        <v>526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0.151523523839596</v>
      </c>
      <c r="R746" t="s">
        <v>782</v>
      </c>
      <c r="S746" t="s">
        <v>789</v>
      </c>
      <c r="T746">
        <v>3822.108441</v>
      </c>
      <c r="U746" s="2">
        <v>44509</v>
      </c>
      <c r="V746" t="s">
        <v>805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20.81</v>
      </c>
      <c r="D747">
        <v>15.4</v>
      </c>
      <c r="E747">
        <v>1.351298701298701</v>
      </c>
      <c r="F747">
        <v>0.04565112926477655</v>
      </c>
      <c r="G747">
        <v>-0.05843625387856333</v>
      </c>
      <c r="H747">
        <v>-0.005</v>
      </c>
      <c r="I747">
        <v>-0.005833764211025882</v>
      </c>
      <c r="J747" t="s">
        <v>778</v>
      </c>
      <c r="K747" t="s">
        <v>345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0.5554691821266791</v>
      </c>
      <c r="R747" t="s">
        <v>782</v>
      </c>
      <c r="S747" t="s">
        <v>794</v>
      </c>
      <c r="T747">
        <v>823.138178</v>
      </c>
      <c r="U747" s="2">
        <v>44551</v>
      </c>
      <c r="V747" t="s">
        <v>805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18.3</v>
      </c>
      <c r="D748">
        <v>11.2</v>
      </c>
      <c r="E748">
        <v>1.633928571428572</v>
      </c>
      <c r="F748">
        <v>0.04426229508196721</v>
      </c>
      <c r="G748">
        <v>-0.09353010211891266</v>
      </c>
      <c r="H748">
        <v>0.039</v>
      </c>
      <c r="I748">
        <v>-0.007983546722565071</v>
      </c>
      <c r="J748" t="s">
        <v>778</v>
      </c>
      <c r="K748" t="s">
        <v>345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0.176485715020443</v>
      </c>
      <c r="R748" t="s">
        <v>780</v>
      </c>
      <c r="S748" t="s">
        <v>789</v>
      </c>
      <c r="T748">
        <v>909.523359</v>
      </c>
      <c r="U748" s="2">
        <v>44509</v>
      </c>
      <c r="V748" t="s">
        <v>805</v>
      </c>
    </row>
    <row r="749" spans="1:22">
      <c r="A749" s="1" t="s">
        <v>769</v>
      </c>
      <c r="B749">
        <f>HYPERLINK("https://www.suredividend.com/sure-analysis-WELL/","Welltower Inc")</f>
        <v>0</v>
      </c>
      <c r="C749">
        <v>82.79000000000001</v>
      </c>
      <c r="D749">
        <v>56</v>
      </c>
      <c r="E749">
        <v>1.478392857142857</v>
      </c>
      <c r="F749">
        <v>0.02947215847324556</v>
      </c>
      <c r="G749">
        <v>-0.07521233399300398</v>
      </c>
      <c r="H749">
        <v>0.012</v>
      </c>
      <c r="I749">
        <v>-0.02329314138621519</v>
      </c>
      <c r="J749" t="s">
        <v>778</v>
      </c>
      <c r="K749" t="s">
        <v>526</v>
      </c>
      <c r="L749">
        <v>3.19</v>
      </c>
      <c r="M749">
        <v>2.44</v>
      </c>
      <c r="N749">
        <v>0.7648902821316614</v>
      </c>
      <c r="O749">
        <v>0</v>
      </c>
      <c r="P749">
        <v>0.04972154879615531</v>
      </c>
      <c r="Q749">
        <v>0.370157736120098</v>
      </c>
      <c r="R749" t="s">
        <v>782</v>
      </c>
      <c r="S749" t="s">
        <v>794</v>
      </c>
      <c r="T749">
        <v>36036.378173</v>
      </c>
      <c r="U749" s="2">
        <v>44505</v>
      </c>
      <c r="V749" t="s">
        <v>804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48.97</v>
      </c>
      <c r="D750">
        <v>35.5</v>
      </c>
      <c r="E750">
        <v>1.37943661971831</v>
      </c>
      <c r="F750">
        <v>0.07310598325505412</v>
      </c>
      <c r="G750">
        <v>-0.06230921125380329</v>
      </c>
      <c r="H750">
        <v>-0.053</v>
      </c>
      <c r="I750">
        <v>-0.02495485826513411</v>
      </c>
      <c r="J750" t="s">
        <v>778</v>
      </c>
      <c r="K750" t="s">
        <v>345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0.5851949203841761</v>
      </c>
      <c r="R750" t="s">
        <v>780</v>
      </c>
      <c r="S750" t="s">
        <v>789</v>
      </c>
      <c r="T750">
        <v>4835.990628</v>
      </c>
      <c r="U750" s="2">
        <v>44504</v>
      </c>
      <c r="V750" t="s">
        <v>805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118.33</v>
      </c>
      <c r="D751">
        <v>78</v>
      </c>
      <c r="E751">
        <v>1.517051282051282</v>
      </c>
      <c r="F751">
        <v>0.03380376912025691</v>
      </c>
      <c r="G751">
        <v>-0.07997432428386086</v>
      </c>
      <c r="H751">
        <v>0.001</v>
      </c>
      <c r="I751">
        <v>-0.03623331781743355</v>
      </c>
      <c r="J751" t="s">
        <v>778</v>
      </c>
      <c r="K751" t="s">
        <v>526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0.497046518130165</v>
      </c>
      <c r="R751" t="s">
        <v>782</v>
      </c>
      <c r="S751" t="s">
        <v>794</v>
      </c>
      <c r="T751">
        <v>10273.33901</v>
      </c>
      <c r="U751" s="2">
        <v>44509</v>
      </c>
      <c r="V751" t="s">
        <v>805</v>
      </c>
    </row>
    <row r="752" spans="1:22">
      <c r="A752" s="1" t="s">
        <v>772</v>
      </c>
      <c r="B752">
        <f>HYPERLINK("https://www.suredividend.com/sure-analysis-LAND/","Gladstone Land Corp")</f>
        <v>0</v>
      </c>
      <c r="C752">
        <v>31.65</v>
      </c>
      <c r="D752">
        <v>15</v>
      </c>
      <c r="E752">
        <v>2.11</v>
      </c>
      <c r="F752">
        <v>0.01706161137440759</v>
      </c>
      <c r="G752">
        <v>-0.138721692696127</v>
      </c>
      <c r="H752">
        <v>0.06</v>
      </c>
      <c r="I752">
        <v>-0.06154469091857984</v>
      </c>
      <c r="J752" t="s">
        <v>778</v>
      </c>
      <c r="K752" t="s">
        <v>778</v>
      </c>
      <c r="L752">
        <v>0.66</v>
      </c>
      <c r="M752">
        <v>0.54</v>
      </c>
      <c r="N752">
        <v>0.8181818181818182</v>
      </c>
      <c r="O752">
        <v>7</v>
      </c>
      <c r="P752">
        <v>0.03131030647754507</v>
      </c>
      <c r="Q752">
        <v>1.273184325442426</v>
      </c>
      <c r="R752" t="s">
        <v>782</v>
      </c>
      <c r="S752" t="s">
        <v>794</v>
      </c>
      <c r="T752">
        <v>1082.746911</v>
      </c>
      <c r="U752" s="2">
        <v>44527</v>
      </c>
      <c r="V752" t="s">
        <v>801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9.08</v>
      </c>
      <c r="D753">
        <v>2.7</v>
      </c>
      <c r="E753">
        <v>3.362962962962963</v>
      </c>
      <c r="F753">
        <v>0.02312775330396476</v>
      </c>
      <c r="G753">
        <v>-0.2153868489847114</v>
      </c>
      <c r="H753">
        <v>0.13</v>
      </c>
      <c r="I753">
        <v>-0.06408520415569863</v>
      </c>
      <c r="J753" t="s">
        <v>778</v>
      </c>
      <c r="K753" t="s">
        <v>778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1.815591181121895</v>
      </c>
      <c r="R753" t="s">
        <v>780</v>
      </c>
      <c r="S753" t="s">
        <v>793</v>
      </c>
      <c r="T753">
        <v>423.207868</v>
      </c>
      <c r="U753" s="2">
        <v>44519</v>
      </c>
      <c r="V753" t="s">
        <v>803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29.42</v>
      </c>
      <c r="D754">
        <v>11</v>
      </c>
      <c r="E754">
        <v>2.674545454545455</v>
      </c>
      <c r="F754">
        <v>0.05642420122365737</v>
      </c>
      <c r="G754">
        <v>-0.1786088801199702</v>
      </c>
      <c r="H754">
        <v>0.02</v>
      </c>
      <c r="I754">
        <v>-0.09825150434899887</v>
      </c>
      <c r="J754" t="s">
        <v>778</v>
      </c>
      <c r="K754" t="s">
        <v>345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0.1633424544865</v>
      </c>
      <c r="R754" t="s">
        <v>780</v>
      </c>
      <c r="S754" t="s">
        <v>792</v>
      </c>
      <c r="T754">
        <v>22641.803372</v>
      </c>
      <c r="U754" s="2">
        <v>44506</v>
      </c>
      <c r="V754" t="s">
        <v>796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32.08</v>
      </c>
      <c r="D755">
        <v>39</v>
      </c>
      <c r="E755">
        <v>0.8225641025641025</v>
      </c>
      <c r="F755">
        <v>0</v>
      </c>
      <c r="G755">
        <v>0.0398388743346747</v>
      </c>
      <c r="H755">
        <v>0.03</v>
      </c>
      <c r="I755">
        <v>0.09023235812384511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0.272102180576649</v>
      </c>
      <c r="R755" t="s">
        <v>780</v>
      </c>
      <c r="S755" t="s">
        <v>793</v>
      </c>
      <c r="T755">
        <v>5212.879219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493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701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353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655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676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648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634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581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733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553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741</v>
      </c>
      <c r="B341">
        <v>43853</v>
      </c>
    </row>
    <row r="342" spans="1:2">
      <c r="A342" s="1" t="s">
        <v>709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354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705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704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716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707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643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680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720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719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350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691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636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684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554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562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677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633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671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678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751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753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750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758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730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700</v>
      </c>
      <c r="B744">
        <v>43833</v>
      </c>
    </row>
    <row r="745" spans="1:2">
      <c r="A745" s="1" t="s">
        <v>747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697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394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363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404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238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695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746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693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683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357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500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737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711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765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348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328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508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654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433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639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339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721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577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631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549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718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498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567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592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377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265</v>
      </c>
      <c r="B1556">
        <v>43864</v>
      </c>
    </row>
    <row r="1557" spans="1:2">
      <c r="A1557" s="1" t="s">
        <v>342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359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624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431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572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740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644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540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559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738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561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519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384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505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722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379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252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507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574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761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523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692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732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576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769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665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555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696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204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381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495</v>
      </c>
      <c r="B2124" t="s">
        <v>779</v>
      </c>
    </row>
    <row r="2125" spans="1:2">
      <c r="A2125" s="1" t="s">
        <v>596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669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607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588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423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391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383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772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436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236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710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609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580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743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686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731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532</v>
      </c>
      <c r="B2359">
        <v>43809</v>
      </c>
    </row>
    <row r="2360" spans="1:2">
      <c r="A2360" s="1" t="s">
        <v>198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225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599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762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261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217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715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190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547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227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401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754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714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681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47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706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398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515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413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593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659</v>
      </c>
      <c r="B2602">
        <v>43798</v>
      </c>
    </row>
    <row r="2603" spans="1:2">
      <c r="A2603" s="1" t="s">
        <v>365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257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734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638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546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726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399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511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373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666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247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222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702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376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251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48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570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675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38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424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703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37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121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212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386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258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331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276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617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438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652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698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263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410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371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514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573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402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188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611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84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509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416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548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213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312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575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55</v>
      </c>
      <c r="B3280">
        <v>43831</v>
      </c>
    </row>
    <row r="3281" spans="1:2">
      <c r="A3281" s="1" t="s">
        <v>388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414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550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578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210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335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285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566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295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291</v>
      </c>
      <c r="B3374">
        <v>43763</v>
      </c>
    </row>
    <row r="3375" spans="1:2">
      <c r="A3375" s="1" t="s">
        <v>111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63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114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215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418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232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606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202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277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69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224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628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736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54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656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279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421</v>
      </c>
      <c r="B3529">
        <v>43801</v>
      </c>
    </row>
    <row r="3530" spans="1:2">
      <c r="A3530" s="1" t="s">
        <v>62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351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544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712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66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345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67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233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603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231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226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241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125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266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245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346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393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764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560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327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27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727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752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56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124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612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283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187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427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99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35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522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75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369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303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243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220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689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52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304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286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77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107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673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80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302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465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374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412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129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82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110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256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439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230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60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74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293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94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568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446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604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268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57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250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39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218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153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98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40</v>
      </c>
      <c r="B4809">
        <v>43816</v>
      </c>
    </row>
    <row r="4810" spans="1:2">
      <c r="A4810" s="1" t="s">
        <v>594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150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525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387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432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184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288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464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113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41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565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415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134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149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115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343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118</v>
      </c>
      <c r="B5207">
        <v>43871</v>
      </c>
    </row>
    <row r="5208" spans="1:2">
      <c r="A5208" s="1" t="s">
        <v>723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337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152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613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221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208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397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366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260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64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36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49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85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155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146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463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142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360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583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672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126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409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729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122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44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370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192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380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422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590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400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411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108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539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460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228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541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340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552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2021-12-25T07:12:54Z</dcterms:created>
  <dcterms:modified xsi:type="dcterms:W3CDTF">2021-12-25T07:12:54Z</dcterms:modified>
</cp:coreProperties>
</file>