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<sst xmlns="http://schemas.openxmlformats.org/spreadsheetml/2006/main" count="20825" uniqueCount="10144">
  <si>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</si>
  <si>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</si>
  <si>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</si>
  <si>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</si>
  <si>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</si>
  <si>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</si>
  <si>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</si>
  <si>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</si>
  <si>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</si>
  <si>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</si>
  <si>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</si>
  <si>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</si>
  <si>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</si>
  <si>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</si>
  <si>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</si>
  <si>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</si>
  <si>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</si>
  <si>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</si>
  <si>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</si>
  <si>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</si>
  <si>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</si>
  <si>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</si>
  <si>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</si>
  <si>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</si>
  <si>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</si>
  <si>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</si>
  <si>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PII</t>
  </si>
  <si>
    <t>DCI</t>
  </si>
  <si>
    <t>FDX</t>
  </si>
  <si>
    <t>BBY</t>
  </si>
  <si>
    <t>UNM</t>
  </si>
  <si>
    <t>RGLD</t>
  </si>
  <si>
    <t>SLGN</t>
  </si>
  <si>
    <t>SYK</t>
  </si>
  <si>
    <t>WBA</t>
  </si>
  <si>
    <t>ADM</t>
  </si>
  <si>
    <t>JW.A</t>
  </si>
  <si>
    <t>FMS</t>
  </si>
  <si>
    <t>BANF</t>
  </si>
  <si>
    <t>LEG</t>
  </si>
  <si>
    <t>NOC</t>
  </si>
  <si>
    <t>CAH</t>
  </si>
  <si>
    <t>PH</t>
  </si>
  <si>
    <t>TNC</t>
  </si>
  <si>
    <t>INTU</t>
  </si>
  <si>
    <t>LHX</t>
  </si>
  <si>
    <t>ATO</t>
  </si>
  <si>
    <t>WSM</t>
  </si>
  <si>
    <t>EFSI</t>
  </si>
  <si>
    <t>MDU</t>
  </si>
  <si>
    <t>BDX</t>
  </si>
  <si>
    <t>SKM</t>
  </si>
  <si>
    <t>UGI</t>
  </si>
  <si>
    <t>CINF</t>
  </si>
  <si>
    <t>MCK</t>
  </si>
  <si>
    <t>MATW</t>
  </si>
  <si>
    <t>MMM</t>
  </si>
  <si>
    <t>SWK</t>
  </si>
  <si>
    <t>MET</t>
  </si>
  <si>
    <t>CTBI</t>
  </si>
  <si>
    <t>NIDB</t>
  </si>
  <si>
    <t>SYY</t>
  </si>
  <si>
    <t>BRC</t>
  </si>
  <si>
    <t>EBTC</t>
  </si>
  <si>
    <t>WMT</t>
  </si>
  <si>
    <t>CP</t>
  </si>
  <si>
    <t>SEIC</t>
  </si>
  <si>
    <t>BKH</t>
  </si>
  <si>
    <t>ABC</t>
  </si>
  <si>
    <t>V</t>
  </si>
  <si>
    <t>JNJ</t>
  </si>
  <si>
    <t>AFL</t>
  </si>
  <si>
    <t>ROP</t>
  </si>
  <si>
    <t>EMR</t>
  </si>
  <si>
    <t>FMCB</t>
  </si>
  <si>
    <t>AIZ</t>
  </si>
  <si>
    <t>MDT</t>
  </si>
  <si>
    <t>ANTM</t>
  </si>
  <si>
    <t>TGT</t>
  </si>
  <si>
    <t>CPKF</t>
  </si>
  <si>
    <t>TMO</t>
  </si>
  <si>
    <t>SON</t>
  </si>
  <si>
    <t>KO</t>
  </si>
  <si>
    <t>QCOM</t>
  </si>
  <si>
    <t>ABBV</t>
  </si>
  <si>
    <t>BEN</t>
  </si>
  <si>
    <t>ADP</t>
  </si>
  <si>
    <t>NFG</t>
  </si>
  <si>
    <t>NWN</t>
  </si>
  <si>
    <t>WHR</t>
  </si>
  <si>
    <t>VFC</t>
  </si>
  <si>
    <t>LOW</t>
  </si>
  <si>
    <t>RNR</t>
  </si>
  <si>
    <t>AMP</t>
  </si>
  <si>
    <t>DG</t>
  </si>
  <si>
    <t>LANC</t>
  </si>
  <si>
    <t>CBSH</t>
  </si>
  <si>
    <t>TRV</t>
  </si>
  <si>
    <t>EXPD</t>
  </si>
  <si>
    <t>PNR</t>
  </si>
  <si>
    <t>LECO</t>
  </si>
  <si>
    <t>TSN</t>
  </si>
  <si>
    <t>GD</t>
  </si>
  <si>
    <t>TXT</t>
  </si>
  <si>
    <t>PSBQ</t>
  </si>
  <si>
    <t>GPC</t>
  </si>
  <si>
    <t>FFMR</t>
  </si>
  <si>
    <t>CL</t>
  </si>
  <si>
    <t>SCL</t>
  </si>
  <si>
    <t>CAT</t>
  </si>
  <si>
    <t>AROW</t>
  </si>
  <si>
    <t>KR</t>
  </si>
  <si>
    <t>CSX</t>
  </si>
  <si>
    <t>AXP</t>
  </si>
  <si>
    <t>PPG</t>
  </si>
  <si>
    <t>JKHY</t>
  </si>
  <si>
    <t>HRL</t>
  </si>
  <si>
    <t>SBSI</t>
  </si>
  <si>
    <t>AMAT</t>
  </si>
  <si>
    <t>MKC</t>
  </si>
  <si>
    <t>TROW</t>
  </si>
  <si>
    <t>COST</t>
  </si>
  <si>
    <t>RE</t>
  </si>
  <si>
    <t>DOV</t>
  </si>
  <si>
    <t>BRO</t>
  </si>
  <si>
    <t>ORCL</t>
  </si>
  <si>
    <t>OZK</t>
  </si>
  <si>
    <t>SPGI</t>
  </si>
  <si>
    <t>THFF</t>
  </si>
  <si>
    <t>CSVI</t>
  </si>
  <si>
    <t>MCO</t>
  </si>
  <si>
    <t>CSL</t>
  </si>
  <si>
    <t>FUL</t>
  </si>
  <si>
    <t>GRC</t>
  </si>
  <si>
    <t>UBSI</t>
  </si>
  <si>
    <t>SRCE</t>
  </si>
  <si>
    <t>MCD</t>
  </si>
  <si>
    <t>CB</t>
  </si>
  <si>
    <t>NKE</t>
  </si>
  <si>
    <t>CHD</t>
  </si>
  <si>
    <t>FELE</t>
  </si>
  <si>
    <t>ITW</t>
  </si>
  <si>
    <t>PG</t>
  </si>
  <si>
    <t>RPM</t>
  </si>
  <si>
    <t>SJW</t>
  </si>
  <si>
    <t>ABT</t>
  </si>
  <si>
    <t>ATR</t>
  </si>
  <si>
    <t>MSFT</t>
  </si>
  <si>
    <t>GWW</t>
  </si>
  <si>
    <t>AOS</t>
  </si>
  <si>
    <t>EBAY</t>
  </si>
  <si>
    <t>LIN</t>
  </si>
  <si>
    <t>TSCO</t>
  </si>
  <si>
    <t>MGEE</t>
  </si>
  <si>
    <t>MSA</t>
  </si>
  <si>
    <t>TMP</t>
  </si>
  <si>
    <t>AAPL</t>
  </si>
  <si>
    <t>ECL</t>
  </si>
  <si>
    <t>UNF</t>
  </si>
  <si>
    <t>NDSN</t>
  </si>
  <si>
    <t>TR</t>
  </si>
  <si>
    <t>BF.B</t>
  </si>
  <si>
    <t>CTAS</t>
  </si>
  <si>
    <t>SHW</t>
  </si>
  <si>
    <t>CWT</t>
  </si>
  <si>
    <t>BAM</t>
  </si>
  <si>
    <t>MORN</t>
  </si>
  <si>
    <t>RLI</t>
  </si>
  <si>
    <t>WST</t>
  </si>
  <si>
    <t>AWR</t>
  </si>
  <si>
    <t>ALB</t>
  </si>
  <si>
    <t>NUE</t>
  </si>
  <si>
    <t>BMI</t>
  </si>
  <si>
    <t>MSEX</t>
  </si>
  <si>
    <t>CI</t>
  </si>
  <si>
    <t>LAD</t>
  </si>
  <si>
    <t>CMCSA</t>
  </si>
  <si>
    <t>T</t>
  </si>
  <si>
    <t>LAZ</t>
  </si>
  <si>
    <t>NC</t>
  </si>
  <si>
    <t>OGN</t>
  </si>
  <si>
    <t>VZ</t>
  </si>
  <si>
    <t>PNGAY</t>
  </si>
  <si>
    <t>SAP</t>
  </si>
  <si>
    <t>ENB</t>
  </si>
  <si>
    <t>AMGN</t>
  </si>
  <si>
    <t>DDS</t>
  </si>
  <si>
    <t>EPD</t>
  </si>
  <si>
    <t>IPG</t>
  </si>
  <si>
    <t>INTC</t>
  </si>
  <si>
    <t>SUN</t>
  </si>
  <si>
    <t>TTE</t>
  </si>
  <si>
    <t>FNV</t>
  </si>
  <si>
    <t>MURGF</t>
  </si>
  <si>
    <t>SRE</t>
  </si>
  <si>
    <t>FLIC</t>
  </si>
  <si>
    <t>OMC</t>
  </si>
  <si>
    <t>WU</t>
  </si>
  <si>
    <t>MRK</t>
  </si>
  <si>
    <t>BMO</t>
  </si>
  <si>
    <t>NVS</t>
  </si>
  <si>
    <t>SWX</t>
  </si>
  <si>
    <t>HBI</t>
  </si>
  <si>
    <t>GEF</t>
  </si>
  <si>
    <t>BNS</t>
  </si>
  <si>
    <t>MO</t>
  </si>
  <si>
    <t>HRB</t>
  </si>
  <si>
    <t>LMT</t>
  </si>
  <si>
    <t>BLK</t>
  </si>
  <si>
    <t>BIP</t>
  </si>
  <si>
    <t>YUM</t>
  </si>
  <si>
    <t>RDEIY</t>
  </si>
  <si>
    <t>HII</t>
  </si>
  <si>
    <t>SLF</t>
  </si>
  <si>
    <t>IMO</t>
  </si>
  <si>
    <t>CIO</t>
  </si>
  <si>
    <t>KDP</t>
  </si>
  <si>
    <t>TDS</t>
  </si>
  <si>
    <t>FOXA</t>
  </si>
  <si>
    <t>CMI</t>
  </si>
  <si>
    <t>NTIOF</t>
  </si>
  <si>
    <t>EVRG</t>
  </si>
  <si>
    <t>NJR</t>
  </si>
  <si>
    <t>BR</t>
  </si>
  <si>
    <t>CDUAF</t>
  </si>
  <si>
    <t>GILD</t>
  </si>
  <si>
    <t>RY</t>
  </si>
  <si>
    <t>CM</t>
  </si>
  <si>
    <t>PB</t>
  </si>
  <si>
    <t>MSM</t>
  </si>
  <si>
    <t>FTS</t>
  </si>
  <si>
    <t>TTC</t>
  </si>
  <si>
    <t>ORI</t>
  </si>
  <si>
    <t>BAH</t>
  </si>
  <si>
    <t>SNA</t>
  </si>
  <si>
    <t>PBCT</t>
  </si>
  <si>
    <t>POR</t>
  </si>
  <si>
    <t>CHRW</t>
  </si>
  <si>
    <t>TD</t>
  </si>
  <si>
    <t>RBGLY</t>
  </si>
  <si>
    <t>RBA</t>
  </si>
  <si>
    <t>TXN</t>
  </si>
  <si>
    <t>HD</t>
  </si>
  <si>
    <t>MDLZ</t>
  </si>
  <si>
    <t>EMN</t>
  </si>
  <si>
    <t>UHT</t>
  </si>
  <si>
    <t>XOM</t>
  </si>
  <si>
    <t>IBM</t>
  </si>
  <si>
    <t>AXS</t>
  </si>
  <si>
    <t>UNH</t>
  </si>
  <si>
    <t>FLO</t>
  </si>
  <si>
    <t>EQIX</t>
  </si>
  <si>
    <t>RELX</t>
  </si>
  <si>
    <t>YORW</t>
  </si>
  <si>
    <t>EIX</t>
  </si>
  <si>
    <t>LNT</t>
  </si>
  <si>
    <t>SBUX</t>
  </si>
  <si>
    <t>ARTNA</t>
  </si>
  <si>
    <t>UVV</t>
  </si>
  <si>
    <t>UPS</t>
  </si>
  <si>
    <t>K</t>
  </si>
  <si>
    <t>CVX</t>
  </si>
  <si>
    <t>ICE</t>
  </si>
  <si>
    <t>DPZ</t>
  </si>
  <si>
    <t>WEYS</t>
  </si>
  <si>
    <t>CSCO</t>
  </si>
  <si>
    <t>RTX</t>
  </si>
  <si>
    <t>SIEGY</t>
  </si>
  <si>
    <t>WABC</t>
  </si>
  <si>
    <t>DTE</t>
  </si>
  <si>
    <t>SPTN</t>
  </si>
  <si>
    <t>DE</t>
  </si>
  <si>
    <t>KMB</t>
  </si>
  <si>
    <t>AMX</t>
  </si>
  <si>
    <t>PRGO</t>
  </si>
  <si>
    <t>CONE</t>
  </si>
  <si>
    <t>CVS</t>
  </si>
  <si>
    <t>NEP</t>
  </si>
  <si>
    <t>RSG</t>
  </si>
  <si>
    <t>OTTR</t>
  </si>
  <si>
    <t>MTB</t>
  </si>
  <si>
    <t>CTSH</t>
  </si>
  <si>
    <t>AAP</t>
  </si>
  <si>
    <t>SJM</t>
  </si>
  <si>
    <t>ETR</t>
  </si>
  <si>
    <t>LRLCF</t>
  </si>
  <si>
    <t>MGRC</t>
  </si>
  <si>
    <t>PEG</t>
  </si>
  <si>
    <t>HON</t>
  </si>
  <si>
    <t>SBAC</t>
  </si>
  <si>
    <t>ED</t>
  </si>
  <si>
    <t>NSC</t>
  </si>
  <si>
    <t>AMT</t>
  </si>
  <si>
    <t>AJG</t>
  </si>
  <si>
    <t>INGR</t>
  </si>
  <si>
    <t>CLX</t>
  </si>
  <si>
    <t>MWA</t>
  </si>
  <si>
    <t>RMD</t>
  </si>
  <si>
    <t>PEP</t>
  </si>
  <si>
    <t>XEL</t>
  </si>
  <si>
    <t>RHHBY</t>
  </si>
  <si>
    <t>IFF</t>
  </si>
  <si>
    <t>AUY</t>
  </si>
  <si>
    <t>UNP</t>
  </si>
  <si>
    <t>CARR</t>
  </si>
  <si>
    <t>HSY</t>
  </si>
  <si>
    <t>AWK</t>
  </si>
  <si>
    <t>NEE</t>
  </si>
  <si>
    <t>APD</t>
  </si>
  <si>
    <t>ERIE</t>
  </si>
  <si>
    <t>CNI</t>
  </si>
  <si>
    <t>FRT</t>
  </si>
  <si>
    <t>WTRG</t>
  </si>
  <si>
    <t>NVO</t>
  </si>
  <si>
    <t>UMBF</t>
  </si>
  <si>
    <t>ROK</t>
  </si>
  <si>
    <t>ESS</t>
  </si>
  <si>
    <t>OTIS</t>
  </si>
  <si>
    <t>CFR</t>
  </si>
  <si>
    <t>TT</t>
  </si>
  <si>
    <t>WM</t>
  </si>
  <si>
    <t>CBU</t>
  </si>
  <si>
    <t>XYL</t>
  </si>
  <si>
    <t>ZTS</t>
  </si>
  <si>
    <t>LLY</t>
  </si>
  <si>
    <t>HMLP</t>
  </si>
  <si>
    <t>MFGP</t>
  </si>
  <si>
    <t>JACK</t>
  </si>
  <si>
    <t>DKS</t>
  </si>
  <si>
    <t>VTRS</t>
  </si>
  <si>
    <t>TRTN</t>
  </si>
  <si>
    <t>MMP</t>
  </si>
  <si>
    <t>FL</t>
  </si>
  <si>
    <t>MDC</t>
  </si>
  <si>
    <t>THO</t>
  </si>
  <si>
    <t>LYB</t>
  </si>
  <si>
    <t>ALLY</t>
  </si>
  <si>
    <t>SVC</t>
  </si>
  <si>
    <t>RLJ</t>
  </si>
  <si>
    <t>TFC</t>
  </si>
  <si>
    <t>MCHP</t>
  </si>
  <si>
    <t>DHI</t>
  </si>
  <si>
    <t>TYCB</t>
  </si>
  <si>
    <t>BTI</t>
  </si>
  <si>
    <t>FNF</t>
  </si>
  <si>
    <t>SNY</t>
  </si>
  <si>
    <t>M</t>
  </si>
  <si>
    <t>GWLIF</t>
  </si>
  <si>
    <t>TX</t>
  </si>
  <si>
    <t>PNW</t>
  </si>
  <si>
    <t>AEG</t>
  </si>
  <si>
    <t>LNC</t>
  </si>
  <si>
    <t>C</t>
  </si>
  <si>
    <t>ALL</t>
  </si>
  <si>
    <t>GLOP</t>
  </si>
  <si>
    <t>SMG</t>
  </si>
  <si>
    <t>DDAIF</t>
  </si>
  <si>
    <t>DFS</t>
  </si>
  <si>
    <t>SYF</t>
  </si>
  <si>
    <t>EQNR</t>
  </si>
  <si>
    <t>MPLX</t>
  </si>
  <si>
    <t>BASFY</t>
  </si>
  <si>
    <t>GPS</t>
  </si>
  <si>
    <t>IVZ</t>
  </si>
  <si>
    <t>JBL</t>
  </si>
  <si>
    <t>NHI</t>
  </si>
  <si>
    <t>ROST</t>
  </si>
  <si>
    <t>SJI</t>
  </si>
  <si>
    <t>PHM</t>
  </si>
  <si>
    <t>UL</t>
  </si>
  <si>
    <t>STN</t>
  </si>
  <si>
    <t>OGS</t>
  </si>
  <si>
    <t>HPQ</t>
  </si>
  <si>
    <t>SR</t>
  </si>
  <si>
    <t>HPE</t>
  </si>
  <si>
    <t>PDCO</t>
  </si>
  <si>
    <t>RCI</t>
  </si>
  <si>
    <t>CC</t>
  </si>
  <si>
    <t>OGE</t>
  </si>
  <si>
    <t>KSS</t>
  </si>
  <si>
    <t>MKTX</t>
  </si>
  <si>
    <t>LRCX</t>
  </si>
  <si>
    <t>VIAC</t>
  </si>
  <si>
    <t>FAF</t>
  </si>
  <si>
    <t>CE</t>
  </si>
  <si>
    <t>PRU</t>
  </si>
  <si>
    <t>PM</t>
  </si>
  <si>
    <t>DGX</t>
  </si>
  <si>
    <t>OKE</t>
  </si>
  <si>
    <t>PFG</t>
  </si>
  <si>
    <t>PGR</t>
  </si>
  <si>
    <t>ALE</t>
  </si>
  <si>
    <t>APLE</t>
  </si>
  <si>
    <t>NLSN</t>
  </si>
  <si>
    <t>MGA</t>
  </si>
  <si>
    <t>HUN</t>
  </si>
  <si>
    <t>NAVI</t>
  </si>
  <si>
    <t>R</t>
  </si>
  <si>
    <t>COLD</t>
  </si>
  <si>
    <t>SAXPY</t>
  </si>
  <si>
    <t>WRK</t>
  </si>
  <si>
    <t>ASML</t>
  </si>
  <si>
    <t>O</t>
  </si>
  <si>
    <t>KLAC</t>
  </si>
  <si>
    <t>GE</t>
  </si>
  <si>
    <t>BMWYY</t>
  </si>
  <si>
    <t>CFG</t>
  </si>
  <si>
    <t>CPB</t>
  </si>
  <si>
    <t>ESRT</t>
  </si>
  <si>
    <t>AEP</t>
  </si>
  <si>
    <t>WFC</t>
  </si>
  <si>
    <t>BK</t>
  </si>
  <si>
    <t>JPM</t>
  </si>
  <si>
    <t>AON</t>
  </si>
  <si>
    <t>HAL</t>
  </si>
  <si>
    <t>KEY</t>
  </si>
  <si>
    <t>CUBE</t>
  </si>
  <si>
    <t>MA</t>
  </si>
  <si>
    <t>GOLD</t>
  </si>
  <si>
    <t>PKX</t>
  </si>
  <si>
    <t>PFE</t>
  </si>
  <si>
    <t>BWA</t>
  </si>
  <si>
    <t>PNC</t>
  </si>
  <si>
    <t>COP</t>
  </si>
  <si>
    <t>PSB</t>
  </si>
  <si>
    <t>AGM</t>
  </si>
  <si>
    <t>SO</t>
  </si>
  <si>
    <t>USB</t>
  </si>
  <si>
    <t>BUD</t>
  </si>
  <si>
    <t>GIS</t>
  </si>
  <si>
    <t>WY</t>
  </si>
  <si>
    <t>HOG</t>
  </si>
  <si>
    <t>WPC</t>
  </si>
  <si>
    <t>GNTX</t>
  </si>
  <si>
    <t>BAC</t>
  </si>
  <si>
    <t>WEC</t>
  </si>
  <si>
    <t>NNN</t>
  </si>
  <si>
    <t>MMC</t>
  </si>
  <si>
    <t>PACW</t>
  </si>
  <si>
    <t>DUK</t>
  </si>
  <si>
    <t>OSK</t>
  </si>
  <si>
    <t>GS</t>
  </si>
  <si>
    <t>FITB</t>
  </si>
  <si>
    <t>EAF</t>
  </si>
  <si>
    <t>CMA</t>
  </si>
  <si>
    <t>STZ</t>
  </si>
  <si>
    <t>PAYX</t>
  </si>
  <si>
    <t>KLIC</t>
  </si>
  <si>
    <t>LOGI</t>
  </si>
  <si>
    <t>OXY</t>
  </si>
  <si>
    <t>OLN</t>
  </si>
  <si>
    <t>DLR</t>
  </si>
  <si>
    <t>DEO</t>
  </si>
  <si>
    <t>NSRGY</t>
  </si>
  <si>
    <t>ABB</t>
  </si>
  <si>
    <t>PSA</t>
  </si>
  <si>
    <t>AVB</t>
  </si>
  <si>
    <t>APA</t>
  </si>
  <si>
    <t>FCX</t>
  </si>
  <si>
    <t>HNI</t>
  </si>
  <si>
    <t>FAST</t>
  </si>
  <si>
    <t>STLD</t>
  </si>
  <si>
    <t>MRVL</t>
  </si>
  <si>
    <t>KKR</t>
  </si>
  <si>
    <t>MT</t>
  </si>
  <si>
    <t>RACE</t>
  </si>
  <si>
    <t>CF</t>
  </si>
  <si>
    <t>INFY</t>
  </si>
  <si>
    <t>TER</t>
  </si>
  <si>
    <t>DHC</t>
  </si>
  <si>
    <t>TRI</t>
  </si>
  <si>
    <t>SONY</t>
  </si>
  <si>
    <t>NVDA</t>
  </si>
  <si>
    <t>VMC</t>
  </si>
  <si>
    <t>ERF</t>
  </si>
  <si>
    <t>KSU</t>
  </si>
  <si>
    <t>SHLX</t>
  </si>
  <si>
    <t>SPH</t>
  </si>
  <si>
    <t>HEP</t>
  </si>
  <si>
    <t>PAA</t>
  </si>
  <si>
    <t>PBR</t>
  </si>
  <si>
    <t>SNP</t>
  </si>
  <si>
    <t>PHG</t>
  </si>
  <si>
    <t>EOG</t>
  </si>
  <si>
    <t>GORO</t>
  </si>
  <si>
    <t>AVAL</t>
  </si>
  <si>
    <t>TPR</t>
  </si>
  <si>
    <t>ERIC</t>
  </si>
  <si>
    <t>ARLP</t>
  </si>
  <si>
    <t>LUMN</t>
  </si>
  <si>
    <t>KRC</t>
  </si>
  <si>
    <t>PSX</t>
  </si>
  <si>
    <t>ET</t>
  </si>
  <si>
    <t>UNIT</t>
  </si>
  <si>
    <t>SLG</t>
  </si>
  <si>
    <t>OPI</t>
  </si>
  <si>
    <t>BAYRY</t>
  </si>
  <si>
    <t>NYCB</t>
  </si>
  <si>
    <t>AZN</t>
  </si>
  <si>
    <t>MFC</t>
  </si>
  <si>
    <t>PTR</t>
  </si>
  <si>
    <t>TS</t>
  </si>
  <si>
    <t>MS</t>
  </si>
  <si>
    <t>SMFG</t>
  </si>
  <si>
    <t>DOW</t>
  </si>
  <si>
    <t>TAP</t>
  </si>
  <si>
    <t>NTR</t>
  </si>
  <si>
    <t>TGP</t>
  </si>
  <si>
    <t>HSBC</t>
  </si>
  <si>
    <t>HAS</t>
  </si>
  <si>
    <t>PGRE</t>
  </si>
  <si>
    <t>BP</t>
  </si>
  <si>
    <t>WSBC</t>
  </si>
  <si>
    <t>DRI</t>
  </si>
  <si>
    <t>TRST</t>
  </si>
  <si>
    <t>RDS.B</t>
  </si>
  <si>
    <t>WEN</t>
  </si>
  <si>
    <t>IMBBY</t>
  </si>
  <si>
    <t>SAFE</t>
  </si>
  <si>
    <t>MED</t>
  </si>
  <si>
    <t>RF</t>
  </si>
  <si>
    <t>PETS</t>
  </si>
  <si>
    <t>ITUB</t>
  </si>
  <si>
    <t>HASI</t>
  </si>
  <si>
    <t>DD</t>
  </si>
  <si>
    <t>BDN</t>
  </si>
  <si>
    <t>WMB</t>
  </si>
  <si>
    <t>SPG</t>
  </si>
  <si>
    <t>KMI</t>
  </si>
  <si>
    <t>D</t>
  </si>
  <si>
    <t>WASH</t>
  </si>
  <si>
    <t>HIW</t>
  </si>
  <si>
    <t>SUUIF</t>
  </si>
  <si>
    <t>VALE</t>
  </si>
  <si>
    <t>AMCR</t>
  </si>
  <si>
    <t>IP</t>
  </si>
  <si>
    <t>PDM</t>
  </si>
  <si>
    <t>GEL</t>
  </si>
  <si>
    <t>REG</t>
  </si>
  <si>
    <t>RIO</t>
  </si>
  <si>
    <t>DTEGY</t>
  </si>
  <si>
    <t>AKR</t>
  </si>
  <si>
    <t>WSR</t>
  </si>
  <si>
    <t>DEI</t>
  </si>
  <si>
    <t>CAG</t>
  </si>
  <si>
    <t>CNA</t>
  </si>
  <si>
    <t>BHP</t>
  </si>
  <si>
    <t>ABEV</t>
  </si>
  <si>
    <t>OFC</t>
  </si>
  <si>
    <t>NXRT</t>
  </si>
  <si>
    <t>ING</t>
  </si>
  <si>
    <t>CUZ</t>
  </si>
  <si>
    <t>AGNC</t>
  </si>
  <si>
    <t>PCAR</t>
  </si>
  <si>
    <t>ADC</t>
  </si>
  <si>
    <t>KRG</t>
  </si>
  <si>
    <t>NWL</t>
  </si>
  <si>
    <t>FRFHF</t>
  </si>
  <si>
    <t>NSP</t>
  </si>
  <si>
    <t>FE</t>
  </si>
  <si>
    <t>EMRAF</t>
  </si>
  <si>
    <t>NGG</t>
  </si>
  <si>
    <t>INVH</t>
  </si>
  <si>
    <t>GRMN</t>
  </si>
  <si>
    <t>LMRK</t>
  </si>
  <si>
    <t>UE</t>
  </si>
  <si>
    <t>CNP</t>
  </si>
  <si>
    <t>MPW</t>
  </si>
  <si>
    <t>TJX</t>
  </si>
  <si>
    <t>NTAP</t>
  </si>
  <si>
    <t>HBAN</t>
  </si>
  <si>
    <t>SBS</t>
  </si>
  <si>
    <t>KHC</t>
  </si>
  <si>
    <t>ALV</t>
  </si>
  <si>
    <t>MCY</t>
  </si>
  <si>
    <t>GLW</t>
  </si>
  <si>
    <t>BBD</t>
  </si>
  <si>
    <t>RPT</t>
  </si>
  <si>
    <t>KTB</t>
  </si>
  <si>
    <t>DEA</t>
  </si>
  <si>
    <t>BXP</t>
  </si>
  <si>
    <t>WPP</t>
  </si>
  <si>
    <t>APO</t>
  </si>
  <si>
    <t>MPWR</t>
  </si>
  <si>
    <t>AES</t>
  </si>
  <si>
    <t>MAC</t>
  </si>
  <si>
    <t>SKT</t>
  </si>
  <si>
    <t>JNPR</t>
  </si>
  <si>
    <t>HMC</t>
  </si>
  <si>
    <t>TU</t>
  </si>
  <si>
    <t>DOC</t>
  </si>
  <si>
    <t>TSM</t>
  </si>
  <si>
    <t>PSO</t>
  </si>
  <si>
    <t>CAJ</t>
  </si>
  <si>
    <t>RGA</t>
  </si>
  <si>
    <t>CODI</t>
  </si>
  <si>
    <t>CCI</t>
  </si>
  <si>
    <t>STX</t>
  </si>
  <si>
    <t>AVGO</t>
  </si>
  <si>
    <t>CNQ</t>
  </si>
  <si>
    <t>UBS</t>
  </si>
  <si>
    <t>BRX</t>
  </si>
  <si>
    <t>SLB</t>
  </si>
  <si>
    <t>TM</t>
  </si>
  <si>
    <t>PLD</t>
  </si>
  <si>
    <t>ELS</t>
  </si>
  <si>
    <t>ARE</t>
  </si>
  <si>
    <t>EXPO</t>
  </si>
  <si>
    <t>TRGP</t>
  </si>
  <si>
    <t>OGZPY</t>
  </si>
  <si>
    <t>JCI</t>
  </si>
  <si>
    <t>TRSWF</t>
  </si>
  <si>
    <t>DRE</t>
  </si>
  <si>
    <t>CWEN</t>
  </si>
  <si>
    <t>COR</t>
  </si>
  <si>
    <t>EXC</t>
  </si>
  <si>
    <t>WPM</t>
  </si>
  <si>
    <t>FR</t>
  </si>
  <si>
    <t>AMH</t>
  </si>
  <si>
    <t>CME</t>
  </si>
  <si>
    <t>KIM</t>
  </si>
  <si>
    <t>CMP</t>
  </si>
  <si>
    <t>ETN</t>
  </si>
  <si>
    <t>MAA</t>
  </si>
  <si>
    <t>SCHL</t>
  </si>
  <si>
    <t>CPT</t>
  </si>
  <si>
    <t>ACN</t>
  </si>
  <si>
    <t>IIPR</t>
  </si>
  <si>
    <t>ORAN</t>
  </si>
  <si>
    <t>OHI</t>
  </si>
  <si>
    <t>KNOP</t>
  </si>
  <si>
    <t>SCCO</t>
  </si>
  <si>
    <t>DHT</t>
  </si>
  <si>
    <t>PSXP</t>
  </si>
  <si>
    <t>IEP</t>
  </si>
  <si>
    <t>GECC</t>
  </si>
  <si>
    <t>APAM</t>
  </si>
  <si>
    <t>EIFZF</t>
  </si>
  <si>
    <t>CLPR</t>
  </si>
  <si>
    <t>SU</t>
  </si>
  <si>
    <t>CORR</t>
  </si>
  <si>
    <t>VICI</t>
  </si>
  <si>
    <t>TEF</t>
  </si>
  <si>
    <t>SBRA</t>
  </si>
  <si>
    <t>TWO</t>
  </si>
  <si>
    <t>USAC</t>
  </si>
  <si>
    <t>EFC</t>
  </si>
  <si>
    <t>EPR</t>
  </si>
  <si>
    <t>MGP</t>
  </si>
  <si>
    <t>PINE</t>
  </si>
  <si>
    <t>NEWT</t>
  </si>
  <si>
    <t>TRP</t>
  </si>
  <si>
    <t>SFL</t>
  </si>
  <si>
    <t>VGR</t>
  </si>
  <si>
    <t>CQP</t>
  </si>
  <si>
    <t>LTC</t>
  </si>
  <si>
    <t>ORC</t>
  </si>
  <si>
    <t>QSR</t>
  </si>
  <si>
    <t>NYMT</t>
  </si>
  <si>
    <t>CTO</t>
  </si>
  <si>
    <t>AAT</t>
  </si>
  <si>
    <t>EPRT</t>
  </si>
  <si>
    <t>AFIN</t>
  </si>
  <si>
    <t>CWCO</t>
  </si>
  <si>
    <t>CBRL</t>
  </si>
  <si>
    <t>ACRE</t>
  </si>
  <si>
    <t>ORCC</t>
  </si>
  <si>
    <t>CTRE</t>
  </si>
  <si>
    <t>GNL</t>
  </si>
  <si>
    <t>AQN</t>
  </si>
  <si>
    <t>SRC</t>
  </si>
  <si>
    <t>NTST</t>
  </si>
  <si>
    <t>VOD</t>
  </si>
  <si>
    <t>FCPT</t>
  </si>
  <si>
    <t>HR</t>
  </si>
  <si>
    <t>PMT</t>
  </si>
  <si>
    <t>KREF</t>
  </si>
  <si>
    <t>IDEXY</t>
  </si>
  <si>
    <t>GSBD</t>
  </si>
  <si>
    <t>SACH</t>
  </si>
  <si>
    <t>NLY</t>
  </si>
  <si>
    <t>VST</t>
  </si>
  <si>
    <t>NRZ</t>
  </si>
  <si>
    <t>MRCC</t>
  </si>
  <si>
    <t>ILPT</t>
  </si>
  <si>
    <t>WSO</t>
  </si>
  <si>
    <t>CSWC</t>
  </si>
  <si>
    <t>VNO</t>
  </si>
  <si>
    <t>E</t>
  </si>
  <si>
    <t>STWD</t>
  </si>
  <si>
    <t>EIC</t>
  </si>
  <si>
    <t>CHCT</t>
  </si>
  <si>
    <t>NMFC</t>
  </si>
  <si>
    <t>SSREY</t>
  </si>
  <si>
    <t>TSLX</t>
  </si>
  <si>
    <t>BEP</t>
  </si>
  <si>
    <t>UMH</t>
  </si>
  <si>
    <t>ARR</t>
  </si>
  <si>
    <t>CRT</t>
  </si>
  <si>
    <t>HRZN</t>
  </si>
  <si>
    <t>VTR</t>
  </si>
  <si>
    <t>GBDC</t>
  </si>
  <si>
    <t>PFLT</t>
  </si>
  <si>
    <t>BRMK</t>
  </si>
  <si>
    <t>VLO</t>
  </si>
  <si>
    <t>SUNS</t>
  </si>
  <si>
    <t>AM</t>
  </si>
  <si>
    <t>TPVG</t>
  </si>
  <si>
    <t>LWSCF</t>
  </si>
  <si>
    <t>FDUS</t>
  </si>
  <si>
    <t>EXR</t>
  </si>
  <si>
    <t>BX</t>
  </si>
  <si>
    <t>ARI</t>
  </si>
  <si>
    <t>GLPI</t>
  </si>
  <si>
    <t>VIA</t>
  </si>
  <si>
    <t>BFS</t>
  </si>
  <si>
    <t>DX</t>
  </si>
  <si>
    <t>MAIN</t>
  </si>
  <si>
    <t>ARCC</t>
  </si>
  <si>
    <t>CIM</t>
  </si>
  <si>
    <t>GMRE</t>
  </si>
  <si>
    <t>STOR</t>
  </si>
  <si>
    <t>SCM</t>
  </si>
  <si>
    <t>DANOY</t>
  </si>
  <si>
    <t>GSK</t>
  </si>
  <si>
    <t>SJT</t>
  </si>
  <si>
    <t>GWRS</t>
  </si>
  <si>
    <t>XRX</t>
  </si>
  <si>
    <t>PBA</t>
  </si>
  <si>
    <t>NEM</t>
  </si>
  <si>
    <t>OXSQ</t>
  </si>
  <si>
    <t>NSA</t>
  </si>
  <si>
    <t>HTGC</t>
  </si>
  <si>
    <t>HTA</t>
  </si>
  <si>
    <t>BGS</t>
  </si>
  <si>
    <t>PRT</t>
  </si>
  <si>
    <t>APTS</t>
  </si>
  <si>
    <t>MNR</t>
  </si>
  <si>
    <t>GOOD</t>
  </si>
  <si>
    <t>SBR</t>
  </si>
  <si>
    <t>BXMT</t>
  </si>
  <si>
    <t>BCE</t>
  </si>
  <si>
    <t>PSEC</t>
  </si>
  <si>
    <t>LADR</t>
  </si>
  <si>
    <t>IRT</t>
  </si>
  <si>
    <t>UBP</t>
  </si>
  <si>
    <t>ACC</t>
  </si>
  <si>
    <t>BKR</t>
  </si>
  <si>
    <t>SJR</t>
  </si>
  <si>
    <t>EVA</t>
  </si>
  <si>
    <t>OLP</t>
  </si>
  <si>
    <t>ABR</t>
  </si>
  <si>
    <t>EQR</t>
  </si>
  <si>
    <t>PLYM</t>
  </si>
  <si>
    <t>LSI</t>
  </si>
  <si>
    <t>DREUF</t>
  </si>
  <si>
    <t>PEAK</t>
  </si>
  <si>
    <t>GAIN</t>
  </si>
  <si>
    <t>EGP</t>
  </si>
  <si>
    <t>IRM</t>
  </si>
  <si>
    <t>GLAD</t>
  </si>
  <si>
    <t>HP</t>
  </si>
  <si>
    <t>UBA</t>
  </si>
  <si>
    <t>STAG</t>
  </si>
  <si>
    <t>UDR</t>
  </si>
  <si>
    <t>LXP</t>
  </si>
  <si>
    <t>MPC</t>
  </si>
  <si>
    <t>PPRQF</t>
  </si>
  <si>
    <t>GROW</t>
  </si>
  <si>
    <t>DRETF</t>
  </si>
  <si>
    <t>AB</t>
  </si>
  <si>
    <t>WELL</t>
  </si>
  <si>
    <t>LAMR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</si>
  <si>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</si>
  <si>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</si>
  <si>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</si>
  <si>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</si>
  <si>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</si>
  <si>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</si>
  <si>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</si>
  <si>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</si>
  <si>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</si>
  <si>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</si>
  <si>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</si>
  <si>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</si>
  <si>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</si>
  <si>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</si>
  <si>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</si>
  <si>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</si>
  <si>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</si>
  <si>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</si>
  <si>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</si>
  <si>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</si>
  <si>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</si>
  <si>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</si>
  <si>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</si>
  <si>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</si>
  <si>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</si>
  <si>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</si>
  <si>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</si>
  <si>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</si>
  <si>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</si>
  <si>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</si>
  <si>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Eli Inkrot</t>
  </si>
  <si>
    <t>Josh Arnold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</si>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</sst>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56.79</v>
      </c>
      <c r="D2">
        <v>70</v>
      </c>
      <c r="E2">
        <v>0.8112857142857143</v>
      </c>
      <c r="F2">
        <v>0.004754358161648178</v>
      </c>
      <c r="G2">
        <v>0.04271407114229064</v>
      </c>
      <c r="H2">
        <v>0.15</v>
      </c>
      <c r="I2">
        <v>0.2032332566419655</v>
      </c>
      <c r="J2" t="s">
        <v>780</v>
      </c>
      <c r="K2" t="s">
        <v>352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-0.211706783369803</v>
      </c>
      <c r="R2" t="s">
        <v>784</v>
      </c>
      <c r="S2" t="s">
        <v>788</v>
      </c>
      <c r="T2">
        <v>553563.256393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62.17</v>
      </c>
      <c r="D3">
        <v>101</v>
      </c>
      <c r="E3">
        <v>0.6155445544554455</v>
      </c>
      <c r="F3">
        <v>0.03474344539166801</v>
      </c>
      <c r="G3">
        <v>0.1019150159144422</v>
      </c>
      <c r="H3">
        <v>0.03</v>
      </c>
      <c r="I3">
        <v>0.1569791169867034</v>
      </c>
      <c r="J3" t="s">
        <v>780</v>
      </c>
      <c r="K3" t="s">
        <v>780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-0.0006348054774640001</v>
      </c>
      <c r="R3" t="s">
        <v>784</v>
      </c>
      <c r="S3" t="s">
        <v>789</v>
      </c>
      <c r="T3">
        <v>134532.67951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146.39</v>
      </c>
      <c r="D4">
        <v>174</v>
      </c>
      <c r="E4">
        <v>0.8413218390804597</v>
      </c>
      <c r="F4">
        <v>0.01530159163877314</v>
      </c>
      <c r="G4">
        <v>0.03516020399344688</v>
      </c>
      <c r="H4">
        <v>0.1</v>
      </c>
      <c r="I4">
        <v>0.1503183677655768</v>
      </c>
      <c r="J4" t="s">
        <v>780</v>
      </c>
      <c r="K4" t="s">
        <v>352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0.119075073326914</v>
      </c>
      <c r="R4" t="s">
        <v>784</v>
      </c>
      <c r="S4" t="s">
        <v>790</v>
      </c>
      <c r="T4">
        <v>26452.037245</v>
      </c>
      <c r="U4" s="2">
        <v>44507</v>
      </c>
      <c r="V4" t="s">
        <v>801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41.25</v>
      </c>
      <c r="D5">
        <v>61</v>
      </c>
      <c r="E5">
        <v>0.6762295081967213</v>
      </c>
      <c r="F5">
        <v>0.01890909090909091</v>
      </c>
      <c r="G5">
        <v>0.08138707984819837</v>
      </c>
      <c r="H5">
        <v>0.05</v>
      </c>
      <c r="I5">
        <v>0.1474378754076737</v>
      </c>
      <c r="J5" t="s">
        <v>780</v>
      </c>
      <c r="K5" t="s">
        <v>781</v>
      </c>
      <c r="L5">
        <v>3.5</v>
      </c>
      <c r="M5">
        <v>0.78</v>
      </c>
      <c r="N5">
        <v>0.2228571428571429</v>
      </c>
      <c r="O5">
        <v>54</v>
      </c>
      <c r="P5">
        <v>0.02441897433224605</v>
      </c>
      <c r="Q5">
        <v>0.01174345076784</v>
      </c>
      <c r="R5" t="s">
        <v>784</v>
      </c>
      <c r="S5" t="s">
        <v>791</v>
      </c>
      <c r="T5">
        <v>2748.81764</v>
      </c>
      <c r="U5" s="2">
        <v>44453</v>
      </c>
      <c r="V5" t="s">
        <v>802</v>
      </c>
    </row>
    <row r="6" spans="1:22">
      <c r="A6" s="1" t="s">
        <v>26</v>
      </c>
      <c r="B6">
        <f>HYPERLINK("https://www.suredividend.com/sure-analysis-PII/","Polaris Inc")</f>
        <v>0</v>
      </c>
      <c r="C6">
        <v>107.5</v>
      </c>
      <c r="D6">
        <v>144</v>
      </c>
      <c r="E6">
        <v>0.7465277777777778</v>
      </c>
      <c r="F6">
        <v>0.02344186046511628</v>
      </c>
      <c r="G6">
        <v>0.06020733748945006</v>
      </c>
      <c r="H6">
        <v>0.05</v>
      </c>
      <c r="I6">
        <v>0.1311343416325854</v>
      </c>
      <c r="J6" t="s">
        <v>780</v>
      </c>
      <c r="K6" t="s">
        <v>781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0.163765487388556</v>
      </c>
      <c r="R6" t="s">
        <v>784</v>
      </c>
      <c r="S6" t="s">
        <v>792</v>
      </c>
      <c r="T6">
        <v>6646.473282</v>
      </c>
      <c r="U6" s="2">
        <v>44496</v>
      </c>
      <c r="V6" t="s">
        <v>803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58.34</v>
      </c>
      <c r="D7">
        <v>64</v>
      </c>
      <c r="E7">
        <v>0.9115625000000001</v>
      </c>
      <c r="F7">
        <v>0.01508399040109702</v>
      </c>
      <c r="G7">
        <v>0.01869156435354435</v>
      </c>
      <c r="H7">
        <v>0.09</v>
      </c>
      <c r="I7">
        <v>0.1226548428158989</v>
      </c>
      <c r="J7" t="s">
        <v>780</v>
      </c>
      <c r="K7" t="s">
        <v>781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0.06121816750748801</v>
      </c>
      <c r="R7" t="s">
        <v>784</v>
      </c>
      <c r="S7" t="s">
        <v>791</v>
      </c>
      <c r="T7">
        <v>7278.507679</v>
      </c>
      <c r="U7" s="2">
        <v>44541</v>
      </c>
      <c r="V7" t="s">
        <v>804</v>
      </c>
    </row>
    <row r="8" spans="1:22">
      <c r="A8" s="1" t="s">
        <v>28</v>
      </c>
      <c r="B8">
        <f>HYPERLINK("https://www.suredividend.com/sure-analysis-FDX/","Fedex Corp")</f>
        <v>0</v>
      </c>
      <c r="C8">
        <v>238.52</v>
      </c>
      <c r="D8">
        <v>296</v>
      </c>
      <c r="E8">
        <v>0.8058108108108109</v>
      </c>
      <c r="F8">
        <v>0.01257756163005199</v>
      </c>
      <c r="G8">
        <v>0.04412713411004421</v>
      </c>
      <c r="H8">
        <v>0.06</v>
      </c>
      <c r="I8">
        <v>0.116608479238167</v>
      </c>
      <c r="J8" t="s">
        <v>780</v>
      </c>
      <c r="K8" t="s">
        <v>352</v>
      </c>
      <c r="L8">
        <v>20.4</v>
      </c>
      <c r="M8">
        <v>3</v>
      </c>
      <c r="N8">
        <v>0.1470588235294118</v>
      </c>
      <c r="O8">
        <v>1</v>
      </c>
      <c r="P8">
        <v>0.05975292415044642</v>
      </c>
      <c r="Q8">
        <v>-0.148059587001026</v>
      </c>
      <c r="R8" t="s">
        <v>784</v>
      </c>
      <c r="S8" t="s">
        <v>791</v>
      </c>
      <c r="T8">
        <v>63963.220484</v>
      </c>
      <c r="U8" s="2">
        <v>44464</v>
      </c>
      <c r="V8" t="s">
        <v>799</v>
      </c>
    </row>
    <row r="9" spans="1:22">
      <c r="A9" s="1" t="s">
        <v>29</v>
      </c>
      <c r="B9">
        <f>HYPERLINK("https://www.suredividend.com/sure-analysis-BBY/","Best Buy Co. Inc.")</f>
        <v>0</v>
      </c>
      <c r="C9">
        <v>100.22</v>
      </c>
      <c r="D9">
        <v>116</v>
      </c>
      <c r="E9">
        <v>0.8639655172413793</v>
      </c>
      <c r="F9">
        <v>0.02793853522251048</v>
      </c>
      <c r="G9">
        <v>0.02967630341010064</v>
      </c>
      <c r="H9">
        <v>0.06</v>
      </c>
      <c r="I9">
        <v>0.1153214283079382</v>
      </c>
      <c r="J9" t="s">
        <v>780</v>
      </c>
      <c r="K9" t="s">
        <v>780</v>
      </c>
      <c r="L9">
        <v>9.69</v>
      </c>
      <c r="M9">
        <v>2.8</v>
      </c>
      <c r="N9">
        <v>0.2889576883384933</v>
      </c>
      <c r="O9">
        <v>18</v>
      </c>
      <c r="P9">
        <v>0.07978367728709435</v>
      </c>
      <c r="Q9">
        <v>0.020807582402149</v>
      </c>
      <c r="R9" t="s">
        <v>784</v>
      </c>
      <c r="S9" t="s">
        <v>792</v>
      </c>
      <c r="T9">
        <v>24655.086436</v>
      </c>
      <c r="U9" s="2">
        <v>44452</v>
      </c>
      <c r="V9" t="s">
        <v>805</v>
      </c>
    </row>
    <row r="10" spans="1:22">
      <c r="A10" s="1" t="s">
        <v>30</v>
      </c>
      <c r="B10">
        <f>HYPERLINK("https://www.suredividend.com/sure-analysis-UNM/","Unum Group")</f>
        <v>0</v>
      </c>
      <c r="C10">
        <v>24.18</v>
      </c>
      <c r="D10">
        <v>32</v>
      </c>
      <c r="E10">
        <v>0.755625</v>
      </c>
      <c r="F10">
        <v>0.04962779156327543</v>
      </c>
      <c r="G10">
        <v>0.05764211595894619</v>
      </c>
      <c r="H10">
        <v>0.02</v>
      </c>
      <c r="I10">
        <v>0.1150820108107571</v>
      </c>
      <c r="J10" t="s">
        <v>780</v>
      </c>
      <c r="K10" t="s">
        <v>780</v>
      </c>
      <c r="L10">
        <v>4.6</v>
      </c>
      <c r="M10">
        <v>1.2</v>
      </c>
      <c r="N10">
        <v>0.2608695652173913</v>
      </c>
      <c r="O10">
        <v>13</v>
      </c>
      <c r="P10">
        <v>0.01924487649145656</v>
      </c>
      <c r="Q10">
        <v>0.106992425599544</v>
      </c>
      <c r="R10" t="s">
        <v>784</v>
      </c>
      <c r="S10" t="s">
        <v>793</v>
      </c>
      <c r="T10">
        <v>4927.324699</v>
      </c>
      <c r="U10" s="2">
        <v>44503</v>
      </c>
      <c r="V10" t="s">
        <v>803</v>
      </c>
    </row>
    <row r="11" spans="1:22">
      <c r="A11" s="1" t="s">
        <v>31</v>
      </c>
      <c r="B11">
        <f>HYPERLINK("https://www.suredividend.com/sure-analysis-RGLD/","Royal Gold, Inc.")</f>
        <v>0</v>
      </c>
      <c r="C11">
        <v>98.01000000000001</v>
      </c>
      <c r="D11">
        <v>128</v>
      </c>
      <c r="E11">
        <v>0.765703125</v>
      </c>
      <c r="F11">
        <v>0.01428425670849913</v>
      </c>
      <c r="G11">
        <v>0.05484322071498027</v>
      </c>
      <c r="H11">
        <v>0.045</v>
      </c>
      <c r="I11">
        <v>0.1146395131771338</v>
      </c>
      <c r="J11" t="s">
        <v>780</v>
      </c>
      <c r="K11" t="s">
        <v>352</v>
      </c>
      <c r="L11">
        <v>4.18</v>
      </c>
      <c r="M11">
        <v>1.4</v>
      </c>
      <c r="N11">
        <v>0.3349282296650718</v>
      </c>
      <c r="O11">
        <v>21</v>
      </c>
      <c r="P11">
        <v>0.08958743119932766</v>
      </c>
      <c r="Q11">
        <v>-0.104923939894871</v>
      </c>
      <c r="R11" t="s">
        <v>784</v>
      </c>
      <c r="S11" t="s">
        <v>794</v>
      </c>
      <c r="T11">
        <v>6326.122107</v>
      </c>
      <c r="U11" s="2">
        <v>44508</v>
      </c>
      <c r="V11" t="s">
        <v>806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42.48</v>
      </c>
      <c r="D12">
        <v>43</v>
      </c>
      <c r="E12">
        <v>0.9879069767441859</v>
      </c>
      <c r="F12">
        <v>0.01318267419962335</v>
      </c>
      <c r="G12">
        <v>0.002436310745460579</v>
      </c>
      <c r="H12">
        <v>0.09</v>
      </c>
      <c r="I12">
        <v>0.1047883898734909</v>
      </c>
      <c r="J12" t="s">
        <v>780</v>
      </c>
      <c r="K12" t="s">
        <v>352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0.196653665705726</v>
      </c>
      <c r="R12" t="s">
        <v>784</v>
      </c>
      <c r="S12" t="s">
        <v>794</v>
      </c>
      <c r="T12">
        <v>4674.769096</v>
      </c>
      <c r="U12" s="2">
        <v>44500</v>
      </c>
      <c r="V12" t="s">
        <v>799</v>
      </c>
    </row>
    <row r="13" spans="1:22">
      <c r="A13" s="1" t="s">
        <v>33</v>
      </c>
      <c r="B13">
        <f>HYPERLINK("https://www.suredividend.com/sure-analysis-SYK/","Stryker Corp.")</f>
        <v>0</v>
      </c>
      <c r="C13">
        <v>251.46</v>
      </c>
      <c r="D13">
        <v>223</v>
      </c>
      <c r="E13">
        <v>1.12762331838565</v>
      </c>
      <c r="F13">
        <v>0.01105543625228664</v>
      </c>
      <c r="G13">
        <v>-0.02373618997988702</v>
      </c>
      <c r="H13">
        <v>0.12</v>
      </c>
      <c r="I13">
        <v>0.1035588146368922</v>
      </c>
      <c r="J13" t="s">
        <v>780</v>
      </c>
      <c r="K13" t="s">
        <v>352</v>
      </c>
      <c r="L13">
        <v>9.119999999999999</v>
      </c>
      <c r="M13">
        <v>2.78</v>
      </c>
      <c r="N13">
        <v>0.3048245614035088</v>
      </c>
      <c r="O13">
        <v>28</v>
      </c>
      <c r="P13">
        <v>0.09816509304403764</v>
      </c>
      <c r="Q13">
        <v>0.088420461199937</v>
      </c>
      <c r="R13" t="s">
        <v>784</v>
      </c>
      <c r="S13" t="s">
        <v>789</v>
      </c>
      <c r="T13">
        <v>95111.221724</v>
      </c>
      <c r="U13" s="2">
        <v>44500</v>
      </c>
      <c r="V13" t="s">
        <v>800</v>
      </c>
    </row>
    <row r="14" spans="1:22">
      <c r="A14" s="1" t="s">
        <v>34</v>
      </c>
      <c r="B14">
        <f>HYPERLINK("https://www.suredividend.com/sure-analysis-WBA/","Walgreens Boots Alliance Inc")</f>
        <v>0</v>
      </c>
      <c r="C14">
        <v>49.26</v>
      </c>
      <c r="D14">
        <v>54</v>
      </c>
      <c r="E14">
        <v>0.9122222222222222</v>
      </c>
      <c r="F14">
        <v>0.03877385302476655</v>
      </c>
      <c r="G14">
        <v>0.01854417746838344</v>
      </c>
      <c r="H14">
        <v>0.05</v>
      </c>
      <c r="I14">
        <v>0.1018616947336641</v>
      </c>
      <c r="J14" t="s">
        <v>780</v>
      </c>
      <c r="K14" t="s">
        <v>780</v>
      </c>
      <c r="L14">
        <v>5.35</v>
      </c>
      <c r="M14">
        <v>1.91</v>
      </c>
      <c r="N14">
        <v>0.3570093457943925</v>
      </c>
      <c r="O14">
        <v>46</v>
      </c>
      <c r="P14">
        <v>0.0501982537579746</v>
      </c>
      <c r="Q14">
        <v>0.247387669801462</v>
      </c>
      <c r="R14" t="s">
        <v>784</v>
      </c>
      <c r="S14" t="s">
        <v>789</v>
      </c>
      <c r="T14">
        <v>42986.309698</v>
      </c>
      <c r="U14" s="2">
        <v>44483</v>
      </c>
      <c r="V14" t="s">
        <v>803</v>
      </c>
    </row>
    <row r="15" spans="1:22">
      <c r="A15" s="1" t="s">
        <v>35</v>
      </c>
      <c r="B15">
        <f>HYPERLINK("https://www.suredividend.com/sure-analysis-ADM/","Archer Daniels Midland Co.")</f>
        <v>0</v>
      </c>
      <c r="C15">
        <v>66.17</v>
      </c>
      <c r="D15">
        <v>74</v>
      </c>
      <c r="E15">
        <v>0.8941891891891892</v>
      </c>
      <c r="F15">
        <v>0.0223666314039595</v>
      </c>
      <c r="G15">
        <v>0.02261961096893472</v>
      </c>
      <c r="H15">
        <v>0.06</v>
      </c>
      <c r="I15">
        <v>0.1011676825082477</v>
      </c>
      <c r="J15" t="s">
        <v>780</v>
      </c>
      <c r="K15" t="s">
        <v>781</v>
      </c>
      <c r="L15">
        <v>4.9</v>
      </c>
      <c r="M15">
        <v>1.48</v>
      </c>
      <c r="N15">
        <v>0.3020408163265306</v>
      </c>
      <c r="O15">
        <v>46</v>
      </c>
      <c r="P15">
        <v>0.03051269507716325</v>
      </c>
      <c r="Q15">
        <v>0.344664216187625</v>
      </c>
      <c r="R15" t="s">
        <v>784</v>
      </c>
      <c r="S15" t="s">
        <v>795</v>
      </c>
      <c r="T15">
        <v>36408.437201</v>
      </c>
      <c r="U15" s="2">
        <v>44507</v>
      </c>
      <c r="V15" t="s">
        <v>801</v>
      </c>
    </row>
    <row r="16" spans="1:22">
      <c r="A16" s="1" t="s">
        <v>36</v>
      </c>
      <c r="B16">
        <f>HYPERLINK("https://www.suredividend.com/sure-analysis-JW.A/","John Wiley &amp; Sons Inc.")</f>
        <v>0</v>
      </c>
      <c r="C16">
        <v>52.55</v>
      </c>
      <c r="D16">
        <v>62</v>
      </c>
      <c r="E16">
        <v>0.8475806451612903</v>
      </c>
      <c r="F16">
        <v>0.02626070409134158</v>
      </c>
      <c r="G16">
        <v>0.0336268775652202</v>
      </c>
      <c r="H16">
        <v>0.045</v>
      </c>
      <c r="I16">
        <v>0.1004622346300548</v>
      </c>
      <c r="J16" t="s">
        <v>780</v>
      </c>
      <c r="K16" t="s">
        <v>780</v>
      </c>
      <c r="L16">
        <v>4.12</v>
      </c>
      <c r="M16">
        <v>1.38</v>
      </c>
      <c r="N16">
        <v>0.3349514563106796</v>
      </c>
      <c r="O16">
        <v>28</v>
      </c>
      <c r="P16">
        <v>0.03002598081465924</v>
      </c>
      <c r="Q16">
        <v>0.241593613880333</v>
      </c>
      <c r="R16" t="s">
        <v>784</v>
      </c>
      <c r="S16" t="s">
        <v>788</v>
      </c>
      <c r="T16">
        <v>3037.726592</v>
      </c>
      <c r="U16" s="2">
        <v>44545</v>
      </c>
      <c r="V16" t="s">
        <v>802</v>
      </c>
    </row>
    <row r="17" spans="1:22">
      <c r="A17" s="1" t="s">
        <v>37</v>
      </c>
      <c r="B17">
        <f>HYPERLINK("https://www.suredividend.com/sure-analysis-FMS/","Fresenius Medical Care AG &amp; Co. KGaA")</f>
        <v>0</v>
      </c>
      <c r="C17">
        <v>30.45</v>
      </c>
      <c r="D17">
        <v>33</v>
      </c>
      <c r="E17">
        <v>0.9227272727272727</v>
      </c>
      <c r="F17">
        <v>0.02692939244663382</v>
      </c>
      <c r="G17">
        <v>0.01621436234532458</v>
      </c>
      <c r="H17">
        <v>0.06</v>
      </c>
      <c r="I17">
        <v>0.1001281049534981</v>
      </c>
      <c r="J17" t="s">
        <v>780</v>
      </c>
      <c r="K17" t="s">
        <v>781</v>
      </c>
      <c r="L17">
        <v>2.04</v>
      </c>
      <c r="M17">
        <v>0.82</v>
      </c>
      <c r="N17">
        <v>0.4019607843137254</v>
      </c>
      <c r="O17">
        <v>24</v>
      </c>
      <c r="P17">
        <v>0.06051243834129849</v>
      </c>
      <c r="Q17">
        <v>-0.254229382766893</v>
      </c>
      <c r="R17" t="s">
        <v>784</v>
      </c>
      <c r="S17" t="s">
        <v>789</v>
      </c>
      <c r="T17">
        <v>17614.811845</v>
      </c>
      <c r="U17" s="2">
        <v>44503</v>
      </c>
      <c r="V17" t="s">
        <v>800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67.59999999999999</v>
      </c>
      <c r="D18">
        <v>74</v>
      </c>
      <c r="E18">
        <v>0.9135135135135134</v>
      </c>
      <c r="F18">
        <v>0.02130177514792899</v>
      </c>
      <c r="G18">
        <v>0.01825606317206208</v>
      </c>
      <c r="H18">
        <v>0.06</v>
      </c>
      <c r="I18">
        <v>0.09750499980222638</v>
      </c>
      <c r="J18" t="s">
        <v>780</v>
      </c>
      <c r="K18" t="s">
        <v>781</v>
      </c>
      <c r="L18">
        <v>4.96</v>
      </c>
      <c r="M18">
        <v>1.44</v>
      </c>
      <c r="N18">
        <v>0.2903225806451613</v>
      </c>
      <c r="O18">
        <v>28</v>
      </c>
      <c r="P18">
        <v>0.06032490771095733</v>
      </c>
      <c r="Q18">
        <v>0.183802038110179</v>
      </c>
      <c r="R18" t="s">
        <v>784</v>
      </c>
      <c r="S18" t="s">
        <v>793</v>
      </c>
      <c r="T18">
        <v>2207.093424</v>
      </c>
      <c r="U18" s="2">
        <v>44492</v>
      </c>
      <c r="V18" t="s">
        <v>801</v>
      </c>
    </row>
    <row r="19" spans="1:22">
      <c r="A19" s="1" t="s">
        <v>39</v>
      </c>
      <c r="B19">
        <f>HYPERLINK("https://www.suredividend.com/sure-analysis-LEG/","Leggett &amp; Platt, Inc.")</f>
        <v>0</v>
      </c>
      <c r="C19">
        <v>41.33</v>
      </c>
      <c r="D19">
        <v>44</v>
      </c>
      <c r="E19">
        <v>0.9393181818181818</v>
      </c>
      <c r="F19">
        <v>0.04064843939027341</v>
      </c>
      <c r="G19">
        <v>0.01259890692446053</v>
      </c>
      <c r="H19">
        <v>0.05</v>
      </c>
      <c r="I19">
        <v>0.09682886847597483</v>
      </c>
      <c r="J19" t="s">
        <v>780</v>
      </c>
      <c r="K19" t="s">
        <v>780</v>
      </c>
      <c r="L19">
        <v>2.75</v>
      </c>
      <c r="M19">
        <v>1.68</v>
      </c>
      <c r="N19">
        <v>0.6109090909090908</v>
      </c>
      <c r="O19">
        <v>48</v>
      </c>
      <c r="P19">
        <v>0.03959498820755258</v>
      </c>
      <c r="Q19">
        <v>0.037870900572618</v>
      </c>
      <c r="R19" t="s">
        <v>784</v>
      </c>
      <c r="S19" t="s">
        <v>792</v>
      </c>
      <c r="T19">
        <v>5531.152401</v>
      </c>
      <c r="U19" s="2">
        <v>44506</v>
      </c>
      <c r="V19" t="s">
        <v>802</v>
      </c>
    </row>
    <row r="20" spans="1:22">
      <c r="A20" s="1" t="s">
        <v>40</v>
      </c>
      <c r="B20">
        <f>HYPERLINK("https://www.suredividend.com/sure-analysis-NOC/","Northrop Grumman Corp.")</f>
        <v>0</v>
      </c>
      <c r="C20">
        <v>378.72</v>
      </c>
      <c r="D20">
        <v>381</v>
      </c>
      <c r="E20">
        <v>0.9940157480314962</v>
      </c>
      <c r="F20">
        <v>0.0165821715251373</v>
      </c>
      <c r="G20">
        <v>0.001201166695759204</v>
      </c>
      <c r="H20">
        <v>0.08</v>
      </c>
      <c r="I20">
        <v>0.09625158638533704</v>
      </c>
      <c r="J20" t="s">
        <v>780</v>
      </c>
      <c r="K20" t="s">
        <v>781</v>
      </c>
      <c r="L20">
        <v>25.4</v>
      </c>
      <c r="M20">
        <v>6.28</v>
      </c>
      <c r="N20">
        <v>0.247244094488189</v>
      </c>
      <c r="O20">
        <v>18</v>
      </c>
      <c r="P20">
        <v>0.0800613160089807</v>
      </c>
      <c r="Q20">
        <v>0.286093507098433</v>
      </c>
      <c r="R20" t="s">
        <v>784</v>
      </c>
      <c r="S20" t="s">
        <v>791</v>
      </c>
      <c r="T20">
        <v>60057.229921</v>
      </c>
      <c r="U20" s="2">
        <v>44504</v>
      </c>
      <c r="V20" t="s">
        <v>805</v>
      </c>
    </row>
    <row r="21" spans="1:22">
      <c r="A21" s="1" t="s">
        <v>41</v>
      </c>
      <c r="B21">
        <f>HYPERLINK("https://www.suredividend.com/sure-analysis-CAH/","Cardinal Health, Inc.")</f>
        <v>0</v>
      </c>
      <c r="C21">
        <v>49.44</v>
      </c>
      <c r="D21">
        <v>58</v>
      </c>
      <c r="E21">
        <v>0.8524137931034482</v>
      </c>
      <c r="F21">
        <v>0.03964401294498382</v>
      </c>
      <c r="G21">
        <v>0.0324520865309561</v>
      </c>
      <c r="H21">
        <v>0.03</v>
      </c>
      <c r="I21">
        <v>0.0962211017038106</v>
      </c>
      <c r="J21" t="s">
        <v>780</v>
      </c>
      <c r="K21" t="s">
        <v>780</v>
      </c>
      <c r="L21">
        <v>5.75</v>
      </c>
      <c r="M21">
        <v>1.96</v>
      </c>
      <c r="N21">
        <v>0.3408695652173913</v>
      </c>
      <c r="O21">
        <v>34</v>
      </c>
      <c r="P21">
        <v>0.03959498820755258</v>
      </c>
      <c r="Q21">
        <v>-0.07195594572422701</v>
      </c>
      <c r="R21" t="s">
        <v>784</v>
      </c>
      <c r="S21" t="s">
        <v>789</v>
      </c>
      <c r="T21">
        <v>13866.787578</v>
      </c>
      <c r="U21" s="2">
        <v>44511</v>
      </c>
      <c r="V21" t="s">
        <v>803</v>
      </c>
    </row>
    <row r="22" spans="1:22">
      <c r="A22" s="1" t="s">
        <v>42</v>
      </c>
      <c r="B22">
        <f>HYPERLINK("https://www.suredividend.com/sure-analysis-PH/","Parker-Hannifin Corp.")</f>
        <v>0</v>
      </c>
      <c r="C22">
        <v>313.14</v>
      </c>
      <c r="D22">
        <v>289</v>
      </c>
      <c r="E22">
        <v>1.083529411764706</v>
      </c>
      <c r="F22">
        <v>0.0131570543526857</v>
      </c>
      <c r="G22">
        <v>-0.0159167062123825</v>
      </c>
      <c r="H22">
        <v>0.1</v>
      </c>
      <c r="I22">
        <v>0.09507155296044956</v>
      </c>
      <c r="J22" t="s">
        <v>780</v>
      </c>
      <c r="K22" t="s">
        <v>781</v>
      </c>
      <c r="L22">
        <v>17.5</v>
      </c>
      <c r="M22">
        <v>4.12</v>
      </c>
      <c r="N22">
        <v>0.2354285714285714</v>
      </c>
      <c r="O22">
        <v>65</v>
      </c>
      <c r="P22">
        <v>0.10015574926841</v>
      </c>
      <c r="Q22">
        <v>0.157477301161554</v>
      </c>
      <c r="R22" t="s">
        <v>784</v>
      </c>
      <c r="S22" t="s">
        <v>791</v>
      </c>
      <c r="T22">
        <v>40496.34684</v>
      </c>
      <c r="U22" s="2">
        <v>44508</v>
      </c>
      <c r="V22" t="s">
        <v>807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80.23999999999999</v>
      </c>
      <c r="D23">
        <v>82</v>
      </c>
      <c r="E23">
        <v>0.9785365853658536</v>
      </c>
      <c r="F23">
        <v>0.01246261216350947</v>
      </c>
      <c r="G23">
        <v>0.004348849641966357</v>
      </c>
      <c r="H23">
        <v>0.08</v>
      </c>
      <c r="I23">
        <v>0.09496595870825097</v>
      </c>
      <c r="J23" t="s">
        <v>780</v>
      </c>
      <c r="K23" t="s">
        <v>781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0.178800588392772</v>
      </c>
      <c r="R23" t="s">
        <v>784</v>
      </c>
      <c r="S23" t="s">
        <v>791</v>
      </c>
      <c r="T23">
        <v>1518.116009</v>
      </c>
      <c r="U23" s="2">
        <v>44510</v>
      </c>
      <c r="V23" t="s">
        <v>802</v>
      </c>
    </row>
    <row r="24" spans="1:22">
      <c r="A24" s="1" t="s">
        <v>44</v>
      </c>
      <c r="B24">
        <f>HYPERLINK("https://www.suredividend.com/sure-analysis-INTU/","Intuit Inc")</f>
        <v>0</v>
      </c>
      <c r="C24">
        <v>633.96</v>
      </c>
      <c r="D24">
        <v>462</v>
      </c>
      <c r="E24">
        <v>1.372207792207792</v>
      </c>
      <c r="F24">
        <v>0.004290491513660168</v>
      </c>
      <c r="G24">
        <v>-0.06132333047649641</v>
      </c>
      <c r="H24">
        <v>0.16</v>
      </c>
      <c r="I24">
        <v>0.09369008640693033</v>
      </c>
      <c r="J24" t="s">
        <v>780</v>
      </c>
      <c r="K24" t="s">
        <v>529</v>
      </c>
      <c r="L24">
        <v>11.56</v>
      </c>
      <c r="M24">
        <v>2.72</v>
      </c>
      <c r="N24">
        <v>0.2352941176470588</v>
      </c>
      <c r="O24">
        <v>10</v>
      </c>
      <c r="P24">
        <v>0.1598810174248351</v>
      </c>
      <c r="Q24">
        <v>0.806302768916606</v>
      </c>
      <c r="R24" t="s">
        <v>784</v>
      </c>
      <c r="S24" t="s">
        <v>790</v>
      </c>
      <c r="T24">
        <v>177441.39187</v>
      </c>
      <c r="U24" s="2">
        <v>44520</v>
      </c>
      <c r="V24" t="s">
        <v>799</v>
      </c>
    </row>
    <row r="25" spans="1:22">
      <c r="A25" s="1" t="s">
        <v>45</v>
      </c>
      <c r="B25">
        <f>HYPERLINK("https://www.suredividend.com/sure-analysis-LHX/","L3Harris Technologies Inc")</f>
        <v>0</v>
      </c>
      <c r="C25">
        <v>210.76</v>
      </c>
      <c r="D25">
        <v>206</v>
      </c>
      <c r="E25">
        <v>1.023106796116505</v>
      </c>
      <c r="F25">
        <v>0.0193585120516227</v>
      </c>
      <c r="G25">
        <v>-0.004558354332791503</v>
      </c>
      <c r="H25">
        <v>0.08</v>
      </c>
      <c r="I25">
        <v>0.09283463277874859</v>
      </c>
      <c r="J25" t="s">
        <v>780</v>
      </c>
      <c r="K25" t="s">
        <v>781</v>
      </c>
      <c r="L25">
        <v>12.9</v>
      </c>
      <c r="M25">
        <v>4.08</v>
      </c>
      <c r="N25">
        <v>0.3162790697674419</v>
      </c>
      <c r="O25">
        <v>20</v>
      </c>
      <c r="P25">
        <v>0.07982488529298792</v>
      </c>
      <c r="Q25">
        <v>0.152795149384391</v>
      </c>
      <c r="R25" t="s">
        <v>784</v>
      </c>
      <c r="S25" t="s">
        <v>791</v>
      </c>
      <c r="T25">
        <v>41796.024897</v>
      </c>
      <c r="U25" s="2">
        <v>44509</v>
      </c>
      <c r="V25" t="s">
        <v>805</v>
      </c>
    </row>
    <row r="26" spans="1:22">
      <c r="A26" s="1" t="s">
        <v>46</v>
      </c>
      <c r="B26">
        <f>HYPERLINK("https://www.suredividend.com/sure-analysis-ATO/","Atmos Energy Corp.")</f>
        <v>0</v>
      </c>
      <c r="C26">
        <v>100.35</v>
      </c>
      <c r="D26">
        <v>104</v>
      </c>
      <c r="E26">
        <v>0.9649038461538461</v>
      </c>
      <c r="F26">
        <v>0.02710513203786747</v>
      </c>
      <c r="G26">
        <v>0.007170953810066827</v>
      </c>
      <c r="H26">
        <v>0.06</v>
      </c>
      <c r="I26">
        <v>0.09283388502621448</v>
      </c>
      <c r="J26" t="s">
        <v>780</v>
      </c>
      <c r="K26" t="s">
        <v>781</v>
      </c>
      <c r="L26">
        <v>5.45</v>
      </c>
      <c r="M26">
        <v>2.72</v>
      </c>
      <c r="N26">
        <v>0.4990825688073395</v>
      </c>
      <c r="O26">
        <v>38</v>
      </c>
      <c r="P26">
        <v>0.0801851873035635</v>
      </c>
      <c r="Q26">
        <v>-0.012071341043963</v>
      </c>
      <c r="R26" t="s">
        <v>784</v>
      </c>
      <c r="S26" t="s">
        <v>796</v>
      </c>
      <c r="T26">
        <v>13046.591491</v>
      </c>
      <c r="U26" s="2">
        <v>44524</v>
      </c>
      <c r="V26" t="s">
        <v>804</v>
      </c>
    </row>
    <row r="27" spans="1:22">
      <c r="A27" s="1" t="s">
        <v>47</v>
      </c>
      <c r="B27">
        <f>HYPERLINK("https://www.suredividend.com/sure-analysis-WSM/","Williams-Sonoma, Inc.")</f>
        <v>0</v>
      </c>
      <c r="C27">
        <v>164.98</v>
      </c>
      <c r="D27">
        <v>216</v>
      </c>
      <c r="E27">
        <v>0.7637962962962962</v>
      </c>
      <c r="F27">
        <v>0.01721420778276155</v>
      </c>
      <c r="G27">
        <v>0.05536938187683704</v>
      </c>
      <c r="H27">
        <v>0.02</v>
      </c>
      <c r="I27">
        <v>0.09137714003153796</v>
      </c>
      <c r="J27" t="s">
        <v>780</v>
      </c>
      <c r="K27" t="s">
        <v>781</v>
      </c>
      <c r="L27">
        <v>13.5</v>
      </c>
      <c r="M27">
        <v>2.84</v>
      </c>
      <c r="N27">
        <v>0.2103703703703703</v>
      </c>
      <c r="O27">
        <v>15</v>
      </c>
      <c r="P27">
        <v>0.05996872493653238</v>
      </c>
      <c r="Q27">
        <v>0.57728416667739</v>
      </c>
      <c r="R27" t="s">
        <v>784</v>
      </c>
      <c r="S27" t="s">
        <v>792</v>
      </c>
      <c r="T27">
        <v>12518.99546</v>
      </c>
      <c r="U27" s="2">
        <v>44520</v>
      </c>
      <c r="V27" t="s">
        <v>803</v>
      </c>
    </row>
    <row r="28" spans="1:22">
      <c r="A28" s="1" t="s">
        <v>48</v>
      </c>
      <c r="B28">
        <f>HYPERLINK("https://www.suredividend.com/sure-analysis-EFSI/","Eagle Financial Services, Inc.")</f>
        <v>0</v>
      </c>
      <c r="C28">
        <v>35.45</v>
      </c>
      <c r="D28">
        <v>37</v>
      </c>
      <c r="E28">
        <v>0.9581081081081082</v>
      </c>
      <c r="F28">
        <v>0.03159379407616361</v>
      </c>
      <c r="G28">
        <v>0.008595664312994078</v>
      </c>
      <c r="H28">
        <v>0.055</v>
      </c>
      <c r="I28">
        <v>0.09091105732154947</v>
      </c>
      <c r="J28" t="s">
        <v>780</v>
      </c>
      <c r="K28" t="s">
        <v>780</v>
      </c>
      <c r="L28">
        <v>3.4</v>
      </c>
      <c r="M28">
        <v>1.12</v>
      </c>
      <c r="N28">
        <v>0.3294117647058824</v>
      </c>
      <c r="O28">
        <v>35</v>
      </c>
      <c r="P28">
        <v>0.04563955259127317</v>
      </c>
      <c r="Q28">
        <v>0.222152505326447</v>
      </c>
      <c r="R28" t="s">
        <v>784</v>
      </c>
      <c r="S28" t="s">
        <v>793</v>
      </c>
      <c r="T28">
        <v>122.448838</v>
      </c>
      <c r="U28" s="2">
        <v>44505</v>
      </c>
      <c r="V28" t="s">
        <v>802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29.57</v>
      </c>
      <c r="D29">
        <v>32</v>
      </c>
      <c r="E29">
        <v>0.9240625</v>
      </c>
      <c r="F29">
        <v>0.02942171119377748</v>
      </c>
      <c r="G29">
        <v>0.01592051597414201</v>
      </c>
      <c r="H29">
        <v>0.05</v>
      </c>
      <c r="I29">
        <v>0.09008940612315164</v>
      </c>
      <c r="J29" t="s">
        <v>780</v>
      </c>
      <c r="K29" t="s">
        <v>780</v>
      </c>
      <c r="L29">
        <v>2</v>
      </c>
      <c r="M29">
        <v>0.87</v>
      </c>
      <c r="N29">
        <v>0.435</v>
      </c>
      <c r="O29">
        <v>30</v>
      </c>
      <c r="P29">
        <v>0.02409763832975087</v>
      </c>
      <c r="Q29">
        <v>0.174281187398998</v>
      </c>
      <c r="R29" t="s">
        <v>784</v>
      </c>
      <c r="S29" t="s">
        <v>794</v>
      </c>
      <c r="T29">
        <v>6016.24724</v>
      </c>
      <c r="U29" s="2">
        <v>44524</v>
      </c>
      <c r="V29" t="s">
        <v>804</v>
      </c>
    </row>
    <row r="30" spans="1:22">
      <c r="A30" s="1" t="s">
        <v>50</v>
      </c>
      <c r="B30">
        <f>HYPERLINK("https://www.suredividend.com/sure-analysis-BDX/","Becton, Dickinson And Co.")</f>
        <v>0</v>
      </c>
      <c r="C30">
        <v>257.21</v>
      </c>
      <c r="D30">
        <v>231</v>
      </c>
      <c r="E30">
        <v>1.113463203463203</v>
      </c>
      <c r="F30">
        <v>0.01352980055207807</v>
      </c>
      <c r="G30">
        <v>-0.02126566045199108</v>
      </c>
      <c r="H30">
        <v>0.1</v>
      </c>
      <c r="I30">
        <v>0.0897996878061571</v>
      </c>
      <c r="J30" t="s">
        <v>780</v>
      </c>
      <c r="K30" t="s">
        <v>781</v>
      </c>
      <c r="L30">
        <v>12.4</v>
      </c>
      <c r="M30">
        <v>3.48</v>
      </c>
      <c r="N30">
        <v>0.2806451612903226</v>
      </c>
      <c r="O30">
        <v>50</v>
      </c>
      <c r="P30">
        <v>0.09982036375468772</v>
      </c>
      <c r="Q30">
        <v>0.035668313748287</v>
      </c>
      <c r="R30" t="s">
        <v>784</v>
      </c>
      <c r="S30" t="s">
        <v>789</v>
      </c>
      <c r="T30">
        <v>70841.16182199999</v>
      </c>
      <c r="U30" s="2">
        <v>44507</v>
      </c>
      <c r="V30" t="s">
        <v>800</v>
      </c>
    </row>
    <row r="31" spans="1:22">
      <c r="A31" s="1" t="s">
        <v>51</v>
      </c>
      <c r="B31">
        <f>HYPERLINK("https://www.suredividend.com/sure-analysis-SKM/","SK Telecom Co Ltd")</f>
        <v>0</v>
      </c>
      <c r="C31">
        <v>46.41</v>
      </c>
      <c r="D31">
        <v>49.4</v>
      </c>
      <c r="E31">
        <v>0.9394736842105262</v>
      </c>
      <c r="F31">
        <v>0.03555268261150614</v>
      </c>
      <c r="G31">
        <v>0.01256538347799108</v>
      </c>
      <c r="H31">
        <v>0.05</v>
      </c>
      <c r="I31">
        <v>0.08966633202046426</v>
      </c>
      <c r="J31" t="s">
        <v>780</v>
      </c>
      <c r="K31" t="s">
        <v>780</v>
      </c>
      <c r="L31">
        <v>18.11</v>
      </c>
      <c r="M31">
        <v>1.65</v>
      </c>
      <c r="N31">
        <v>0.09110988404196577</v>
      </c>
      <c r="O31">
        <v>0</v>
      </c>
      <c r="P31">
        <v>0</v>
      </c>
      <c r="Q31">
        <v>0.145883312849749</v>
      </c>
      <c r="R31" t="s">
        <v>784</v>
      </c>
      <c r="S31" t="s">
        <v>788</v>
      </c>
      <c r="T31">
        <v>28963.853877</v>
      </c>
      <c r="U31" s="2">
        <v>44515</v>
      </c>
      <c r="V31" t="s">
        <v>806</v>
      </c>
    </row>
    <row r="32" spans="1:22">
      <c r="A32" s="1" t="s">
        <v>52</v>
      </c>
      <c r="B32">
        <f>HYPERLINK("https://www.suredividend.com/sure-analysis-UGI/","UGI Corp.")</f>
        <v>0</v>
      </c>
      <c r="C32">
        <v>44.95</v>
      </c>
      <c r="D32">
        <v>49.9</v>
      </c>
      <c r="E32">
        <v>0.9008016032064129</v>
      </c>
      <c r="F32">
        <v>0.03114571746384872</v>
      </c>
      <c r="G32">
        <v>0.02111385722627968</v>
      </c>
      <c r="H32">
        <v>0.04</v>
      </c>
      <c r="I32">
        <v>0.08881590936953154</v>
      </c>
      <c r="J32" t="s">
        <v>780</v>
      </c>
      <c r="K32" t="s">
        <v>780</v>
      </c>
      <c r="L32">
        <v>3.22</v>
      </c>
      <c r="M32">
        <v>1.4</v>
      </c>
      <c r="N32">
        <v>0.4347826086956521</v>
      </c>
      <c r="O32">
        <v>34</v>
      </c>
      <c r="P32">
        <v>0.04801873431401682</v>
      </c>
      <c r="Q32">
        <v>0.280068996626768</v>
      </c>
      <c r="R32" t="s">
        <v>784</v>
      </c>
      <c r="S32" t="s">
        <v>796</v>
      </c>
      <c r="T32">
        <v>9440.082877999999</v>
      </c>
      <c r="U32" s="2">
        <v>44521</v>
      </c>
      <c r="V32" t="s">
        <v>808</v>
      </c>
    </row>
    <row r="33" spans="1:22">
      <c r="A33" s="1" t="s">
        <v>53</v>
      </c>
      <c r="B33">
        <f>HYPERLINK("https://www.suredividend.com/sure-analysis-CINF/","Cincinnati Financial Corp.")</f>
        <v>0</v>
      </c>
      <c r="C33">
        <v>117.28</v>
      </c>
      <c r="D33">
        <v>112.03</v>
      </c>
      <c r="E33">
        <v>1.04686244755869</v>
      </c>
      <c r="F33">
        <v>0.02148703956343793</v>
      </c>
      <c r="G33">
        <v>-0.009117688592490847</v>
      </c>
      <c r="H33">
        <v>0.08</v>
      </c>
      <c r="I33">
        <v>0.08853481131885554</v>
      </c>
      <c r="J33" t="s">
        <v>780</v>
      </c>
      <c r="K33" t="s">
        <v>781</v>
      </c>
      <c r="L33">
        <v>5.58</v>
      </c>
      <c r="M33">
        <v>2.52</v>
      </c>
      <c r="N33">
        <v>0.4516129032258064</v>
      </c>
      <c r="O33">
        <v>60</v>
      </c>
      <c r="P33">
        <v>0.05024607263868264</v>
      </c>
      <c r="Q33">
        <v>0.462557714262621</v>
      </c>
      <c r="R33" t="s">
        <v>784</v>
      </c>
      <c r="S33" t="s">
        <v>793</v>
      </c>
      <c r="T33">
        <v>18661.738978</v>
      </c>
      <c r="U33" s="2">
        <v>44499</v>
      </c>
      <c r="V33" t="s">
        <v>801</v>
      </c>
    </row>
    <row r="34" spans="1:22">
      <c r="A34" s="1" t="s">
        <v>54</v>
      </c>
      <c r="B34">
        <f>HYPERLINK("https://www.suredividend.com/sure-analysis-MCK/","Mckesson Corporation")</f>
        <v>0</v>
      </c>
      <c r="C34">
        <v>232.45</v>
      </c>
      <c r="D34">
        <v>269</v>
      </c>
      <c r="E34">
        <v>0.8641263940520446</v>
      </c>
      <c r="F34">
        <v>0.00808776080877608</v>
      </c>
      <c r="G34">
        <v>0.02963796101525795</v>
      </c>
      <c r="H34">
        <v>0.05</v>
      </c>
      <c r="I34">
        <v>0.08831468895092875</v>
      </c>
      <c r="J34" t="s">
        <v>780</v>
      </c>
      <c r="K34" t="s">
        <v>352</v>
      </c>
      <c r="L34">
        <v>22.45</v>
      </c>
      <c r="M34">
        <v>1.88</v>
      </c>
      <c r="N34">
        <v>0.08374164810690422</v>
      </c>
      <c r="O34">
        <v>14</v>
      </c>
      <c r="P34">
        <v>0.0702598056972048</v>
      </c>
      <c r="Q34">
        <v>0.354352451145302</v>
      </c>
      <c r="R34" t="s">
        <v>784</v>
      </c>
      <c r="S34" t="s">
        <v>789</v>
      </c>
      <c r="T34">
        <v>35466.54034</v>
      </c>
      <c r="U34" s="2">
        <v>44524</v>
      </c>
      <c r="V34" t="s">
        <v>804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35.41</v>
      </c>
      <c r="D35">
        <v>42</v>
      </c>
      <c r="E35">
        <v>0.843095238095238</v>
      </c>
      <c r="F35">
        <v>0.02485173679751483</v>
      </c>
      <c r="G35">
        <v>0.03472435795571416</v>
      </c>
      <c r="H35">
        <v>0.03</v>
      </c>
      <c r="I35">
        <v>0.08719959626232376</v>
      </c>
      <c r="J35" t="s">
        <v>780</v>
      </c>
      <c r="K35" t="s">
        <v>780</v>
      </c>
      <c r="L35">
        <v>3.25</v>
      </c>
      <c r="M35">
        <v>0.88</v>
      </c>
      <c r="N35">
        <v>0.2707692307692308</v>
      </c>
      <c r="O35">
        <v>28</v>
      </c>
      <c r="P35">
        <v>0.04941452284458392</v>
      </c>
      <c r="Q35">
        <v>0.26337177608337</v>
      </c>
      <c r="R35" t="s">
        <v>784</v>
      </c>
      <c r="S35" t="s">
        <v>791</v>
      </c>
      <c r="T35">
        <v>1123.168297</v>
      </c>
      <c r="U35" s="2">
        <v>44417</v>
      </c>
      <c r="V35" t="s">
        <v>806</v>
      </c>
    </row>
    <row r="36" spans="1:22">
      <c r="A36" s="1" t="s">
        <v>56</v>
      </c>
      <c r="B36">
        <f>HYPERLINK("https://www.suredividend.com/sure-analysis-MMM/","3M Co.")</f>
        <v>0</v>
      </c>
      <c r="C36">
        <v>178.31</v>
      </c>
      <c r="D36">
        <v>186</v>
      </c>
      <c r="E36">
        <v>0.9586559139784946</v>
      </c>
      <c r="F36">
        <v>0.03320060568672537</v>
      </c>
      <c r="G36">
        <v>0.008480369356660633</v>
      </c>
      <c r="H36">
        <v>0.05</v>
      </c>
      <c r="I36">
        <v>0.08557132339786233</v>
      </c>
      <c r="J36" t="s">
        <v>780</v>
      </c>
      <c r="K36" t="s">
        <v>780</v>
      </c>
      <c r="L36">
        <v>9.800000000000001</v>
      </c>
      <c r="M36">
        <v>5.92</v>
      </c>
      <c r="N36">
        <v>0.6040816326530611</v>
      </c>
      <c r="O36">
        <v>63</v>
      </c>
      <c r="P36">
        <v>0.02011987338221144</v>
      </c>
      <c r="Q36">
        <v>0.038239069046028</v>
      </c>
      <c r="R36" t="s">
        <v>784</v>
      </c>
      <c r="S36" t="s">
        <v>791</v>
      </c>
      <c r="T36">
        <v>101713.032112</v>
      </c>
      <c r="U36" s="2">
        <v>44496</v>
      </c>
      <c r="V36" t="s">
        <v>800</v>
      </c>
    </row>
    <row r="37" spans="1:22">
      <c r="A37" s="1" t="s">
        <v>57</v>
      </c>
      <c r="B37">
        <f>HYPERLINK("https://www.suredividend.com/sure-analysis-SWK/","Stanley Black &amp; Decker Inc")</f>
        <v>0</v>
      </c>
      <c r="C37">
        <v>191.44</v>
      </c>
      <c r="D37">
        <v>182</v>
      </c>
      <c r="E37">
        <v>1.051868131868132</v>
      </c>
      <c r="F37">
        <v>0.01650647722524029</v>
      </c>
      <c r="G37">
        <v>-0.0100625813185774</v>
      </c>
      <c r="H37">
        <v>0.08</v>
      </c>
      <c r="I37">
        <v>0.084676289974702</v>
      </c>
      <c r="J37" t="s">
        <v>780</v>
      </c>
      <c r="K37" t="s">
        <v>781</v>
      </c>
      <c r="L37">
        <v>11</v>
      </c>
      <c r="M37">
        <v>3.16</v>
      </c>
      <c r="N37">
        <v>0.2872727272727273</v>
      </c>
      <c r="O37">
        <v>54</v>
      </c>
      <c r="P37">
        <v>0.07985683020954282</v>
      </c>
      <c r="Q37">
        <v>0.105736722001499</v>
      </c>
      <c r="R37" t="s">
        <v>784</v>
      </c>
      <c r="S37" t="s">
        <v>791</v>
      </c>
      <c r="T37">
        <v>31299.115848</v>
      </c>
      <c r="U37" s="2">
        <v>44500</v>
      </c>
      <c r="V37" t="s">
        <v>800</v>
      </c>
    </row>
    <row r="38" spans="1:22">
      <c r="A38" s="1" t="s">
        <v>58</v>
      </c>
      <c r="B38">
        <f>HYPERLINK("https://www.suredividend.com/sure-analysis-MET/","Metlife Inc")</f>
        <v>0</v>
      </c>
      <c r="C38">
        <v>61.39</v>
      </c>
      <c r="D38">
        <v>77</v>
      </c>
      <c r="E38">
        <v>0.7972727272727272</v>
      </c>
      <c r="F38">
        <v>0.03127545202801759</v>
      </c>
      <c r="G38">
        <v>0.04635395058382685</v>
      </c>
      <c r="H38">
        <v>0.01</v>
      </c>
      <c r="I38">
        <v>0.08369234668829884</v>
      </c>
      <c r="J38" t="s">
        <v>780</v>
      </c>
      <c r="K38" t="s">
        <v>780</v>
      </c>
      <c r="L38">
        <v>8.5</v>
      </c>
      <c r="M38">
        <v>1.92</v>
      </c>
      <c r="N38">
        <v>0.2258823529411765</v>
      </c>
      <c r="O38">
        <v>9</v>
      </c>
      <c r="P38">
        <v>0.0403582746309219</v>
      </c>
      <c r="Q38">
        <v>0.358083409812052</v>
      </c>
      <c r="R38" t="s">
        <v>784</v>
      </c>
      <c r="S38" t="s">
        <v>793</v>
      </c>
      <c r="T38">
        <v>51159.362938</v>
      </c>
      <c r="U38" s="2">
        <v>44511</v>
      </c>
      <c r="V38" t="s">
        <v>803</v>
      </c>
    </row>
    <row r="39" spans="1:22">
      <c r="A39" s="1" t="s">
        <v>59</v>
      </c>
      <c r="B39">
        <f>HYPERLINK("https://www.suredividend.com/sure-analysis-CTBI/","Community Trust Bancorp, Inc.")</f>
        <v>0</v>
      </c>
      <c r="C39">
        <v>43.52</v>
      </c>
      <c r="D39">
        <v>48</v>
      </c>
      <c r="E39">
        <v>0.9066666666666667</v>
      </c>
      <c r="F39">
        <v>0.03676470588235294</v>
      </c>
      <c r="G39">
        <v>0.01978934521903875</v>
      </c>
      <c r="H39">
        <v>0.03</v>
      </c>
      <c r="I39">
        <v>0.08175734270773938</v>
      </c>
      <c r="J39" t="s">
        <v>780</v>
      </c>
      <c r="K39" t="s">
        <v>780</v>
      </c>
      <c r="L39">
        <v>4</v>
      </c>
      <c r="M39">
        <v>1.6</v>
      </c>
      <c r="N39">
        <v>0.4</v>
      </c>
      <c r="O39">
        <v>41</v>
      </c>
      <c r="P39">
        <v>0.03277941543624596</v>
      </c>
      <c r="Q39">
        <v>0.18933201862382</v>
      </c>
      <c r="R39" t="s">
        <v>784</v>
      </c>
      <c r="S39" t="s">
        <v>793</v>
      </c>
      <c r="T39">
        <v>766.181898</v>
      </c>
      <c r="U39" s="2">
        <v>44490</v>
      </c>
      <c r="V39" t="s">
        <v>807</v>
      </c>
    </row>
    <row r="40" spans="1:22">
      <c r="A40" s="1" t="s">
        <v>60</v>
      </c>
      <c r="B40">
        <f>HYPERLINK("https://www.suredividend.com/sure-analysis-NIDB/","Northeast Indiana Bancorp Inc.")</f>
        <v>0</v>
      </c>
      <c r="C40">
        <v>47</v>
      </c>
      <c r="D40">
        <v>54</v>
      </c>
      <c r="E40">
        <v>0.8703703703703703</v>
      </c>
      <c r="F40">
        <v>0.02553191489361702</v>
      </c>
      <c r="G40">
        <v>0.02815639324725039</v>
      </c>
      <c r="H40">
        <v>0.03</v>
      </c>
      <c r="I40">
        <v>0.08031639016689662</v>
      </c>
      <c r="J40" t="s">
        <v>780</v>
      </c>
      <c r="K40" t="s">
        <v>780</v>
      </c>
      <c r="L40">
        <v>6</v>
      </c>
      <c r="M40">
        <v>1.2</v>
      </c>
      <c r="N40">
        <v>0.2</v>
      </c>
      <c r="O40">
        <v>27</v>
      </c>
      <c r="P40">
        <v>0.02983277847878951</v>
      </c>
      <c r="Q40">
        <v>0.305193001943904</v>
      </c>
      <c r="R40" t="s">
        <v>784</v>
      </c>
      <c r="S40" t="s">
        <v>793</v>
      </c>
      <c r="T40">
        <v>56.655445</v>
      </c>
      <c r="U40" s="2">
        <v>44503</v>
      </c>
      <c r="V40" t="s">
        <v>800</v>
      </c>
    </row>
    <row r="41" spans="1:22">
      <c r="A41" s="1" t="s">
        <v>61</v>
      </c>
      <c r="B41">
        <f>HYPERLINK("https://www.suredividend.com/sure-analysis-SYY/","Sysco Corp.")</f>
        <v>0</v>
      </c>
      <c r="C41">
        <v>74.01000000000001</v>
      </c>
      <c r="D41">
        <v>69</v>
      </c>
      <c r="E41">
        <v>1.072608695652174</v>
      </c>
      <c r="F41">
        <v>0.02540197270639102</v>
      </c>
      <c r="G41">
        <v>-0.0139209379137063</v>
      </c>
      <c r="H41">
        <v>0.07000000000000001</v>
      </c>
      <c r="I41">
        <v>0.07987342140479869</v>
      </c>
      <c r="J41" t="s">
        <v>780</v>
      </c>
      <c r="K41" t="s">
        <v>781</v>
      </c>
      <c r="L41">
        <v>3.47</v>
      </c>
      <c r="M41">
        <v>1.88</v>
      </c>
      <c r="N41">
        <v>0.5417867435158501</v>
      </c>
      <c r="O41">
        <v>51</v>
      </c>
      <c r="P41">
        <v>0.07981721406627784</v>
      </c>
      <c r="Q41">
        <v>0.027334509870374</v>
      </c>
      <c r="R41" t="s">
        <v>784</v>
      </c>
      <c r="S41" t="s">
        <v>795</v>
      </c>
      <c r="T41">
        <v>38228.783498</v>
      </c>
      <c r="U41" s="2">
        <v>44513</v>
      </c>
      <c r="V41" t="s">
        <v>801</v>
      </c>
    </row>
    <row r="42" spans="1:22">
      <c r="A42" s="1" t="s">
        <v>62</v>
      </c>
      <c r="B42">
        <f>HYPERLINK("https://www.suredividend.com/sure-analysis-BRC/","Brady Corp.")</f>
        <v>0</v>
      </c>
      <c r="C42">
        <v>53.02</v>
      </c>
      <c r="D42">
        <v>57</v>
      </c>
      <c r="E42">
        <v>0.9301754385964913</v>
      </c>
      <c r="F42">
        <v>0.01697472651829498</v>
      </c>
      <c r="G42">
        <v>0.01458170413101101</v>
      </c>
      <c r="H42">
        <v>0.05</v>
      </c>
      <c r="I42">
        <v>0.0789188431137775</v>
      </c>
      <c r="J42" t="s">
        <v>780</v>
      </c>
      <c r="K42" t="s">
        <v>781</v>
      </c>
      <c r="L42">
        <v>3</v>
      </c>
      <c r="M42">
        <v>0.9</v>
      </c>
      <c r="N42">
        <v>0.3</v>
      </c>
      <c r="O42">
        <v>36</v>
      </c>
      <c r="P42">
        <v>0.01924487649145656</v>
      </c>
      <c r="Q42">
        <v>0.107306508796575</v>
      </c>
      <c r="R42" t="s">
        <v>784</v>
      </c>
      <c r="S42" t="s">
        <v>791</v>
      </c>
      <c r="T42">
        <v>2558.062253</v>
      </c>
      <c r="U42" s="2">
        <v>44519</v>
      </c>
      <c r="V42" t="s">
        <v>800</v>
      </c>
    </row>
    <row r="43" spans="1:22">
      <c r="A43" s="1" t="s">
        <v>63</v>
      </c>
      <c r="B43">
        <f>HYPERLINK("https://www.suredividend.com/sure-analysis-EBTC/","Enterprise Bancorp, Inc.")</f>
        <v>0</v>
      </c>
      <c r="C43">
        <v>38.84</v>
      </c>
      <c r="D43">
        <v>41</v>
      </c>
      <c r="E43">
        <v>0.9473170731707318</v>
      </c>
      <c r="F43">
        <v>0.01905252317198764</v>
      </c>
      <c r="G43">
        <v>0.01088307917009113</v>
      </c>
      <c r="H43">
        <v>0.05</v>
      </c>
      <c r="I43">
        <v>0.0788909244497209</v>
      </c>
      <c r="J43" t="s">
        <v>780</v>
      </c>
      <c r="K43" t="s">
        <v>781</v>
      </c>
      <c r="L43">
        <v>3.4</v>
      </c>
      <c r="M43">
        <v>0.74</v>
      </c>
      <c r="N43">
        <v>0.2176470588235294</v>
      </c>
      <c r="O43">
        <v>27</v>
      </c>
      <c r="P43">
        <v>0.06207125806326297</v>
      </c>
      <c r="Q43">
        <v>0.41427739500692</v>
      </c>
      <c r="R43" t="s">
        <v>784</v>
      </c>
      <c r="S43" t="s">
        <v>793</v>
      </c>
      <c r="T43">
        <v>449.816719</v>
      </c>
      <c r="U43" s="2">
        <v>44494</v>
      </c>
      <c r="V43" t="s">
        <v>807</v>
      </c>
    </row>
    <row r="44" spans="1:22">
      <c r="A44" s="1" t="s">
        <v>64</v>
      </c>
      <c r="B44">
        <f>HYPERLINK("https://www.suredividend.com/sure-analysis-WMT/","Walmart Inc")</f>
        <v>0</v>
      </c>
      <c r="C44">
        <v>143.34</v>
      </c>
      <c r="D44">
        <v>154</v>
      </c>
      <c r="E44">
        <v>0.9307792207792208</v>
      </c>
      <c r="F44">
        <v>0.01534812334310032</v>
      </c>
      <c r="G44">
        <v>0.01445004125022575</v>
      </c>
      <c r="H44">
        <v>0.05</v>
      </c>
      <c r="I44">
        <v>0.07866780008478003</v>
      </c>
      <c r="J44" t="s">
        <v>780</v>
      </c>
      <c r="K44" t="s">
        <v>781</v>
      </c>
      <c r="L44">
        <v>6.4</v>
      </c>
      <c r="M44">
        <v>2.2</v>
      </c>
      <c r="N44">
        <v>0.34375</v>
      </c>
      <c r="O44">
        <v>48</v>
      </c>
      <c r="P44">
        <v>0.05016303610438722</v>
      </c>
      <c r="Q44">
        <v>0.017228758188178</v>
      </c>
      <c r="R44" t="s">
        <v>784</v>
      </c>
      <c r="S44" t="s">
        <v>795</v>
      </c>
      <c r="T44">
        <v>404348.262823</v>
      </c>
      <c r="U44" s="2">
        <v>44534</v>
      </c>
      <c r="V44" t="s">
        <v>804</v>
      </c>
    </row>
    <row r="45" spans="1:22">
      <c r="A45" s="1" t="s">
        <v>65</v>
      </c>
      <c r="B45">
        <f>HYPERLINK("https://www.suredividend.com/sure-analysis-CP/","Canadian Pacific Railway Ltd")</f>
        <v>0</v>
      </c>
      <c r="C45">
        <v>73.86</v>
      </c>
      <c r="D45">
        <v>64</v>
      </c>
      <c r="E45">
        <v>1.1540625</v>
      </c>
      <c r="F45">
        <v>0.0082588681288925</v>
      </c>
      <c r="G45">
        <v>-0.02825092895674175</v>
      </c>
      <c r="H45">
        <v>0.1</v>
      </c>
      <c r="I45">
        <v>0.07857436506833992</v>
      </c>
      <c r="J45" t="s">
        <v>780</v>
      </c>
      <c r="K45" t="s">
        <v>529</v>
      </c>
      <c r="L45">
        <v>3.06</v>
      </c>
      <c r="M45">
        <v>0.61</v>
      </c>
      <c r="N45">
        <v>0.1993464052287582</v>
      </c>
      <c r="O45">
        <v>5</v>
      </c>
      <c r="P45">
        <v>0.1505753231079818</v>
      </c>
      <c r="Q45">
        <v>0.09969021759414701</v>
      </c>
      <c r="R45" t="s">
        <v>784</v>
      </c>
      <c r="S45" t="s">
        <v>791</v>
      </c>
      <c r="T45">
        <v>68472.376128</v>
      </c>
      <c r="U45" s="2">
        <v>44491</v>
      </c>
      <c r="V45" t="s">
        <v>809</v>
      </c>
    </row>
    <row r="46" spans="1:22">
      <c r="A46" s="1" t="s">
        <v>66</v>
      </c>
      <c r="B46">
        <f>HYPERLINK("https://www.suredividend.com/sure-analysis-SEIC/","SEI Investments Co.")</f>
        <v>0</v>
      </c>
      <c r="C46">
        <v>62.36</v>
      </c>
      <c r="D46">
        <v>64</v>
      </c>
      <c r="E46">
        <v>0.974375</v>
      </c>
      <c r="F46">
        <v>0.01282873636946761</v>
      </c>
      <c r="G46">
        <v>0.005205308622699967</v>
      </c>
      <c r="H46">
        <v>0.06</v>
      </c>
      <c r="I46">
        <v>0.07728320090842078</v>
      </c>
      <c r="J46" t="s">
        <v>780</v>
      </c>
      <c r="K46" t="s">
        <v>781</v>
      </c>
      <c r="L46">
        <v>3.75</v>
      </c>
      <c r="M46">
        <v>0.8</v>
      </c>
      <c r="N46">
        <v>0.2133333333333333</v>
      </c>
      <c r="O46">
        <v>31</v>
      </c>
      <c r="P46">
        <v>0.06381792112252427</v>
      </c>
      <c r="Q46">
        <v>0.116011498408766</v>
      </c>
      <c r="R46" t="s">
        <v>784</v>
      </c>
      <c r="S46" t="s">
        <v>793</v>
      </c>
      <c r="T46">
        <v>8694.863810999999</v>
      </c>
      <c r="U46" s="2">
        <v>44493</v>
      </c>
      <c r="V46" t="s">
        <v>804</v>
      </c>
    </row>
    <row r="47" spans="1:22">
      <c r="A47" s="1" t="s">
        <v>67</v>
      </c>
      <c r="B47">
        <f>HYPERLINK("https://www.suredividend.com/sure-analysis-BKH/","Black Hills Corporation")</f>
        <v>0</v>
      </c>
      <c r="C47">
        <v>69.22</v>
      </c>
      <c r="D47">
        <v>71</v>
      </c>
      <c r="E47">
        <v>0.9749295774647887</v>
      </c>
      <c r="F47">
        <v>0.03438312626408552</v>
      </c>
      <c r="G47">
        <v>0.005090922699719336</v>
      </c>
      <c r="H47">
        <v>0.04</v>
      </c>
      <c r="I47">
        <v>0.07677589428774034</v>
      </c>
      <c r="J47" t="s">
        <v>780</v>
      </c>
      <c r="K47" t="s">
        <v>780</v>
      </c>
      <c r="L47">
        <v>3.92</v>
      </c>
      <c r="M47">
        <v>2.38</v>
      </c>
      <c r="N47">
        <v>0.6071428571428571</v>
      </c>
      <c r="O47">
        <v>50</v>
      </c>
      <c r="P47">
        <v>0.05016931709648742</v>
      </c>
      <c r="Q47">
        <v>0.194101181129241</v>
      </c>
      <c r="R47" t="s">
        <v>784</v>
      </c>
      <c r="S47" t="s">
        <v>796</v>
      </c>
      <c r="T47">
        <v>4441.079689</v>
      </c>
      <c r="U47" s="2">
        <v>44533</v>
      </c>
      <c r="V47" t="s">
        <v>802</v>
      </c>
    </row>
    <row r="48" spans="1:22">
      <c r="A48" s="1" t="s">
        <v>68</v>
      </c>
      <c r="B48">
        <f>HYPERLINK("https://www.suredividend.com/sure-analysis-ABC/","Amerisource Bergen Corp.")</f>
        <v>0</v>
      </c>
      <c r="C48">
        <v>123.98</v>
      </c>
      <c r="D48">
        <v>138</v>
      </c>
      <c r="E48">
        <v>0.8984057971014493</v>
      </c>
      <c r="F48">
        <v>0.0148411034037748</v>
      </c>
      <c r="G48">
        <v>0.02165788431126203</v>
      </c>
      <c r="H48">
        <v>0.04</v>
      </c>
      <c r="I48">
        <v>0.07648037493507598</v>
      </c>
      <c r="J48" t="s">
        <v>780</v>
      </c>
      <c r="K48" t="s">
        <v>781</v>
      </c>
      <c r="L48">
        <v>10.65</v>
      </c>
      <c r="M48">
        <v>1.84</v>
      </c>
      <c r="N48">
        <v>0.1727699530516432</v>
      </c>
      <c r="O48">
        <v>18</v>
      </c>
      <c r="P48">
        <v>0.06994234673120125</v>
      </c>
      <c r="Q48">
        <v>0.268937432782814</v>
      </c>
      <c r="R48" t="s">
        <v>784</v>
      </c>
      <c r="S48" t="s">
        <v>789</v>
      </c>
      <c r="T48">
        <v>25760.666091</v>
      </c>
      <c r="U48" s="2">
        <v>44511</v>
      </c>
      <c r="V48" t="s">
        <v>803</v>
      </c>
    </row>
    <row r="49" spans="1:22">
      <c r="A49" s="1" t="s">
        <v>69</v>
      </c>
      <c r="B49">
        <f>HYPERLINK("https://www.suredividend.com/sure-analysis-V/","Visa Inc")</f>
        <v>0</v>
      </c>
      <c r="C49">
        <v>214.37</v>
      </c>
      <c r="D49">
        <v>178</v>
      </c>
      <c r="E49">
        <v>1.204325842696629</v>
      </c>
      <c r="F49">
        <v>0.00699724774921864</v>
      </c>
      <c r="G49">
        <v>-0.03650115390663755</v>
      </c>
      <c r="H49">
        <v>0.11</v>
      </c>
      <c r="I49">
        <v>0.0764694384980098</v>
      </c>
      <c r="J49" t="s">
        <v>780</v>
      </c>
      <c r="K49" t="s">
        <v>352</v>
      </c>
      <c r="L49">
        <v>7.1</v>
      </c>
      <c r="M49">
        <v>1.5</v>
      </c>
      <c r="N49">
        <v>0.2112676056338028</v>
      </c>
      <c r="O49">
        <v>14</v>
      </c>
      <c r="P49">
        <v>0.09487401536266371</v>
      </c>
      <c r="Q49">
        <v>0.025216828216424</v>
      </c>
      <c r="R49" t="s">
        <v>784</v>
      </c>
      <c r="S49" t="s">
        <v>793</v>
      </c>
      <c r="T49">
        <v>467931.24</v>
      </c>
      <c r="U49" s="2">
        <v>44497</v>
      </c>
      <c r="V49" t="s">
        <v>803</v>
      </c>
    </row>
    <row r="50" spans="1:22">
      <c r="A50" s="1" t="s">
        <v>70</v>
      </c>
      <c r="B50">
        <f>HYPERLINK("https://www.suredividend.com/sure-analysis-JNJ/","Johnson &amp; Johnson")</f>
        <v>0</v>
      </c>
      <c r="C50">
        <v>173.01</v>
      </c>
      <c r="D50">
        <v>167</v>
      </c>
      <c r="E50">
        <v>1.035988023952096</v>
      </c>
      <c r="F50">
        <v>0.02450725391595862</v>
      </c>
      <c r="G50">
        <v>-0.007046175252273912</v>
      </c>
      <c r="H50">
        <v>0.06</v>
      </c>
      <c r="I50">
        <v>0.07537147876420391</v>
      </c>
      <c r="J50" t="s">
        <v>780</v>
      </c>
      <c r="K50" t="s">
        <v>780</v>
      </c>
      <c r="L50">
        <v>9.800000000000001</v>
      </c>
      <c r="M50">
        <v>4.24</v>
      </c>
      <c r="N50">
        <v>0.4326530612244898</v>
      </c>
      <c r="O50">
        <v>59</v>
      </c>
      <c r="P50">
        <v>0.05984764821935884</v>
      </c>
      <c r="Q50">
        <v>0.165259286191874</v>
      </c>
      <c r="R50" t="s">
        <v>784</v>
      </c>
      <c r="S50" t="s">
        <v>789</v>
      </c>
      <c r="T50">
        <v>450542.645275</v>
      </c>
      <c r="U50" s="2">
        <v>44489</v>
      </c>
      <c r="V50" t="s">
        <v>800</v>
      </c>
    </row>
    <row r="51" spans="1:22">
      <c r="A51" s="1" t="s">
        <v>71</v>
      </c>
      <c r="B51">
        <f>HYPERLINK("https://www.suredividend.com/sure-analysis-AFL/","Aflac Inc.")</f>
        <v>0</v>
      </c>
      <c r="C51">
        <v>57.9</v>
      </c>
      <c r="D51">
        <v>61</v>
      </c>
      <c r="E51">
        <v>0.9491803278688524</v>
      </c>
      <c r="F51">
        <v>0.02763385146804836</v>
      </c>
      <c r="G51">
        <v>0.01048589155542667</v>
      </c>
      <c r="H51">
        <v>0.04</v>
      </c>
      <c r="I51">
        <v>0.07537139257811898</v>
      </c>
      <c r="J51" t="s">
        <v>780</v>
      </c>
      <c r="K51" t="s">
        <v>780</v>
      </c>
      <c r="L51">
        <v>6.1</v>
      </c>
      <c r="M51">
        <v>1.6</v>
      </c>
      <c r="N51">
        <v>0.2622950819672131</v>
      </c>
      <c r="O51">
        <v>40</v>
      </c>
      <c r="P51">
        <v>0.04142312668144399</v>
      </c>
      <c r="Q51">
        <v>0.300530189988525</v>
      </c>
      <c r="R51" t="s">
        <v>784</v>
      </c>
      <c r="S51" t="s">
        <v>793</v>
      </c>
      <c r="T51">
        <v>37938.64336</v>
      </c>
      <c r="U51" s="2">
        <v>44497</v>
      </c>
      <c r="V51" t="s">
        <v>803</v>
      </c>
    </row>
    <row r="52" spans="1:22">
      <c r="A52" s="1" t="s">
        <v>72</v>
      </c>
      <c r="B52">
        <f>HYPERLINK("https://www.suredividend.com/sure-analysis-ROP/","Roper Technologies Inc")</f>
        <v>0</v>
      </c>
      <c r="C52">
        <v>486.95</v>
      </c>
      <c r="D52">
        <v>423</v>
      </c>
      <c r="E52">
        <v>1.151182033096927</v>
      </c>
      <c r="F52">
        <v>0.005092925351678817</v>
      </c>
      <c r="G52">
        <v>-0.02776511635344747</v>
      </c>
      <c r="H52">
        <v>0.1</v>
      </c>
      <c r="I52">
        <v>0.07463374710789639</v>
      </c>
      <c r="J52" t="s">
        <v>780</v>
      </c>
      <c r="K52" t="s">
        <v>352</v>
      </c>
      <c r="L52">
        <v>14.1</v>
      </c>
      <c r="M52">
        <v>2.48</v>
      </c>
      <c r="N52">
        <v>0.175886524822695</v>
      </c>
      <c r="O52">
        <v>29</v>
      </c>
      <c r="P52">
        <v>0.09977601258252333</v>
      </c>
      <c r="Q52">
        <v>0.130967157918186</v>
      </c>
      <c r="R52" t="s">
        <v>784</v>
      </c>
      <c r="S52" t="s">
        <v>791</v>
      </c>
      <c r="T52">
        <v>50525.431475</v>
      </c>
      <c r="U52" s="2">
        <v>44494</v>
      </c>
      <c r="V52" t="s">
        <v>799</v>
      </c>
    </row>
    <row r="53" spans="1:22">
      <c r="A53" s="1" t="s">
        <v>73</v>
      </c>
      <c r="B53">
        <f>HYPERLINK("https://www.suredividend.com/sure-analysis-EMR/","Emerson Electric Co.")</f>
        <v>0</v>
      </c>
      <c r="C53">
        <v>93.89</v>
      </c>
      <c r="D53">
        <v>92</v>
      </c>
      <c r="E53">
        <v>1.02054347826087</v>
      </c>
      <c r="F53">
        <v>0.02194056875066567</v>
      </c>
      <c r="G53">
        <v>-0.004058802150699425</v>
      </c>
      <c r="H53">
        <v>0.06</v>
      </c>
      <c r="I53">
        <v>0.07435467770644122</v>
      </c>
      <c r="J53" t="s">
        <v>780</v>
      </c>
      <c r="K53" t="s">
        <v>780</v>
      </c>
      <c r="L53">
        <v>4.85</v>
      </c>
      <c r="M53">
        <v>2.06</v>
      </c>
      <c r="N53">
        <v>0.4247422680412372</v>
      </c>
      <c r="O53">
        <v>65</v>
      </c>
      <c r="P53">
        <v>0.03016344758557654</v>
      </c>
      <c r="Q53">
        <v>0.149297073401079</v>
      </c>
      <c r="R53" t="s">
        <v>784</v>
      </c>
      <c r="S53" t="s">
        <v>791</v>
      </c>
      <c r="T53">
        <v>55165.077</v>
      </c>
      <c r="U53" s="2">
        <v>44524</v>
      </c>
      <c r="V53" t="s">
        <v>804</v>
      </c>
    </row>
    <row r="54" spans="1:22">
      <c r="A54" s="1" t="s">
        <v>74</v>
      </c>
      <c r="B54">
        <f>HYPERLINK("https://www.suredividend.com/sure-analysis-FMCB/","Farmers &amp; Merchants Bancorp")</f>
        <v>0</v>
      </c>
      <c r="C54">
        <v>964</v>
      </c>
      <c r="D54">
        <v>1008</v>
      </c>
      <c r="E54">
        <v>0.9563492063492064</v>
      </c>
      <c r="F54">
        <v>0.01587136929460581</v>
      </c>
      <c r="G54">
        <v>0.008966390197359786</v>
      </c>
      <c r="H54">
        <v>0.05</v>
      </c>
      <c r="I54">
        <v>0.0736485408239631</v>
      </c>
      <c r="J54" t="s">
        <v>780</v>
      </c>
      <c r="K54" t="s">
        <v>781</v>
      </c>
      <c r="L54">
        <v>84</v>
      </c>
      <c r="M54">
        <v>15.3</v>
      </c>
      <c r="N54">
        <v>0.1821428571428572</v>
      </c>
      <c r="O54">
        <v>56</v>
      </c>
      <c r="P54">
        <v>0.0500311005456211</v>
      </c>
      <c r="Q54">
        <v>0.340338502210654</v>
      </c>
      <c r="R54" t="s">
        <v>784</v>
      </c>
      <c r="S54" t="s">
        <v>793</v>
      </c>
      <c r="T54">
        <v>764.409584</v>
      </c>
      <c r="U54" s="2">
        <v>44498</v>
      </c>
      <c r="V54" t="s">
        <v>807</v>
      </c>
    </row>
    <row r="55" spans="1:22">
      <c r="A55" s="1" t="s">
        <v>75</v>
      </c>
      <c r="B55">
        <f>HYPERLINK("https://www.suredividend.com/sure-analysis-AIZ/","Assurant Inc")</f>
        <v>0</v>
      </c>
      <c r="C55">
        <v>153.79</v>
      </c>
      <c r="D55">
        <v>138</v>
      </c>
      <c r="E55">
        <v>1.114420289855072</v>
      </c>
      <c r="F55">
        <v>0.01768645555627804</v>
      </c>
      <c r="G55">
        <v>-0.02143382955052486</v>
      </c>
      <c r="H55">
        <v>0.08</v>
      </c>
      <c r="I55">
        <v>0.07327551220123318</v>
      </c>
      <c r="J55" t="s">
        <v>780</v>
      </c>
      <c r="K55" t="s">
        <v>781</v>
      </c>
      <c r="L55">
        <v>10</v>
      </c>
      <c r="M55">
        <v>2.72</v>
      </c>
      <c r="N55">
        <v>0.272</v>
      </c>
      <c r="O55">
        <v>17</v>
      </c>
      <c r="P55">
        <v>0.06000153927394081</v>
      </c>
      <c r="Q55">
        <v>0.174994392211413</v>
      </c>
      <c r="R55" t="s">
        <v>784</v>
      </c>
      <c r="S55" t="s">
        <v>793</v>
      </c>
      <c r="T55">
        <v>8744.785297</v>
      </c>
      <c r="U55" s="2">
        <v>44512</v>
      </c>
      <c r="V55" t="s">
        <v>807</v>
      </c>
    </row>
    <row r="56" spans="1:22">
      <c r="A56" s="1" t="s">
        <v>76</v>
      </c>
      <c r="B56">
        <f>HYPERLINK("https://www.suredividend.com/sure-analysis-MDT/","Medtronic Plc")</f>
        <v>0</v>
      </c>
      <c r="C56">
        <v>102.21</v>
      </c>
      <c r="D56">
        <v>97</v>
      </c>
      <c r="E56">
        <v>1.053711340206186</v>
      </c>
      <c r="F56">
        <v>0.02465512180804227</v>
      </c>
      <c r="G56">
        <v>-0.01040915421649902</v>
      </c>
      <c r="H56">
        <v>0.06</v>
      </c>
      <c r="I56">
        <v>0.07325541555148485</v>
      </c>
      <c r="J56" t="s">
        <v>780</v>
      </c>
      <c r="K56" t="s">
        <v>781</v>
      </c>
      <c r="L56">
        <v>5.7</v>
      </c>
      <c r="M56">
        <v>2.52</v>
      </c>
      <c r="N56">
        <v>0.4421052631578947</v>
      </c>
      <c r="O56">
        <v>44</v>
      </c>
      <c r="P56">
        <v>0.07513154857768045</v>
      </c>
      <c r="Q56">
        <v>-0.068219574847433</v>
      </c>
      <c r="R56" t="s">
        <v>784</v>
      </c>
      <c r="S56" t="s">
        <v>789</v>
      </c>
      <c r="T56">
        <v>141097.893853</v>
      </c>
      <c r="U56" s="2">
        <v>44525</v>
      </c>
      <c r="V56" t="s">
        <v>803</v>
      </c>
    </row>
    <row r="57" spans="1:22">
      <c r="A57" s="1" t="s">
        <v>77</v>
      </c>
      <c r="B57">
        <f>HYPERLINK("https://www.suredividend.com/sure-analysis-ANTM/","Anthem Inc")</f>
        <v>0</v>
      </c>
      <c r="C57">
        <v>447.88</v>
      </c>
      <c r="D57">
        <v>388</v>
      </c>
      <c r="E57">
        <v>1.154329896907216</v>
      </c>
      <c r="F57">
        <v>0.01009198892560507</v>
      </c>
      <c r="G57">
        <v>-0.02829595365495485</v>
      </c>
      <c r="H57">
        <v>0.09</v>
      </c>
      <c r="I57">
        <v>0.06941490038916998</v>
      </c>
      <c r="J57" t="s">
        <v>780</v>
      </c>
      <c r="K57" t="s">
        <v>352</v>
      </c>
      <c r="L57">
        <v>25.85</v>
      </c>
      <c r="M57">
        <v>4.52</v>
      </c>
      <c r="N57">
        <v>0.1748549323017408</v>
      </c>
      <c r="O57">
        <v>11</v>
      </c>
      <c r="P57">
        <v>0.0898563876885603</v>
      </c>
      <c r="Q57">
        <v>0.4333225188940311</v>
      </c>
      <c r="R57" t="s">
        <v>784</v>
      </c>
      <c r="S57" t="s">
        <v>789</v>
      </c>
      <c r="T57">
        <v>107658.521687</v>
      </c>
      <c r="U57" s="2">
        <v>44490</v>
      </c>
      <c r="V57" t="s">
        <v>800</v>
      </c>
    </row>
    <row r="58" spans="1:22">
      <c r="A58" s="1" t="s">
        <v>78</v>
      </c>
      <c r="B58">
        <f>HYPERLINK("https://www.suredividend.com/sure-analysis-TGT/","Target Corp")</f>
        <v>0</v>
      </c>
      <c r="C58">
        <v>224.78</v>
      </c>
      <c r="D58">
        <v>239</v>
      </c>
      <c r="E58">
        <v>0.9405020920502092</v>
      </c>
      <c r="F58">
        <v>0.01601565975620607</v>
      </c>
      <c r="G58">
        <v>0.01234384522721665</v>
      </c>
      <c r="H58">
        <v>0.04</v>
      </c>
      <c r="I58">
        <v>0.06797788937560734</v>
      </c>
      <c r="J58" t="s">
        <v>780</v>
      </c>
      <c r="K58" t="s">
        <v>781</v>
      </c>
      <c r="L58">
        <v>13.25</v>
      </c>
      <c r="M58">
        <v>3.6</v>
      </c>
      <c r="N58">
        <v>0.2716981132075472</v>
      </c>
      <c r="O58">
        <v>54</v>
      </c>
      <c r="P58">
        <v>0.06010506010596317</v>
      </c>
      <c r="Q58">
        <v>0.394594524514867</v>
      </c>
      <c r="R58" t="s">
        <v>784</v>
      </c>
      <c r="S58" t="s">
        <v>795</v>
      </c>
      <c r="T58">
        <v>113384.675195</v>
      </c>
      <c r="U58" s="2">
        <v>44536</v>
      </c>
      <c r="V58" t="s">
        <v>804</v>
      </c>
    </row>
    <row r="59" spans="1:22">
      <c r="A59" s="1" t="s">
        <v>79</v>
      </c>
      <c r="B59">
        <f>HYPERLINK("https://www.suredividend.com/sure-analysis-CPKF/","Chesapeake Financial Shares Inc")</f>
        <v>0</v>
      </c>
      <c r="C59">
        <v>29.75</v>
      </c>
      <c r="D59">
        <v>38</v>
      </c>
      <c r="E59">
        <v>0.7828947368421053</v>
      </c>
      <c r="F59">
        <v>0.01882352941176471</v>
      </c>
      <c r="G59">
        <v>0.05016931709648742</v>
      </c>
      <c r="H59">
        <v>0</v>
      </c>
      <c r="I59">
        <v>0.06703342292770875</v>
      </c>
      <c r="J59" t="s">
        <v>780</v>
      </c>
      <c r="K59" t="s">
        <v>781</v>
      </c>
      <c r="L59">
        <v>3.6</v>
      </c>
      <c r="M59">
        <v>0.5600000000000001</v>
      </c>
      <c r="N59">
        <v>0.1555555555555556</v>
      </c>
      <c r="O59">
        <v>29</v>
      </c>
      <c r="P59">
        <v>0.03959498820755258</v>
      </c>
      <c r="Q59">
        <v>0.4917664520528711</v>
      </c>
      <c r="R59" t="s">
        <v>784</v>
      </c>
      <c r="S59" t="s">
        <v>793</v>
      </c>
      <c r="T59">
        <v>141.021664</v>
      </c>
      <c r="U59" s="2">
        <v>44507</v>
      </c>
      <c r="V59" t="s">
        <v>804</v>
      </c>
    </row>
    <row r="60" spans="1:22">
      <c r="A60" s="1" t="s">
        <v>80</v>
      </c>
      <c r="B60">
        <f>HYPERLINK("https://www.suredividend.com/sure-analysis-TMO/","Thermo Fisher Scientific Inc.")</f>
        <v>0</v>
      </c>
      <c r="C60">
        <v>661.25</v>
      </c>
      <c r="D60">
        <v>561</v>
      </c>
      <c r="E60">
        <v>1.178698752228164</v>
      </c>
      <c r="F60">
        <v>0.001572778827977316</v>
      </c>
      <c r="G60">
        <v>-0.03234747268280358</v>
      </c>
      <c r="H60">
        <v>0.1</v>
      </c>
      <c r="I60">
        <v>0.06630999134059912</v>
      </c>
      <c r="J60" t="s">
        <v>780</v>
      </c>
      <c r="K60" t="s">
        <v>529</v>
      </c>
      <c r="L60">
        <v>23.37</v>
      </c>
      <c r="M60">
        <v>1.04</v>
      </c>
      <c r="N60">
        <v>0.04450149764655541</v>
      </c>
      <c r="O60">
        <v>4</v>
      </c>
      <c r="P60">
        <v>0.1498007546802556</v>
      </c>
      <c r="Q60">
        <v>0.395081366981457</v>
      </c>
      <c r="R60" t="s">
        <v>784</v>
      </c>
      <c r="S60" t="s">
        <v>789</v>
      </c>
      <c r="T60">
        <v>258393.092569</v>
      </c>
      <c r="U60" s="2">
        <v>44499</v>
      </c>
      <c r="V60" t="s">
        <v>799</v>
      </c>
    </row>
    <row r="61" spans="1:22">
      <c r="A61" s="1" t="s">
        <v>81</v>
      </c>
      <c r="B61">
        <f>HYPERLINK("https://www.suredividend.com/sure-analysis-SON/","Sonoco Products Co.")</f>
        <v>0</v>
      </c>
      <c r="C61">
        <v>59.58</v>
      </c>
      <c r="D61">
        <v>56</v>
      </c>
      <c r="E61">
        <v>1.063928571428571</v>
      </c>
      <c r="F61">
        <v>0.03021148036253777</v>
      </c>
      <c r="G61">
        <v>-0.01231716631578827</v>
      </c>
      <c r="H61">
        <v>0.05</v>
      </c>
      <c r="I61">
        <v>0.06576352156918519</v>
      </c>
      <c r="J61" t="s">
        <v>780</v>
      </c>
      <c r="K61" t="s">
        <v>780</v>
      </c>
      <c r="L61">
        <v>3.52</v>
      </c>
      <c r="M61">
        <v>1.8</v>
      </c>
      <c r="N61">
        <v>0.5113636363636364</v>
      </c>
      <c r="O61">
        <v>38</v>
      </c>
      <c r="P61">
        <v>0.05024607263868264</v>
      </c>
      <c r="Q61">
        <v>0.010090643019769</v>
      </c>
      <c r="R61" t="s">
        <v>784</v>
      </c>
      <c r="S61" t="s">
        <v>792</v>
      </c>
      <c r="T61">
        <v>5806.168487</v>
      </c>
      <c r="U61" s="2">
        <v>44491</v>
      </c>
      <c r="V61" t="s">
        <v>800</v>
      </c>
    </row>
    <row r="62" spans="1:22">
      <c r="A62" s="1" t="s">
        <v>82</v>
      </c>
      <c r="B62">
        <f>HYPERLINK("https://www.suredividend.com/sure-analysis-KO/","Coca-Cola Co")</f>
        <v>0</v>
      </c>
      <c r="C62">
        <v>58.65</v>
      </c>
      <c r="D62">
        <v>53</v>
      </c>
      <c r="E62">
        <v>1.106603773584906</v>
      </c>
      <c r="F62">
        <v>0.02864450127877238</v>
      </c>
      <c r="G62">
        <v>-0.02005529493209135</v>
      </c>
      <c r="H62">
        <v>0.06</v>
      </c>
      <c r="I62">
        <v>0.06505945583209938</v>
      </c>
      <c r="J62" t="s">
        <v>780</v>
      </c>
      <c r="K62" t="s">
        <v>781</v>
      </c>
      <c r="L62">
        <v>2.3</v>
      </c>
      <c r="M62">
        <v>1.68</v>
      </c>
      <c r="N62">
        <v>0.7304347826086957</v>
      </c>
      <c r="O62">
        <v>59</v>
      </c>
      <c r="P62">
        <v>0.03959498820755258</v>
      </c>
      <c r="Q62">
        <v>0.112377740949717</v>
      </c>
      <c r="R62" t="s">
        <v>784</v>
      </c>
      <c r="S62" t="s">
        <v>795</v>
      </c>
      <c r="T62">
        <v>250785.538902</v>
      </c>
      <c r="U62" s="2">
        <v>44512</v>
      </c>
      <c r="V62" t="s">
        <v>804</v>
      </c>
    </row>
    <row r="63" spans="1:22">
      <c r="A63" s="1" t="s">
        <v>83</v>
      </c>
      <c r="B63">
        <f>HYPERLINK("https://www.suredividend.com/sure-analysis-QCOM/","Qualcomm, Inc.")</f>
        <v>0</v>
      </c>
      <c r="C63">
        <v>178.15</v>
      </c>
      <c r="D63">
        <v>162</v>
      </c>
      <c r="E63">
        <v>1.099691358024691</v>
      </c>
      <c r="F63">
        <v>0.01526803255683413</v>
      </c>
      <c r="G63">
        <v>-0.01882643784830451</v>
      </c>
      <c r="H63">
        <v>0.07000000000000001</v>
      </c>
      <c r="I63">
        <v>0.06487413153590604</v>
      </c>
      <c r="J63" t="s">
        <v>780</v>
      </c>
      <c r="K63" t="s">
        <v>352</v>
      </c>
      <c r="L63">
        <v>10.14</v>
      </c>
      <c r="M63">
        <v>2.72</v>
      </c>
      <c r="N63">
        <v>0.2682445759368836</v>
      </c>
      <c r="O63">
        <v>19</v>
      </c>
      <c r="P63">
        <v>0.06972270615977982</v>
      </c>
      <c r="Q63">
        <v>0.299330701904925</v>
      </c>
      <c r="R63" t="s">
        <v>784</v>
      </c>
      <c r="S63" t="s">
        <v>790</v>
      </c>
      <c r="T63">
        <v>211993.6</v>
      </c>
      <c r="U63" s="2">
        <v>44505</v>
      </c>
      <c r="V63" t="s">
        <v>800</v>
      </c>
    </row>
    <row r="64" spans="1:22">
      <c r="A64" s="1" t="s">
        <v>84</v>
      </c>
      <c r="B64">
        <f>HYPERLINK("https://www.suredividend.com/sure-analysis-ABBV/","Abbvie Inc")</f>
        <v>0</v>
      </c>
      <c r="C64">
        <v>131.78</v>
      </c>
      <c r="D64">
        <v>127</v>
      </c>
      <c r="E64">
        <v>1.037637795275591</v>
      </c>
      <c r="F64">
        <v>0.04279860373349521</v>
      </c>
      <c r="G64">
        <v>-0.007362121638077923</v>
      </c>
      <c r="H64">
        <v>0.03</v>
      </c>
      <c r="I64">
        <v>0.06429780310452937</v>
      </c>
      <c r="J64" t="s">
        <v>780</v>
      </c>
      <c r="K64" t="s">
        <v>780</v>
      </c>
      <c r="L64">
        <v>12.65</v>
      </c>
      <c r="M64">
        <v>5.64</v>
      </c>
      <c r="N64">
        <v>0.4458498023715415</v>
      </c>
      <c r="O64">
        <v>50</v>
      </c>
      <c r="P64">
        <v>0.05005169060192549</v>
      </c>
      <c r="Q64">
        <v>0.327334862848179</v>
      </c>
      <c r="R64" t="s">
        <v>784</v>
      </c>
      <c r="S64" t="s">
        <v>789</v>
      </c>
      <c r="T64">
        <v>230139.269532</v>
      </c>
      <c r="U64" s="2">
        <v>44504</v>
      </c>
      <c r="V64" t="s">
        <v>802</v>
      </c>
    </row>
    <row r="65" spans="1:22">
      <c r="A65" s="1" t="s">
        <v>85</v>
      </c>
      <c r="B65">
        <f>HYPERLINK("https://www.suredividend.com/sure-analysis-BEN/","Franklin Resources, Inc.")</f>
        <v>0</v>
      </c>
      <c r="C65">
        <v>34.16</v>
      </c>
      <c r="D65">
        <v>33</v>
      </c>
      <c r="E65">
        <v>1.035151515151515</v>
      </c>
      <c r="F65">
        <v>0.03395784543325527</v>
      </c>
      <c r="G65">
        <v>-0.006885745355367345</v>
      </c>
      <c r="H65">
        <v>0.04</v>
      </c>
      <c r="I65">
        <v>0.06378969703823167</v>
      </c>
      <c r="J65" t="s">
        <v>780</v>
      </c>
      <c r="K65" t="s">
        <v>780</v>
      </c>
      <c r="L65">
        <v>3.3</v>
      </c>
      <c r="M65">
        <v>1.16</v>
      </c>
      <c r="N65">
        <v>0.3515151515151515</v>
      </c>
      <c r="O65">
        <v>42</v>
      </c>
      <c r="P65">
        <v>0.03232437953530787</v>
      </c>
      <c r="Q65">
        <v>0.4608368260882411</v>
      </c>
      <c r="R65" t="s">
        <v>784</v>
      </c>
      <c r="S65" t="s">
        <v>793</v>
      </c>
      <c r="T65">
        <v>17403.783308</v>
      </c>
      <c r="U65" s="2">
        <v>44507</v>
      </c>
      <c r="V65" t="s">
        <v>803</v>
      </c>
    </row>
    <row r="66" spans="1:22">
      <c r="A66" s="1" t="s">
        <v>86</v>
      </c>
      <c r="B66">
        <f>HYPERLINK("https://www.suredividend.com/sure-analysis-ADP/","Automatic Data Processing Inc.")</f>
        <v>0</v>
      </c>
      <c r="C66">
        <v>231.85</v>
      </c>
      <c r="D66">
        <v>196</v>
      </c>
      <c r="E66">
        <v>1.182908163265306</v>
      </c>
      <c r="F66">
        <v>0.01794263532456329</v>
      </c>
      <c r="G66">
        <v>-0.03303713865520086</v>
      </c>
      <c r="H66">
        <v>0.08</v>
      </c>
      <c r="I66">
        <v>0.06276757636577779</v>
      </c>
      <c r="J66" t="s">
        <v>780</v>
      </c>
      <c r="K66" t="s">
        <v>352</v>
      </c>
      <c r="L66">
        <v>6.75</v>
      </c>
      <c r="M66">
        <v>4.16</v>
      </c>
      <c r="N66">
        <v>0.6162962962962963</v>
      </c>
      <c r="O66">
        <v>47</v>
      </c>
      <c r="P66">
        <v>0.0799150058822331</v>
      </c>
      <c r="Q66">
        <v>0.356263965889311</v>
      </c>
      <c r="R66" t="s">
        <v>784</v>
      </c>
      <c r="S66" t="s">
        <v>791</v>
      </c>
      <c r="T66">
        <v>98570.155105</v>
      </c>
      <c r="U66" s="2">
        <v>44512</v>
      </c>
      <c r="V66" t="s">
        <v>804</v>
      </c>
    </row>
    <row r="67" spans="1:22">
      <c r="A67" s="1" t="s">
        <v>87</v>
      </c>
      <c r="B67">
        <f>HYPERLINK("https://www.suredividend.com/sure-analysis-NFG/","National Fuel Gas Co.")</f>
        <v>0</v>
      </c>
      <c r="C67">
        <v>62.28</v>
      </c>
      <c r="D67">
        <v>71</v>
      </c>
      <c r="E67">
        <v>0.8771830985915493</v>
      </c>
      <c r="F67">
        <v>0.02922286448298009</v>
      </c>
      <c r="G67">
        <v>0.02655435311346221</v>
      </c>
      <c r="H67">
        <v>0.01</v>
      </c>
      <c r="I67">
        <v>0.06245262354343217</v>
      </c>
      <c r="J67" t="s">
        <v>780</v>
      </c>
      <c r="K67" t="s">
        <v>780</v>
      </c>
      <c r="L67">
        <v>5.1</v>
      </c>
      <c r="M67">
        <v>1.82</v>
      </c>
      <c r="N67">
        <v>0.3568627450980393</v>
      </c>
      <c r="O67">
        <v>51</v>
      </c>
      <c r="P67">
        <v>0.02107112828035462</v>
      </c>
      <c r="Q67">
        <v>0.5011459492358751</v>
      </c>
      <c r="R67" t="s">
        <v>784</v>
      </c>
      <c r="S67" t="s">
        <v>796</v>
      </c>
      <c r="T67">
        <v>5757.741272</v>
      </c>
      <c r="U67" s="2">
        <v>44524</v>
      </c>
      <c r="V67" t="s">
        <v>807</v>
      </c>
    </row>
    <row r="68" spans="1:22">
      <c r="A68" s="1" t="s">
        <v>88</v>
      </c>
      <c r="B68">
        <f>HYPERLINK("https://www.suredividend.com/sure-analysis-NWN/","Northwest Natural Holding Co")</f>
        <v>0</v>
      </c>
      <c r="C68">
        <v>48.43</v>
      </c>
      <c r="D68">
        <v>50.8</v>
      </c>
      <c r="E68">
        <v>0.9533464566929134</v>
      </c>
      <c r="F68">
        <v>0.03964484823456535</v>
      </c>
      <c r="G68">
        <v>0.009601178031294122</v>
      </c>
      <c r="H68">
        <v>0.016</v>
      </c>
      <c r="I68">
        <v>0.06161288618618488</v>
      </c>
      <c r="J68" t="s">
        <v>780</v>
      </c>
      <c r="K68" t="s">
        <v>780</v>
      </c>
      <c r="L68">
        <v>2.54</v>
      </c>
      <c r="M68">
        <v>1.92</v>
      </c>
      <c r="N68">
        <v>0.7559055118110236</v>
      </c>
      <c r="O68">
        <v>66</v>
      </c>
      <c r="P68">
        <v>0.02383625553960966</v>
      </c>
      <c r="Q68">
        <v>-0.042256126123047</v>
      </c>
      <c r="R68" t="s">
        <v>784</v>
      </c>
      <c r="S68" t="s">
        <v>796</v>
      </c>
      <c r="T68">
        <v>1461.248476</v>
      </c>
      <c r="U68" s="2">
        <v>44509</v>
      </c>
      <c r="V68" t="s">
        <v>808</v>
      </c>
    </row>
    <row r="69" spans="1:22">
      <c r="A69" s="1" t="s">
        <v>89</v>
      </c>
      <c r="B69">
        <f>HYPERLINK("https://www.suredividend.com/sure-analysis-WHR/","Whirlpool Corp.")</f>
        <v>0</v>
      </c>
      <c r="C69">
        <v>238.28</v>
      </c>
      <c r="D69">
        <v>289</v>
      </c>
      <c r="E69">
        <v>0.8244982698961938</v>
      </c>
      <c r="F69">
        <v>0.02350176263219741</v>
      </c>
      <c r="G69">
        <v>0.03935055013956057</v>
      </c>
      <c r="H69">
        <v>0</v>
      </c>
      <c r="I69">
        <v>0.06110332719562495</v>
      </c>
      <c r="J69" t="s">
        <v>780</v>
      </c>
      <c r="K69" t="s">
        <v>781</v>
      </c>
      <c r="L69">
        <v>26.25</v>
      </c>
      <c r="M69">
        <v>5.6</v>
      </c>
      <c r="N69">
        <v>0.2133333333333333</v>
      </c>
      <c r="O69">
        <v>11</v>
      </c>
      <c r="P69">
        <v>0.03990057173719119</v>
      </c>
      <c r="Q69">
        <v>0.292468029266092</v>
      </c>
      <c r="R69" t="s">
        <v>784</v>
      </c>
      <c r="S69" t="s">
        <v>792</v>
      </c>
      <c r="T69">
        <v>14914.653321</v>
      </c>
      <c r="U69" s="2">
        <v>44494</v>
      </c>
      <c r="V69" t="s">
        <v>803</v>
      </c>
    </row>
    <row r="70" spans="1:22">
      <c r="A70" s="1" t="s">
        <v>90</v>
      </c>
      <c r="B70">
        <f>HYPERLINK("https://www.suredividend.com/sure-analysis-VFC/","VF Corp.")</f>
        <v>0</v>
      </c>
      <c r="C70">
        <v>72.38</v>
      </c>
      <c r="D70">
        <v>61</v>
      </c>
      <c r="E70">
        <v>1.18655737704918</v>
      </c>
      <c r="F70">
        <v>0.02763194252555955</v>
      </c>
      <c r="G70">
        <v>-0.03363264346544248</v>
      </c>
      <c r="H70">
        <v>0.07000000000000001</v>
      </c>
      <c r="I70">
        <v>0.05983116219941298</v>
      </c>
      <c r="J70" t="s">
        <v>780</v>
      </c>
      <c r="K70" t="s">
        <v>781</v>
      </c>
      <c r="L70">
        <v>3.2</v>
      </c>
      <c r="M70">
        <v>2</v>
      </c>
      <c r="N70">
        <v>0.625</v>
      </c>
      <c r="O70">
        <v>49</v>
      </c>
      <c r="P70">
        <v>0.03886011825408464</v>
      </c>
      <c r="Q70">
        <v>-0.132220035134505</v>
      </c>
      <c r="R70" t="s">
        <v>784</v>
      </c>
      <c r="S70" t="s">
        <v>792</v>
      </c>
      <c r="T70">
        <v>28987.331821</v>
      </c>
      <c r="U70" s="2">
        <v>44493</v>
      </c>
      <c r="V70" t="s">
        <v>803</v>
      </c>
    </row>
    <row r="71" spans="1:22">
      <c r="A71" s="1" t="s">
        <v>91</v>
      </c>
      <c r="B71">
        <f>HYPERLINK("https://www.suredividend.com/sure-analysis-LOW/","Lowe`s Cos., Inc.")</f>
        <v>0</v>
      </c>
      <c r="C71">
        <v>253.24</v>
      </c>
      <c r="D71">
        <v>226.94</v>
      </c>
      <c r="E71">
        <v>1.11588966246585</v>
      </c>
      <c r="F71">
        <v>0.01263623440214816</v>
      </c>
      <c r="G71">
        <v>-0.0216916751636409</v>
      </c>
      <c r="H71">
        <v>0.07000000000000001</v>
      </c>
      <c r="I71">
        <v>0.05943540020663907</v>
      </c>
      <c r="J71" t="s">
        <v>780</v>
      </c>
      <c r="K71" t="s">
        <v>781</v>
      </c>
      <c r="L71">
        <v>11.33</v>
      </c>
      <c r="M71">
        <v>3.2</v>
      </c>
      <c r="N71">
        <v>0.2824360105913504</v>
      </c>
      <c r="O71">
        <v>59</v>
      </c>
      <c r="P71">
        <v>0.07008745458377241</v>
      </c>
      <c r="Q71">
        <v>0.5937946347899491</v>
      </c>
      <c r="R71" t="s">
        <v>784</v>
      </c>
      <c r="S71" t="s">
        <v>792</v>
      </c>
      <c r="T71">
        <v>173516.851055</v>
      </c>
      <c r="U71" s="2">
        <v>44434</v>
      </c>
      <c r="V71" t="s">
        <v>806</v>
      </c>
    </row>
    <row r="72" spans="1:22">
      <c r="A72" s="1" t="s">
        <v>92</v>
      </c>
      <c r="B72">
        <f>HYPERLINK("https://www.suredividend.com/sure-analysis-RNR/","RenaissanceRe Holdings Ltd")</f>
        <v>0</v>
      </c>
      <c r="C72">
        <v>167.1</v>
      </c>
      <c r="D72">
        <v>167</v>
      </c>
      <c r="E72">
        <v>1.000598802395209</v>
      </c>
      <c r="F72">
        <v>0.008617594254937163</v>
      </c>
      <c r="G72">
        <v>-0.0001197174702102233</v>
      </c>
      <c r="H72">
        <v>0.05</v>
      </c>
      <c r="I72">
        <v>0.05743846934103236</v>
      </c>
      <c r="J72" t="s">
        <v>780</v>
      </c>
      <c r="K72" t="s">
        <v>352</v>
      </c>
      <c r="L72">
        <v>11</v>
      </c>
      <c r="M72">
        <v>1.44</v>
      </c>
      <c r="N72">
        <v>0.1309090909090909</v>
      </c>
      <c r="O72">
        <v>26</v>
      </c>
      <c r="P72">
        <v>0.02635185407071083</v>
      </c>
      <c r="Q72">
        <v>0.013598364976508</v>
      </c>
      <c r="R72" t="s">
        <v>784</v>
      </c>
      <c r="S72" t="s">
        <v>793</v>
      </c>
      <c r="T72">
        <v>7707.409837</v>
      </c>
      <c r="U72" s="2">
        <v>44495</v>
      </c>
      <c r="V72" t="s">
        <v>799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300.23</v>
      </c>
      <c r="D73">
        <v>250</v>
      </c>
      <c r="E73">
        <v>1.20092</v>
      </c>
      <c r="F73">
        <v>0.01505512440462312</v>
      </c>
      <c r="G73">
        <v>-0.03595527087848727</v>
      </c>
      <c r="H73">
        <v>0.08</v>
      </c>
      <c r="I73">
        <v>0.05691708462078005</v>
      </c>
      <c r="J73" t="s">
        <v>780</v>
      </c>
      <c r="K73" t="s">
        <v>352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0.5904114571057111</v>
      </c>
      <c r="R73" t="s">
        <v>784</v>
      </c>
      <c r="S73" t="s">
        <v>793</v>
      </c>
      <c r="T73">
        <v>33370.019022</v>
      </c>
      <c r="U73" s="2">
        <v>44496</v>
      </c>
      <c r="V73" t="s">
        <v>800</v>
      </c>
    </row>
    <row r="74" spans="1:22">
      <c r="A74" s="1" t="s">
        <v>94</v>
      </c>
      <c r="B74">
        <f>HYPERLINK("https://www.suredividend.com/sure-analysis-DG/","Dollar General Corp.")</f>
        <v>0</v>
      </c>
      <c r="C74">
        <v>225.66</v>
      </c>
      <c r="D74">
        <v>178</v>
      </c>
      <c r="E74">
        <v>1.267752808988764</v>
      </c>
      <c r="F74">
        <v>0.007178941770805638</v>
      </c>
      <c r="G74">
        <v>-0.04634106151485728</v>
      </c>
      <c r="H74">
        <v>0.1</v>
      </c>
      <c r="I74">
        <v>0.05664255808419738</v>
      </c>
      <c r="J74" t="s">
        <v>780</v>
      </c>
      <c r="K74" t="s">
        <v>352</v>
      </c>
      <c r="L74">
        <v>9.9</v>
      </c>
      <c r="M74">
        <v>1.62</v>
      </c>
      <c r="N74">
        <v>0.1636363636363636</v>
      </c>
      <c r="O74">
        <v>7</v>
      </c>
      <c r="P74">
        <v>0.08977506465822516</v>
      </c>
      <c r="Q74">
        <v>0.09671161121350201</v>
      </c>
      <c r="R74" t="s">
        <v>784</v>
      </c>
      <c r="S74" t="s">
        <v>795</v>
      </c>
      <c r="T74">
        <v>52393.474684</v>
      </c>
      <c r="U74" s="2">
        <v>44541</v>
      </c>
      <c r="V74" t="s">
        <v>805</v>
      </c>
    </row>
    <row r="75" spans="1:22">
      <c r="A75" s="1" t="s">
        <v>95</v>
      </c>
      <c r="B75">
        <f>HYPERLINK("https://www.suredividend.com/sure-analysis-LANC/","Lancaster Colony Corp.")</f>
        <v>0</v>
      </c>
      <c r="C75">
        <v>162.54</v>
      </c>
      <c r="D75">
        <v>159</v>
      </c>
      <c r="E75">
        <v>1.022264150943396</v>
      </c>
      <c r="F75">
        <v>0.01968746154792667</v>
      </c>
      <c r="G75">
        <v>-0.004394301300974068</v>
      </c>
      <c r="H75">
        <v>0.04</v>
      </c>
      <c r="I75">
        <v>0.05512818714866086</v>
      </c>
      <c r="J75" t="s">
        <v>780</v>
      </c>
      <c r="K75" t="s">
        <v>781</v>
      </c>
      <c r="L75">
        <v>5.88</v>
      </c>
      <c r="M75">
        <v>3.2</v>
      </c>
      <c r="N75">
        <v>0.54421768707483</v>
      </c>
      <c r="O75">
        <v>59</v>
      </c>
      <c r="P75">
        <v>0.05988502997905321</v>
      </c>
      <c r="Q75">
        <v>-0.060620220146803</v>
      </c>
      <c r="R75" t="s">
        <v>784</v>
      </c>
      <c r="S75" t="s">
        <v>795</v>
      </c>
      <c r="T75">
        <v>4372.3146</v>
      </c>
      <c r="U75" s="2">
        <v>44541</v>
      </c>
      <c r="V75" t="s">
        <v>804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68.84</v>
      </c>
      <c r="D76">
        <v>62</v>
      </c>
      <c r="E76">
        <v>1.110322580645161</v>
      </c>
      <c r="F76">
        <v>0.0152527600232423</v>
      </c>
      <c r="G76">
        <v>-0.0207126025347818</v>
      </c>
      <c r="H76">
        <v>0.06</v>
      </c>
      <c r="I76">
        <v>0.0537127318258328</v>
      </c>
      <c r="J76" t="s">
        <v>780</v>
      </c>
      <c r="K76" t="s">
        <v>781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0.126234215157077</v>
      </c>
      <c r="R76" t="s">
        <v>784</v>
      </c>
      <c r="S76" t="s">
        <v>793</v>
      </c>
      <c r="T76">
        <v>7933.34436</v>
      </c>
      <c r="U76" s="2">
        <v>44499</v>
      </c>
      <c r="V76" t="s">
        <v>802</v>
      </c>
    </row>
    <row r="77" spans="1:22">
      <c r="A77" s="1" t="s">
        <v>97</v>
      </c>
      <c r="B77">
        <f>HYPERLINK("https://www.suredividend.com/sure-analysis-TRV/","Travelers Companies Inc.")</f>
        <v>0</v>
      </c>
      <c r="C77">
        <v>162.02</v>
      </c>
      <c r="D77">
        <v>147</v>
      </c>
      <c r="E77">
        <v>1.102176870748299</v>
      </c>
      <c r="F77">
        <v>0.02172571287495371</v>
      </c>
      <c r="G77">
        <v>-0.0192693653376349</v>
      </c>
      <c r="H77">
        <v>0.05</v>
      </c>
      <c r="I77">
        <v>0.05252482655815016</v>
      </c>
      <c r="J77" t="s">
        <v>780</v>
      </c>
      <c r="K77" t="s">
        <v>781</v>
      </c>
      <c r="L77">
        <v>12.25</v>
      </c>
      <c r="M77">
        <v>3.52</v>
      </c>
      <c r="N77">
        <v>0.2873469387755102</v>
      </c>
      <c r="O77">
        <v>16</v>
      </c>
      <c r="P77">
        <v>0.0701307832252307</v>
      </c>
      <c r="Q77">
        <v>0.179903861340994</v>
      </c>
      <c r="R77" t="s">
        <v>784</v>
      </c>
      <c r="S77" t="s">
        <v>793</v>
      </c>
      <c r="T77">
        <v>38960.39576</v>
      </c>
      <c r="U77" s="2">
        <v>44492</v>
      </c>
      <c r="V77" t="s">
        <v>804</v>
      </c>
    </row>
    <row r="78" spans="1:22">
      <c r="A78" s="1" t="s">
        <v>98</v>
      </c>
      <c r="B78">
        <f>HYPERLINK("https://www.suredividend.com/sure-analysis-EXPD/","Expeditors International Of Washington, Inc.")</f>
        <v>0</v>
      </c>
      <c r="C78">
        <v>135.62</v>
      </c>
      <c r="D78">
        <v>138</v>
      </c>
      <c r="E78">
        <v>0.9827536231884059</v>
      </c>
      <c r="F78">
        <v>0.008553310721132575</v>
      </c>
      <c r="G78">
        <v>0.003485425599024206</v>
      </c>
      <c r="H78">
        <v>0.04</v>
      </c>
      <c r="I78">
        <v>0.05161988421878649</v>
      </c>
      <c r="J78" t="s">
        <v>780</v>
      </c>
      <c r="K78" t="s">
        <v>352</v>
      </c>
      <c r="L78">
        <v>7.67</v>
      </c>
      <c r="M78">
        <v>1.16</v>
      </c>
      <c r="N78">
        <v>0.151238591916558</v>
      </c>
      <c r="O78">
        <v>27</v>
      </c>
      <c r="P78">
        <v>0.03980577390781126</v>
      </c>
      <c r="Q78">
        <v>0.512964507875007</v>
      </c>
      <c r="R78" t="s">
        <v>784</v>
      </c>
      <c r="S78" t="s">
        <v>791</v>
      </c>
      <c r="T78">
        <v>22888.15039</v>
      </c>
      <c r="U78" s="2">
        <v>44513</v>
      </c>
      <c r="V78" t="s">
        <v>801</v>
      </c>
    </row>
    <row r="79" spans="1:22">
      <c r="A79" s="1" t="s">
        <v>99</v>
      </c>
      <c r="B79">
        <f>HYPERLINK("https://www.suredividend.com/sure-analysis-PNR/","Pentair plc")</f>
        <v>0</v>
      </c>
      <c r="C79">
        <v>72.44</v>
      </c>
      <c r="D79">
        <v>64</v>
      </c>
      <c r="E79">
        <v>1.131875</v>
      </c>
      <c r="F79">
        <v>0.01159580342352291</v>
      </c>
      <c r="G79">
        <v>-0.02447072579309717</v>
      </c>
      <c r="H79">
        <v>0.065</v>
      </c>
      <c r="I79">
        <v>0.0502258337789987</v>
      </c>
      <c r="J79" t="s">
        <v>780</v>
      </c>
      <c r="K79" t="s">
        <v>781</v>
      </c>
      <c r="L79">
        <v>3.37</v>
      </c>
      <c r="M79">
        <v>0.84</v>
      </c>
      <c r="N79">
        <v>0.2492581602373887</v>
      </c>
      <c r="O79">
        <v>46</v>
      </c>
      <c r="P79">
        <v>0.04959293402845044</v>
      </c>
      <c r="Q79">
        <v>0.422927799875327</v>
      </c>
      <c r="R79" t="s">
        <v>784</v>
      </c>
      <c r="S79" t="s">
        <v>791</v>
      </c>
      <c r="T79">
        <v>12200.709087</v>
      </c>
      <c r="U79" s="2">
        <v>44503</v>
      </c>
      <c r="V79" t="s">
        <v>802</v>
      </c>
    </row>
    <row r="80" spans="1:22">
      <c r="A80" s="1" t="s">
        <v>100</v>
      </c>
      <c r="B80">
        <f>HYPERLINK("https://www.suredividend.com/sure-analysis-LECO/","Lincoln Electric Holdings, Inc.")</f>
        <v>0</v>
      </c>
      <c r="C80">
        <v>134.71</v>
      </c>
      <c r="D80">
        <v>112</v>
      </c>
      <c r="E80">
        <v>1.202767857142857</v>
      </c>
      <c r="F80">
        <v>0.01662831267166506</v>
      </c>
      <c r="G80">
        <v>-0.03625167266230722</v>
      </c>
      <c r="H80">
        <v>0.07000000000000001</v>
      </c>
      <c r="I80">
        <v>0.04920101669529564</v>
      </c>
      <c r="J80" t="s">
        <v>780</v>
      </c>
      <c r="K80" t="s">
        <v>352</v>
      </c>
      <c r="L80">
        <v>6.2</v>
      </c>
      <c r="M80">
        <v>2.24</v>
      </c>
      <c r="N80">
        <v>0.3612903225806452</v>
      </c>
      <c r="O80">
        <v>26</v>
      </c>
      <c r="P80">
        <v>0.0799150058822331</v>
      </c>
      <c r="Q80">
        <v>0.134253717897422</v>
      </c>
      <c r="R80" t="s">
        <v>784</v>
      </c>
      <c r="S80" t="s">
        <v>791</v>
      </c>
      <c r="T80">
        <v>7917.784536</v>
      </c>
      <c r="U80" s="2">
        <v>44500</v>
      </c>
      <c r="V80" t="s">
        <v>802</v>
      </c>
    </row>
    <row r="81" spans="1:22">
      <c r="A81" s="1" t="s">
        <v>101</v>
      </c>
      <c r="B81">
        <f>HYPERLINK("https://www.suredividend.com/sure-analysis-TSN/","Tyson Foods, Inc.")</f>
        <v>0</v>
      </c>
      <c r="C81">
        <v>86.2</v>
      </c>
      <c r="D81">
        <v>81</v>
      </c>
      <c r="E81">
        <v>1.064197530864198</v>
      </c>
      <c r="F81">
        <v>0.02064965197215777</v>
      </c>
      <c r="G81">
        <v>-0.01236709566990157</v>
      </c>
      <c r="H81">
        <v>0.04</v>
      </c>
      <c r="I81">
        <v>0.04839896620797468</v>
      </c>
      <c r="J81" t="s">
        <v>780</v>
      </c>
      <c r="K81" t="s">
        <v>781</v>
      </c>
      <c r="L81">
        <v>6.75</v>
      </c>
      <c r="M81">
        <v>1.78</v>
      </c>
      <c r="N81">
        <v>0.2637037037037037</v>
      </c>
      <c r="O81">
        <v>10</v>
      </c>
      <c r="P81">
        <v>0.05981824312960904</v>
      </c>
      <c r="Q81">
        <v>0.288672551769656</v>
      </c>
      <c r="R81" t="s">
        <v>784</v>
      </c>
      <c r="S81" t="s">
        <v>795</v>
      </c>
      <c r="T81">
        <v>31282.92376</v>
      </c>
      <c r="U81" s="2">
        <v>44515</v>
      </c>
      <c r="V81" t="s">
        <v>803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206.18</v>
      </c>
      <c r="D82">
        <v>173</v>
      </c>
      <c r="E82">
        <v>1.191791907514451</v>
      </c>
      <c r="F82">
        <v>0.02308662333883015</v>
      </c>
      <c r="G82">
        <v>-0.03448302512544643</v>
      </c>
      <c r="H82">
        <v>0.06</v>
      </c>
      <c r="I82">
        <v>0.04744336912874925</v>
      </c>
      <c r="J82" t="s">
        <v>780</v>
      </c>
      <c r="K82" t="s">
        <v>781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0.3691927644695011</v>
      </c>
      <c r="R82" t="s">
        <v>784</v>
      </c>
      <c r="S82" t="s">
        <v>791</v>
      </c>
      <c r="T82">
        <v>57586.916459</v>
      </c>
      <c r="U82" s="2">
        <v>44508</v>
      </c>
      <c r="V82" t="s">
        <v>805</v>
      </c>
    </row>
    <row r="83" spans="1:22">
      <c r="A83" s="1" t="s">
        <v>103</v>
      </c>
      <c r="B83">
        <f>HYPERLINK("https://www.suredividend.com/sure-analysis-TXT/","Textron Inc.")</f>
        <v>0</v>
      </c>
      <c r="C83">
        <v>74.64</v>
      </c>
      <c r="D83">
        <v>70</v>
      </c>
      <c r="E83">
        <v>1.066285714285714</v>
      </c>
      <c r="F83">
        <v>0.001071811361200429</v>
      </c>
      <c r="G83">
        <v>-0.01275422945145521</v>
      </c>
      <c r="H83">
        <v>0.06</v>
      </c>
      <c r="I83">
        <v>0.04737269835318547</v>
      </c>
      <c r="J83" t="s">
        <v>780</v>
      </c>
      <c r="K83" t="s">
        <v>529</v>
      </c>
      <c r="L83">
        <v>3.25</v>
      </c>
      <c r="M83">
        <v>0.08</v>
      </c>
      <c r="N83">
        <v>0.02461538461538462</v>
      </c>
      <c r="O83">
        <v>0</v>
      </c>
      <c r="P83">
        <v>0</v>
      </c>
      <c r="Q83">
        <v>0.565572814239525</v>
      </c>
      <c r="R83" t="s">
        <v>784</v>
      </c>
      <c r="S83" t="s">
        <v>791</v>
      </c>
      <c r="T83">
        <v>16564.955058</v>
      </c>
      <c r="U83" s="2">
        <v>44504</v>
      </c>
      <c r="V83" t="s">
        <v>805</v>
      </c>
    </row>
    <row r="84" spans="1:22">
      <c r="A84" s="1" t="s">
        <v>104</v>
      </c>
      <c r="B84">
        <f>HYPERLINK("https://www.suredividend.com/sure-analysis-PSBQ/","PSB Holdings Inc (WI)")</f>
        <v>0</v>
      </c>
      <c r="C84">
        <v>26</v>
      </c>
      <c r="D84">
        <v>30</v>
      </c>
      <c r="E84">
        <v>0.8666666666666667</v>
      </c>
      <c r="F84">
        <v>0.01769230769230769</v>
      </c>
      <c r="G84">
        <v>0.02903366107118788</v>
      </c>
      <c r="H84">
        <v>0</v>
      </c>
      <c r="I84">
        <v>0.04677647899283688</v>
      </c>
      <c r="J84" t="s">
        <v>780</v>
      </c>
      <c r="K84" t="s">
        <v>781</v>
      </c>
      <c r="L84">
        <v>3</v>
      </c>
      <c r="M84">
        <v>0.46</v>
      </c>
      <c r="N84">
        <v>0.1533333333333333</v>
      </c>
      <c r="O84">
        <v>28</v>
      </c>
      <c r="P84">
        <v>0.05103901130952315</v>
      </c>
      <c r="Q84">
        <v>0.243969708745225</v>
      </c>
      <c r="R84" t="s">
        <v>784</v>
      </c>
      <c r="S84" t="s">
        <v>793</v>
      </c>
      <c r="T84">
        <v>117.528206</v>
      </c>
      <c r="U84" s="2">
        <v>44512</v>
      </c>
      <c r="V84" t="s">
        <v>804</v>
      </c>
    </row>
    <row r="85" spans="1:22">
      <c r="A85" s="1" t="s">
        <v>105</v>
      </c>
      <c r="B85">
        <f>HYPERLINK("https://www.suredividend.com/sure-analysis-GPC/","Genuine Parts Co.")</f>
        <v>0</v>
      </c>
      <c r="C85">
        <v>136.01</v>
      </c>
      <c r="D85">
        <v>114</v>
      </c>
      <c r="E85">
        <v>1.193070175438596</v>
      </c>
      <c r="F85">
        <v>0.02396882582163076</v>
      </c>
      <c r="G85">
        <v>-0.03469000685615808</v>
      </c>
      <c r="H85">
        <v>0.06</v>
      </c>
      <c r="I85">
        <v>0.04676791462567653</v>
      </c>
      <c r="J85" t="s">
        <v>780</v>
      </c>
      <c r="K85" t="s">
        <v>780</v>
      </c>
      <c r="L85">
        <v>6.7</v>
      </c>
      <c r="M85">
        <v>3.26</v>
      </c>
      <c r="N85">
        <v>0.4865671641791044</v>
      </c>
      <c r="O85">
        <v>65</v>
      </c>
      <c r="P85">
        <v>0.04019456757723883</v>
      </c>
      <c r="Q85">
        <v>0.4145495921818</v>
      </c>
      <c r="R85" t="s">
        <v>784</v>
      </c>
      <c r="S85" t="s">
        <v>792</v>
      </c>
      <c r="T85">
        <v>18944.940919</v>
      </c>
      <c r="U85" s="2">
        <v>44499</v>
      </c>
      <c r="V85" t="s">
        <v>804</v>
      </c>
    </row>
    <row r="86" spans="1:22">
      <c r="A86" s="1" t="s">
        <v>106</v>
      </c>
      <c r="B86">
        <f>HYPERLINK("https://www.suredividend.com/sure-analysis-FFMR/","First Farmers Financial Corp")</f>
        <v>0</v>
      </c>
      <c r="C86">
        <v>52.25</v>
      </c>
      <c r="D86">
        <v>45</v>
      </c>
      <c r="E86">
        <v>1.161111111111111</v>
      </c>
      <c r="F86">
        <v>0.02526315789473685</v>
      </c>
      <c r="G86">
        <v>-0.02943361925844556</v>
      </c>
      <c r="H86">
        <v>0.05</v>
      </c>
      <c r="I86">
        <v>0.04640290428659899</v>
      </c>
      <c r="J86" t="s">
        <v>780</v>
      </c>
      <c r="K86" t="s">
        <v>780</v>
      </c>
      <c r="L86">
        <v>4.5</v>
      </c>
      <c r="M86">
        <v>1.32</v>
      </c>
      <c r="N86">
        <v>0.2933333333333333</v>
      </c>
      <c r="O86">
        <v>30</v>
      </c>
      <c r="P86">
        <v>0.0698417929634616</v>
      </c>
      <c r="Q86">
        <v>0.206115293080245</v>
      </c>
      <c r="R86" t="s">
        <v>784</v>
      </c>
      <c r="S86" t="s">
        <v>793</v>
      </c>
      <c r="T86">
        <v>367.704202</v>
      </c>
      <c r="U86" s="2">
        <v>44253</v>
      </c>
      <c r="V86" t="s">
        <v>804</v>
      </c>
    </row>
    <row r="87" spans="1:22">
      <c r="A87" s="1" t="s">
        <v>107</v>
      </c>
      <c r="B87">
        <f>HYPERLINK("https://www.suredividend.com/sure-analysis-CL/","Colgate-Palmolive Co.")</f>
        <v>0</v>
      </c>
      <c r="C87">
        <v>83.95</v>
      </c>
      <c r="D87">
        <v>74</v>
      </c>
      <c r="E87">
        <v>1.134459459459459</v>
      </c>
      <c r="F87">
        <v>0.02144133412745682</v>
      </c>
      <c r="G87">
        <v>-0.02491561017568289</v>
      </c>
      <c r="H87">
        <v>0.05</v>
      </c>
      <c r="I87">
        <v>0.04555656008992748</v>
      </c>
      <c r="J87" t="s">
        <v>780</v>
      </c>
      <c r="K87" t="s">
        <v>781</v>
      </c>
      <c r="L87">
        <v>3.2</v>
      </c>
      <c r="M87">
        <v>1.8</v>
      </c>
      <c r="N87">
        <v>0.5625</v>
      </c>
      <c r="O87">
        <v>58</v>
      </c>
      <c r="P87">
        <v>0.05024607263868264</v>
      </c>
      <c r="Q87">
        <v>-0.001170691673606</v>
      </c>
      <c r="R87" t="s">
        <v>784</v>
      </c>
      <c r="S87" t="s">
        <v>795</v>
      </c>
      <c r="T87">
        <v>69754.15766700001</v>
      </c>
      <c r="U87" s="2">
        <v>44519</v>
      </c>
      <c r="V87" t="s">
        <v>804</v>
      </c>
    </row>
    <row r="88" spans="1:22">
      <c r="A88" s="1" t="s">
        <v>108</v>
      </c>
      <c r="B88">
        <f>HYPERLINK("https://www.suredividend.com/sure-analysis-SCL/","Stepan Co.")</f>
        <v>0</v>
      </c>
      <c r="C88">
        <v>122.42</v>
      </c>
      <c r="D88">
        <v>113</v>
      </c>
      <c r="E88">
        <v>1.083362831858407</v>
      </c>
      <c r="F88">
        <v>0.01094592386864891</v>
      </c>
      <c r="G88">
        <v>-0.0158864451739571</v>
      </c>
      <c r="H88">
        <v>0.05</v>
      </c>
      <c r="I88">
        <v>0.04521275413667181</v>
      </c>
      <c r="J88" t="s">
        <v>780</v>
      </c>
      <c r="K88" t="s">
        <v>781</v>
      </c>
      <c r="L88">
        <v>6.3</v>
      </c>
      <c r="M88">
        <v>1.34</v>
      </c>
      <c r="N88">
        <v>0.2126984126984127</v>
      </c>
      <c r="O88">
        <v>54</v>
      </c>
      <c r="P88">
        <v>0.08012069093414587</v>
      </c>
      <c r="Q88">
        <v>0.033123742220695</v>
      </c>
      <c r="R88" t="s">
        <v>784</v>
      </c>
      <c r="S88" t="s">
        <v>794</v>
      </c>
      <c r="T88">
        <v>2737.641165</v>
      </c>
      <c r="U88" s="2">
        <v>44499</v>
      </c>
      <c r="V88" t="s">
        <v>804</v>
      </c>
    </row>
    <row r="89" spans="1:22">
      <c r="A89" s="1" t="s">
        <v>109</v>
      </c>
      <c r="B89">
        <f>HYPERLINK("https://www.suredividend.com/sure-analysis-CAT/","Caterpillar Inc.")</f>
        <v>0</v>
      </c>
      <c r="C89">
        <v>206.17</v>
      </c>
      <c r="D89">
        <v>168</v>
      </c>
      <c r="E89">
        <v>1.227202380952381</v>
      </c>
      <c r="F89">
        <v>0.02153562593975845</v>
      </c>
      <c r="G89">
        <v>-0.04012039933153411</v>
      </c>
      <c r="H89">
        <v>0.06</v>
      </c>
      <c r="I89">
        <v>0.0417402704455947</v>
      </c>
      <c r="J89" t="s">
        <v>780</v>
      </c>
      <c r="K89" t="s">
        <v>781</v>
      </c>
      <c r="L89">
        <v>10.5</v>
      </c>
      <c r="M89">
        <v>4.44</v>
      </c>
      <c r="N89">
        <v>0.4228571428571429</v>
      </c>
      <c r="O89">
        <v>28</v>
      </c>
      <c r="P89">
        <v>0.07987360286076095</v>
      </c>
      <c r="Q89">
        <v>0.131764675643675</v>
      </c>
      <c r="R89" t="s">
        <v>784</v>
      </c>
      <c r="S89" t="s">
        <v>791</v>
      </c>
      <c r="T89">
        <v>109567.72108</v>
      </c>
      <c r="U89" s="2">
        <v>44503</v>
      </c>
      <c r="V89" t="s">
        <v>803</v>
      </c>
    </row>
    <row r="90" spans="1:22">
      <c r="A90" s="1" t="s">
        <v>110</v>
      </c>
      <c r="B90">
        <f>HYPERLINK("https://www.suredividend.com/sure-analysis-AROW/","Arrow Financial Corp.")</f>
        <v>0</v>
      </c>
      <c r="C90">
        <v>35.76</v>
      </c>
      <c r="D90">
        <v>38</v>
      </c>
      <c r="E90">
        <v>0.9410526315789474</v>
      </c>
      <c r="F90">
        <v>0.029082774049217</v>
      </c>
      <c r="G90">
        <v>0.01222536816171593</v>
      </c>
      <c r="H90">
        <v>0</v>
      </c>
      <c r="I90">
        <v>0.04008637045783559</v>
      </c>
      <c r="J90" t="s">
        <v>780</v>
      </c>
      <c r="K90" t="s">
        <v>780</v>
      </c>
      <c r="L90">
        <v>3.2</v>
      </c>
      <c r="M90">
        <v>1.04</v>
      </c>
      <c r="N90">
        <v>0.325</v>
      </c>
      <c r="O90">
        <v>26</v>
      </c>
      <c r="P90">
        <v>0.02031177855938826</v>
      </c>
      <c r="Q90">
        <v>0.213579185033867</v>
      </c>
      <c r="R90" t="s">
        <v>784</v>
      </c>
      <c r="S90" t="s">
        <v>793</v>
      </c>
      <c r="T90">
        <v>578.7656050000001</v>
      </c>
      <c r="U90" s="2">
        <v>44518</v>
      </c>
      <c r="V90" t="s">
        <v>804</v>
      </c>
    </row>
    <row r="91" spans="1:22">
      <c r="A91" s="1" t="s">
        <v>111</v>
      </c>
      <c r="B91">
        <f>HYPERLINK("https://www.suredividend.com/sure-analysis-KR/","Kroger Co.")</f>
        <v>0</v>
      </c>
      <c r="C91">
        <v>45.91</v>
      </c>
      <c r="D91">
        <v>45</v>
      </c>
      <c r="E91">
        <v>1.020222222222222</v>
      </c>
      <c r="F91">
        <v>0.0182966673927249</v>
      </c>
      <c r="G91">
        <v>-0.003996088003738296</v>
      </c>
      <c r="H91">
        <v>0.02</v>
      </c>
      <c r="I91">
        <v>0.03625288807026772</v>
      </c>
      <c r="J91" t="s">
        <v>780</v>
      </c>
      <c r="K91" t="s">
        <v>781</v>
      </c>
      <c r="L91">
        <v>3.45</v>
      </c>
      <c r="M91">
        <v>0.84</v>
      </c>
      <c r="N91">
        <v>0.2434782608695652</v>
      </c>
      <c r="O91">
        <v>16</v>
      </c>
      <c r="P91">
        <v>0.07033701387905711</v>
      </c>
      <c r="Q91">
        <v>0.512083252909173</v>
      </c>
      <c r="R91" t="s">
        <v>784</v>
      </c>
      <c r="S91" t="s">
        <v>795</v>
      </c>
      <c r="T91">
        <v>33983.512168</v>
      </c>
      <c r="U91" s="2">
        <v>44534</v>
      </c>
      <c r="V91" t="s">
        <v>803</v>
      </c>
    </row>
    <row r="92" spans="1:22">
      <c r="A92" s="1" t="s">
        <v>112</v>
      </c>
      <c r="B92">
        <f>HYPERLINK("https://www.suredividend.com/sure-analysis-CSX/","CSX Corp.")</f>
        <v>0</v>
      </c>
      <c r="C92">
        <v>36.57</v>
      </c>
      <c r="D92">
        <v>28</v>
      </c>
      <c r="E92">
        <v>1.306071428571429</v>
      </c>
      <c r="F92">
        <v>0.01011758271807492</v>
      </c>
      <c r="G92">
        <v>-0.0520037613437947</v>
      </c>
      <c r="H92">
        <v>0.08</v>
      </c>
      <c r="I92">
        <v>0.036217737613778</v>
      </c>
      <c r="J92" t="s">
        <v>780</v>
      </c>
      <c r="K92" t="s">
        <v>352</v>
      </c>
      <c r="L92">
        <v>1.55</v>
      </c>
      <c r="M92">
        <v>0.37</v>
      </c>
      <c r="N92">
        <v>0.2387096774193548</v>
      </c>
      <c r="O92">
        <v>16</v>
      </c>
      <c r="P92">
        <v>0.1087611317268407</v>
      </c>
      <c r="Q92">
        <v>0.226368778204464</v>
      </c>
      <c r="R92" t="s">
        <v>784</v>
      </c>
      <c r="S92" t="s">
        <v>791</v>
      </c>
      <c r="T92">
        <v>82221.465838</v>
      </c>
      <c r="U92" s="2">
        <v>44493</v>
      </c>
      <c r="V92" t="s">
        <v>804</v>
      </c>
    </row>
    <row r="93" spans="1:22">
      <c r="A93" s="1" t="s">
        <v>113</v>
      </c>
      <c r="B93">
        <f>HYPERLINK("https://www.suredividend.com/sure-analysis-AXP/","American Express Co.")</f>
        <v>0</v>
      </c>
      <c r="C93">
        <v>163</v>
      </c>
      <c r="D93">
        <v>131</v>
      </c>
      <c r="E93">
        <v>1.244274809160305</v>
      </c>
      <c r="F93">
        <v>0.0105521472392638</v>
      </c>
      <c r="G93">
        <v>-0.04276903654227882</v>
      </c>
      <c r="H93">
        <v>0.07000000000000001</v>
      </c>
      <c r="I93">
        <v>0.0361167763485688</v>
      </c>
      <c r="J93" t="s">
        <v>780</v>
      </c>
      <c r="K93" t="s">
        <v>352</v>
      </c>
      <c r="L93">
        <v>8.75</v>
      </c>
      <c r="M93">
        <v>1.72</v>
      </c>
      <c r="N93">
        <v>0.1965714285714286</v>
      </c>
      <c r="O93">
        <v>9</v>
      </c>
      <c r="P93">
        <v>0.08023542380212056</v>
      </c>
      <c r="Q93">
        <v>0.378096555098379</v>
      </c>
      <c r="R93" t="s">
        <v>784</v>
      </c>
      <c r="S93" t="s">
        <v>793</v>
      </c>
      <c r="T93">
        <v>125663.926665</v>
      </c>
      <c r="U93" s="2">
        <v>44491</v>
      </c>
      <c r="V93" t="s">
        <v>802</v>
      </c>
    </row>
    <row r="94" spans="1:22">
      <c r="A94" s="1" t="s">
        <v>114</v>
      </c>
      <c r="B94">
        <f>HYPERLINK("https://www.suredividend.com/sure-analysis-PPG/","PPG Industries, Inc.")</f>
        <v>0</v>
      </c>
      <c r="C94">
        <v>169.32</v>
      </c>
      <c r="D94">
        <v>127</v>
      </c>
      <c r="E94">
        <v>1.333228346456693</v>
      </c>
      <c r="F94">
        <v>0.01393810536262698</v>
      </c>
      <c r="G94">
        <v>-0.05589762048279201</v>
      </c>
      <c r="H94">
        <v>0.08</v>
      </c>
      <c r="I94">
        <v>0.0354781008440872</v>
      </c>
      <c r="J94" t="s">
        <v>780</v>
      </c>
      <c r="K94" t="s">
        <v>781</v>
      </c>
      <c r="L94">
        <v>6.7</v>
      </c>
      <c r="M94">
        <v>2.36</v>
      </c>
      <c r="N94">
        <v>0.3522388059701492</v>
      </c>
      <c r="O94">
        <v>50</v>
      </c>
      <c r="P94">
        <v>0.08014856837381279</v>
      </c>
      <c r="Q94">
        <v>0.16730641195092</v>
      </c>
      <c r="R94" t="s">
        <v>784</v>
      </c>
      <c r="S94" t="s">
        <v>794</v>
      </c>
      <c r="T94">
        <v>39375.305479</v>
      </c>
      <c r="U94" s="2">
        <v>44490</v>
      </c>
      <c r="V94" t="s">
        <v>800</v>
      </c>
    </row>
    <row r="95" spans="1:22">
      <c r="A95" s="1" t="s">
        <v>115</v>
      </c>
      <c r="B95">
        <f>HYPERLINK("https://www.suredividend.com/sure-analysis-JKHY/","Jack Henry &amp; Associates, Inc.")</f>
        <v>0</v>
      </c>
      <c r="C95">
        <v>165.1</v>
      </c>
      <c r="D95">
        <v>117</v>
      </c>
      <c r="E95">
        <v>1.411111111111111</v>
      </c>
      <c r="F95">
        <v>0.01114476075105996</v>
      </c>
      <c r="G95">
        <v>-0.06655709785854602</v>
      </c>
      <c r="H95">
        <v>0.095</v>
      </c>
      <c r="I95">
        <v>0.03510447437320763</v>
      </c>
      <c r="J95" t="s">
        <v>780</v>
      </c>
      <c r="K95" t="s">
        <v>352</v>
      </c>
      <c r="L95">
        <v>4.68</v>
      </c>
      <c r="M95">
        <v>1.84</v>
      </c>
      <c r="N95">
        <v>0.3931623931623932</v>
      </c>
      <c r="O95">
        <v>31</v>
      </c>
      <c r="P95">
        <v>0.08991774272866437</v>
      </c>
      <c r="Q95">
        <v>0.020340453768215</v>
      </c>
      <c r="R95" t="s">
        <v>784</v>
      </c>
      <c r="S95" t="s">
        <v>790</v>
      </c>
      <c r="T95">
        <v>11840.641837</v>
      </c>
      <c r="U95" s="2">
        <v>44512</v>
      </c>
      <c r="V95" t="s">
        <v>802</v>
      </c>
    </row>
    <row r="96" spans="1:22">
      <c r="A96" s="1" t="s">
        <v>116</v>
      </c>
      <c r="B96">
        <f>HYPERLINK("https://www.suredividend.com/sure-analysis-HRL/","Hormel Foods Corp.")</f>
        <v>0</v>
      </c>
      <c r="C96">
        <v>49.19</v>
      </c>
      <c r="D96">
        <v>43</v>
      </c>
      <c r="E96">
        <v>1.143953488372093</v>
      </c>
      <c r="F96">
        <v>0.02114250863996748</v>
      </c>
      <c r="G96">
        <v>-0.02653951634020801</v>
      </c>
      <c r="H96">
        <v>0.04</v>
      </c>
      <c r="I96">
        <v>0.03477059918169378</v>
      </c>
      <c r="J96" t="s">
        <v>780</v>
      </c>
      <c r="K96" t="s">
        <v>781</v>
      </c>
      <c r="L96">
        <v>1.95</v>
      </c>
      <c r="M96">
        <v>1.04</v>
      </c>
      <c r="N96">
        <v>0.5333333333333333</v>
      </c>
      <c r="O96">
        <v>56</v>
      </c>
      <c r="P96">
        <v>0.05042164036374652</v>
      </c>
      <c r="Q96">
        <v>0.048880100851365</v>
      </c>
      <c r="R96" t="s">
        <v>784</v>
      </c>
      <c r="S96" t="s">
        <v>795</v>
      </c>
      <c r="T96">
        <v>26363.473822</v>
      </c>
      <c r="U96" s="2">
        <v>44542</v>
      </c>
      <c r="V96" t="s">
        <v>804</v>
      </c>
    </row>
    <row r="97" spans="1:22">
      <c r="A97" s="1" t="s">
        <v>117</v>
      </c>
      <c r="B97">
        <f>HYPERLINK("https://www.suredividend.com/sure-analysis-SBSI/","Southside Bancshares Inc")</f>
        <v>0</v>
      </c>
      <c r="C97">
        <v>41.5</v>
      </c>
      <c r="D97">
        <v>36</v>
      </c>
      <c r="E97">
        <v>1.152777777777778</v>
      </c>
      <c r="F97">
        <v>0.03180722891566265</v>
      </c>
      <c r="G97">
        <v>-0.02803443077401879</v>
      </c>
      <c r="H97">
        <v>0.03</v>
      </c>
      <c r="I97">
        <v>0.03357864611664652</v>
      </c>
      <c r="J97" t="s">
        <v>780</v>
      </c>
      <c r="K97" t="s">
        <v>780</v>
      </c>
      <c r="L97">
        <v>3.01</v>
      </c>
      <c r="M97">
        <v>1.32</v>
      </c>
      <c r="N97">
        <v>0.4385382059800665</v>
      </c>
      <c r="O97">
        <v>27</v>
      </c>
      <c r="P97">
        <v>0.02996744995959233</v>
      </c>
      <c r="Q97">
        <v>0.32949842984181</v>
      </c>
      <c r="R97" t="s">
        <v>784</v>
      </c>
      <c r="S97" t="s">
        <v>793</v>
      </c>
      <c r="T97">
        <v>1315.894844</v>
      </c>
      <c r="U97" s="2">
        <v>44495</v>
      </c>
      <c r="V97" t="s">
        <v>800</v>
      </c>
    </row>
    <row r="98" spans="1:22">
      <c r="A98" s="1" t="s">
        <v>118</v>
      </c>
      <c r="B98">
        <f>HYPERLINK("https://www.suredividend.com/sure-analysis-AMAT/","Applied Materials Inc.")</f>
        <v>0</v>
      </c>
      <c r="C98">
        <v>146.7</v>
      </c>
      <c r="D98">
        <v>130</v>
      </c>
      <c r="E98">
        <v>1.128461538461538</v>
      </c>
      <c r="F98">
        <v>0.006543967280163599</v>
      </c>
      <c r="G98">
        <v>-0.02388126664320456</v>
      </c>
      <c r="H98">
        <v>0.05</v>
      </c>
      <c r="I98">
        <v>0.03278119889207343</v>
      </c>
      <c r="J98" t="s">
        <v>780</v>
      </c>
      <c r="K98" t="s">
        <v>352</v>
      </c>
      <c r="L98">
        <v>8.15</v>
      </c>
      <c r="M98">
        <v>0.96</v>
      </c>
      <c r="N98">
        <v>0.1177914110429448</v>
      </c>
      <c r="O98">
        <v>4</v>
      </c>
      <c r="P98">
        <v>0.1005558662160053</v>
      </c>
      <c r="Q98">
        <v>0.749207415291619</v>
      </c>
      <c r="R98" t="s">
        <v>784</v>
      </c>
      <c r="S98" t="s">
        <v>790</v>
      </c>
      <c r="T98">
        <v>138743.99331</v>
      </c>
      <c r="U98" s="2">
        <v>44535</v>
      </c>
      <c r="V98" t="s">
        <v>804</v>
      </c>
    </row>
    <row r="99" spans="1:22">
      <c r="A99" s="1" t="s">
        <v>119</v>
      </c>
      <c r="B99">
        <f>HYPERLINK("https://www.suredividend.com/sure-analysis-MKC/","McCormick &amp; Co., Inc.")</f>
        <v>0</v>
      </c>
      <c r="C99">
        <v>94.66</v>
      </c>
      <c r="D99">
        <v>69</v>
      </c>
      <c r="E99">
        <v>1.371884057971015</v>
      </c>
      <c r="F99">
        <v>0.01563490386646947</v>
      </c>
      <c r="G99">
        <v>-0.06127903327896889</v>
      </c>
      <c r="H99">
        <v>0.08</v>
      </c>
      <c r="I99">
        <v>0.03148382092765778</v>
      </c>
      <c r="J99" t="s">
        <v>780</v>
      </c>
      <c r="K99" t="s">
        <v>352</v>
      </c>
      <c r="L99">
        <v>3</v>
      </c>
      <c r="M99">
        <v>1.48</v>
      </c>
      <c r="N99">
        <v>0.4933333333333333</v>
      </c>
      <c r="O99">
        <v>36</v>
      </c>
      <c r="P99">
        <v>0.07146234783937033</v>
      </c>
      <c r="Q99">
        <v>0.024217563759514</v>
      </c>
      <c r="R99" t="s">
        <v>784</v>
      </c>
      <c r="S99" t="s">
        <v>795</v>
      </c>
      <c r="T99">
        <v>24595.266248</v>
      </c>
      <c r="U99" s="2">
        <v>44470</v>
      </c>
      <c r="V99" t="s">
        <v>800</v>
      </c>
    </row>
    <row r="100" spans="1:22">
      <c r="A100" s="1" t="s">
        <v>120</v>
      </c>
      <c r="B100">
        <f>HYPERLINK("https://www.suredividend.com/sure-analysis-TROW/","T. Rowe Price Group Inc.")</f>
        <v>0</v>
      </c>
      <c r="C100">
        <v>190.62</v>
      </c>
      <c r="D100">
        <v>179</v>
      </c>
      <c r="E100">
        <v>1.064916201117319</v>
      </c>
      <c r="F100">
        <v>0.0226628895184136</v>
      </c>
      <c r="G100">
        <v>-0.01250043462520312</v>
      </c>
      <c r="H100">
        <v>0.02</v>
      </c>
      <c r="I100">
        <v>0.03129560445761359</v>
      </c>
      <c r="J100" t="s">
        <v>780</v>
      </c>
      <c r="K100" t="s">
        <v>781</v>
      </c>
      <c r="L100">
        <v>12.74</v>
      </c>
      <c r="M100">
        <v>4.32</v>
      </c>
      <c r="N100">
        <v>0.3390894819466248</v>
      </c>
      <c r="O100">
        <v>35</v>
      </c>
      <c r="P100">
        <v>0.04563955259127317</v>
      </c>
      <c r="Q100">
        <v>0.342394909031935</v>
      </c>
      <c r="R100" t="s">
        <v>784</v>
      </c>
      <c r="S100" t="s">
        <v>793</v>
      </c>
      <c r="T100">
        <v>43532.087819</v>
      </c>
      <c r="U100" s="2">
        <v>44502</v>
      </c>
      <c r="V100" t="s">
        <v>803</v>
      </c>
    </row>
    <row r="101" spans="1:22">
      <c r="A101" s="1" t="s">
        <v>121</v>
      </c>
      <c r="B101">
        <f>HYPERLINK("https://www.suredividend.com/sure-analysis-COST/","Costco Wholesale Corp")</f>
        <v>0</v>
      </c>
      <c r="C101">
        <v>552.63</v>
      </c>
      <c r="D101">
        <v>405</v>
      </c>
      <c r="E101">
        <v>1.364518518518518</v>
      </c>
      <c r="F101">
        <v>0.005718111575556883</v>
      </c>
      <c r="G101">
        <v>-0.06026778930597398</v>
      </c>
      <c r="H101">
        <v>0.09</v>
      </c>
      <c r="I101">
        <v>0.03119227039255223</v>
      </c>
      <c r="J101" t="s">
        <v>780</v>
      </c>
      <c r="K101" t="s">
        <v>529</v>
      </c>
      <c r="L101">
        <v>12.65</v>
      </c>
      <c r="M101">
        <v>3.16</v>
      </c>
      <c r="N101">
        <v>0.249802371541502</v>
      </c>
      <c r="O101">
        <v>18</v>
      </c>
      <c r="P101">
        <v>0.1000340793951375</v>
      </c>
      <c r="Q101">
        <v>0.5322012074877021</v>
      </c>
      <c r="R101" t="s">
        <v>784</v>
      </c>
      <c r="S101" t="s">
        <v>795</v>
      </c>
      <c r="T101">
        <v>250753.240405</v>
      </c>
      <c r="U101" s="2">
        <v>44542</v>
      </c>
      <c r="V101" t="s">
        <v>804</v>
      </c>
    </row>
    <row r="102" spans="1:22">
      <c r="A102" s="1" t="s">
        <v>122</v>
      </c>
      <c r="B102">
        <f>HYPERLINK("https://www.suredividend.com/sure-analysis-RE/","Everest Re Group Ltd")</f>
        <v>0</v>
      </c>
      <c r="C102">
        <v>270.56</v>
      </c>
      <c r="D102">
        <v>252</v>
      </c>
      <c r="E102">
        <v>1.073650793650794</v>
      </c>
      <c r="F102">
        <v>0.02291543465405086</v>
      </c>
      <c r="G102">
        <v>-0.01411243224545622</v>
      </c>
      <c r="H102">
        <v>0.02</v>
      </c>
      <c r="I102">
        <v>0.03035358377320763</v>
      </c>
      <c r="J102" t="s">
        <v>780</v>
      </c>
      <c r="K102" t="s">
        <v>781</v>
      </c>
      <c r="L102">
        <v>28</v>
      </c>
      <c r="M102">
        <v>6.2</v>
      </c>
      <c r="N102">
        <v>0.2214285714285714</v>
      </c>
      <c r="O102">
        <v>8</v>
      </c>
      <c r="P102">
        <v>0.04992181337625223</v>
      </c>
      <c r="Q102">
        <v>0.18451129033957</v>
      </c>
      <c r="R102" t="s">
        <v>784</v>
      </c>
      <c r="S102" t="s">
        <v>793</v>
      </c>
      <c r="T102">
        <v>10710.077959</v>
      </c>
      <c r="U102" s="2">
        <v>44508</v>
      </c>
      <c r="V102" t="s">
        <v>802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172.32</v>
      </c>
      <c r="D103">
        <v>127</v>
      </c>
      <c r="E103">
        <v>1.356850393700787</v>
      </c>
      <c r="F103">
        <v>0.01160631383472609</v>
      </c>
      <c r="G103">
        <v>-0.05920801892366223</v>
      </c>
      <c r="H103">
        <v>0.08</v>
      </c>
      <c r="I103">
        <v>0.02838125144740822</v>
      </c>
      <c r="J103" t="s">
        <v>780</v>
      </c>
      <c r="K103" t="s">
        <v>781</v>
      </c>
      <c r="L103">
        <v>7.48</v>
      </c>
      <c r="M103">
        <v>2</v>
      </c>
      <c r="N103">
        <v>0.267379679144385</v>
      </c>
      <c r="O103">
        <v>66</v>
      </c>
      <c r="P103">
        <v>0.04978904632428516</v>
      </c>
      <c r="Q103">
        <v>0.4275213001445231</v>
      </c>
      <c r="R103" t="s">
        <v>784</v>
      </c>
      <c r="S103" t="s">
        <v>791</v>
      </c>
      <c r="T103">
        <v>24717.845381</v>
      </c>
      <c r="U103" s="2">
        <v>44488</v>
      </c>
      <c r="V103" t="s">
        <v>800</v>
      </c>
    </row>
    <row r="104" spans="1:22">
      <c r="A104" s="1" t="s">
        <v>124</v>
      </c>
      <c r="B104">
        <f>HYPERLINK("https://www.suredividend.com/sure-analysis-BRO/","Brown &amp; Brown, Inc.")</f>
        <v>0</v>
      </c>
      <c r="C104">
        <v>67.23999999999999</v>
      </c>
      <c r="D104">
        <v>53</v>
      </c>
      <c r="E104">
        <v>1.268679245283019</v>
      </c>
      <c r="F104">
        <v>0.006097560975609756</v>
      </c>
      <c r="G104">
        <v>-0.04648038158906831</v>
      </c>
      <c r="H104">
        <v>0.07000000000000001</v>
      </c>
      <c r="I104">
        <v>0.02749834798946504</v>
      </c>
      <c r="J104" t="s">
        <v>780</v>
      </c>
      <c r="K104" t="s">
        <v>352</v>
      </c>
      <c r="L104">
        <v>2.2</v>
      </c>
      <c r="M104">
        <v>0.41</v>
      </c>
      <c r="N104">
        <v>0.1863636363636363</v>
      </c>
      <c r="O104">
        <v>28</v>
      </c>
      <c r="P104">
        <v>0.08971100922578001</v>
      </c>
      <c r="Q104">
        <v>0.4701149350803641</v>
      </c>
      <c r="R104" t="s">
        <v>784</v>
      </c>
      <c r="S104" t="s">
        <v>793</v>
      </c>
      <c r="T104">
        <v>19221.970662</v>
      </c>
      <c r="U104" s="2">
        <v>44507</v>
      </c>
      <c r="V104" t="s">
        <v>804</v>
      </c>
    </row>
    <row r="105" spans="1:22">
      <c r="A105" s="1" t="s">
        <v>125</v>
      </c>
      <c r="B105">
        <f>HYPERLINK("https://www.suredividend.com/sure-analysis-ORCL/","Oracle Corp.")</f>
        <v>0</v>
      </c>
      <c r="C105">
        <v>103.22</v>
      </c>
      <c r="D105">
        <v>75</v>
      </c>
      <c r="E105">
        <v>1.376266666666667</v>
      </c>
      <c r="F105">
        <v>0.01240069753923658</v>
      </c>
      <c r="G105">
        <v>-0.06187765230306796</v>
      </c>
      <c r="H105">
        <v>0.08</v>
      </c>
      <c r="I105">
        <v>0.02728038811128686</v>
      </c>
      <c r="J105" t="s">
        <v>780</v>
      </c>
      <c r="K105" t="s">
        <v>352</v>
      </c>
      <c r="L105">
        <v>4.7</v>
      </c>
      <c r="M105">
        <v>1.28</v>
      </c>
      <c r="N105">
        <v>0.2723404255319149</v>
      </c>
      <c r="O105">
        <v>12</v>
      </c>
      <c r="P105">
        <v>0.07056368416916192</v>
      </c>
      <c r="Q105">
        <v>0.70137538102437</v>
      </c>
      <c r="R105" t="s">
        <v>784</v>
      </c>
      <c r="S105" t="s">
        <v>790</v>
      </c>
      <c r="T105">
        <v>276791.83155</v>
      </c>
      <c r="U105" s="2">
        <v>44476</v>
      </c>
      <c r="V105" t="s">
        <v>802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45.85</v>
      </c>
      <c r="D106">
        <v>46</v>
      </c>
      <c r="E106">
        <v>0.9967391304347827</v>
      </c>
      <c r="F106">
        <v>0.02529989094874591</v>
      </c>
      <c r="G106">
        <v>0.0006534529647499454</v>
      </c>
      <c r="H106">
        <v>0</v>
      </c>
      <c r="I106">
        <v>0.02679003339364638</v>
      </c>
      <c r="J106" t="s">
        <v>780</v>
      </c>
      <c r="K106" t="s">
        <v>781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0.5236770563317951</v>
      </c>
      <c r="R106" t="s">
        <v>784</v>
      </c>
      <c r="S106" t="s">
        <v>793</v>
      </c>
      <c r="T106">
        <v>5567.018935</v>
      </c>
      <c r="U106" s="2">
        <v>44493</v>
      </c>
      <c r="V106" t="s">
        <v>803</v>
      </c>
    </row>
    <row r="107" spans="1:22">
      <c r="A107" s="1" t="s">
        <v>127</v>
      </c>
      <c r="B107">
        <f>HYPERLINK("https://www.suredividend.com/sure-analysis-SPGI/","S&amp;P Global Inc")</f>
        <v>0</v>
      </c>
      <c r="C107">
        <v>476.83</v>
      </c>
      <c r="D107">
        <v>355</v>
      </c>
      <c r="E107">
        <v>1.343183098591549</v>
      </c>
      <c r="F107">
        <v>0.006459325126355305</v>
      </c>
      <c r="G107">
        <v>-0.05730119550485491</v>
      </c>
      <c r="H107">
        <v>0.08</v>
      </c>
      <c r="I107">
        <v>0.0265313509329419</v>
      </c>
      <c r="J107" t="s">
        <v>780</v>
      </c>
      <c r="K107" t="s">
        <v>352</v>
      </c>
      <c r="L107">
        <v>13.65</v>
      </c>
      <c r="M107">
        <v>3.08</v>
      </c>
      <c r="N107">
        <v>0.2256410256410256</v>
      </c>
      <c r="O107">
        <v>48</v>
      </c>
      <c r="P107">
        <v>0.1200820117377759</v>
      </c>
      <c r="Q107">
        <v>0.49059806291029</v>
      </c>
      <c r="R107" t="s">
        <v>784</v>
      </c>
      <c r="S107" t="s">
        <v>793</v>
      </c>
      <c r="T107">
        <v>115431.77</v>
      </c>
      <c r="U107" s="2">
        <v>44512</v>
      </c>
      <c r="V107" t="s">
        <v>804</v>
      </c>
    </row>
    <row r="108" spans="1:22">
      <c r="A108" s="1" t="s">
        <v>128</v>
      </c>
      <c r="B108">
        <f>HYPERLINK("https://www.suredividend.com/sure-analysis-THFF/","First Financial Corp. - Indiana")</f>
        <v>0</v>
      </c>
      <c r="C108">
        <v>45.1</v>
      </c>
      <c r="D108">
        <v>48</v>
      </c>
      <c r="E108">
        <v>0.9395833333333333</v>
      </c>
      <c r="F108">
        <v>0.02350332594235033</v>
      </c>
      <c r="G108">
        <v>0.01254174915302375</v>
      </c>
      <c r="H108">
        <v>-0.01</v>
      </c>
      <c r="I108">
        <v>0.02598908438594694</v>
      </c>
      <c r="J108" t="s">
        <v>780</v>
      </c>
      <c r="K108" t="s">
        <v>780</v>
      </c>
      <c r="L108">
        <v>4.4</v>
      </c>
      <c r="M108">
        <v>1.06</v>
      </c>
      <c r="N108">
        <v>0.2409090909090909</v>
      </c>
      <c r="O108">
        <v>32</v>
      </c>
      <c r="P108">
        <v>0.01994322923769842</v>
      </c>
      <c r="Q108">
        <v>0.171933297201341</v>
      </c>
      <c r="R108" t="s">
        <v>784</v>
      </c>
      <c r="S108" t="s">
        <v>793</v>
      </c>
      <c r="T108">
        <v>576.147855</v>
      </c>
      <c r="U108" s="2">
        <v>44518</v>
      </c>
      <c r="V108" t="s">
        <v>804</v>
      </c>
    </row>
    <row r="109" spans="1:22">
      <c r="A109" s="1" t="s">
        <v>129</v>
      </c>
      <c r="B109">
        <f>HYPERLINK("https://www.suredividend.com/sure-analysis-CSVI/","Computer Services, Inc.")</f>
        <v>0</v>
      </c>
      <c r="C109">
        <v>54.4</v>
      </c>
      <c r="D109">
        <v>37</v>
      </c>
      <c r="E109">
        <v>1.47027027027027</v>
      </c>
      <c r="F109">
        <v>0.01985294117647059</v>
      </c>
      <c r="G109">
        <v>-0.07419277674928348</v>
      </c>
      <c r="H109">
        <v>0.08</v>
      </c>
      <c r="I109">
        <v>0.02398210759781616</v>
      </c>
      <c r="J109" t="s">
        <v>780</v>
      </c>
      <c r="K109" t="s">
        <v>781</v>
      </c>
      <c r="L109">
        <v>2.15</v>
      </c>
      <c r="M109">
        <v>1.08</v>
      </c>
      <c r="N109">
        <v>0.5023255813953489</v>
      </c>
      <c r="O109">
        <v>50</v>
      </c>
      <c r="P109">
        <v>0.08178074106640287</v>
      </c>
      <c r="Q109">
        <v>-0.08443791911710101</v>
      </c>
      <c r="R109" t="s">
        <v>784</v>
      </c>
      <c r="S109" t="s">
        <v>790</v>
      </c>
      <c r="T109">
        <v>1523.905569</v>
      </c>
      <c r="U109" s="2">
        <v>44477</v>
      </c>
      <c r="V109" t="s">
        <v>807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395.92</v>
      </c>
      <c r="D110">
        <v>320</v>
      </c>
      <c r="E110">
        <v>1.23725</v>
      </c>
      <c r="F110">
        <v>0.006263891695291978</v>
      </c>
      <c r="G110">
        <v>-0.0416845111954055</v>
      </c>
      <c r="H110">
        <v>0.06</v>
      </c>
      <c r="I110">
        <v>0.0238219370088677</v>
      </c>
      <c r="J110" t="s">
        <v>780</v>
      </c>
      <c r="K110" t="s">
        <v>529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0.444517042163132</v>
      </c>
      <c r="R110" t="s">
        <v>784</v>
      </c>
      <c r="S110" t="s">
        <v>793</v>
      </c>
      <c r="T110">
        <v>73938.007</v>
      </c>
      <c r="U110" s="2">
        <v>44518</v>
      </c>
      <c r="V110" t="s">
        <v>804</v>
      </c>
    </row>
    <row r="111" spans="1:22">
      <c r="A111" s="1" t="s">
        <v>131</v>
      </c>
      <c r="B111">
        <f>HYPERLINK("https://www.suredividend.com/sure-analysis-CSL/","Carlisle Companies Inc.")</f>
        <v>0</v>
      </c>
      <c r="C111">
        <v>244.78</v>
      </c>
      <c r="D111">
        <v>184</v>
      </c>
      <c r="E111">
        <v>1.330326086956522</v>
      </c>
      <c r="F111">
        <v>0.008824250347250593</v>
      </c>
      <c r="G111">
        <v>-0.05548604588080996</v>
      </c>
      <c r="H111">
        <v>0.07000000000000001</v>
      </c>
      <c r="I111">
        <v>0.02054119390446973</v>
      </c>
      <c r="J111" t="s">
        <v>780</v>
      </c>
      <c r="K111" t="s">
        <v>352</v>
      </c>
      <c r="L111">
        <v>9.199999999999999</v>
      </c>
      <c r="M111">
        <v>2.16</v>
      </c>
      <c r="N111">
        <v>0.2347826086956522</v>
      </c>
      <c r="O111">
        <v>45</v>
      </c>
      <c r="P111">
        <v>0.05995839365595068</v>
      </c>
      <c r="Q111">
        <v>0.5627253805320821</v>
      </c>
      <c r="R111" t="s">
        <v>784</v>
      </c>
      <c r="S111" t="s">
        <v>791</v>
      </c>
      <c r="T111">
        <v>12518.494595</v>
      </c>
      <c r="U111" s="2">
        <v>44509</v>
      </c>
      <c r="V111" t="s">
        <v>802</v>
      </c>
    </row>
    <row r="112" spans="1:22">
      <c r="A112" s="1" t="s">
        <v>132</v>
      </c>
      <c r="B112">
        <f>HYPERLINK("https://www.suredividend.com/sure-analysis-FUL/","H.B. Fuller Company")</f>
        <v>0</v>
      </c>
      <c r="C112">
        <v>79.45999999999999</v>
      </c>
      <c r="D112">
        <v>54</v>
      </c>
      <c r="E112">
        <v>1.471481481481481</v>
      </c>
      <c r="F112">
        <v>0.008431915429146742</v>
      </c>
      <c r="G112">
        <v>-0.07434523771981383</v>
      </c>
      <c r="H112">
        <v>0.09</v>
      </c>
      <c r="I112">
        <v>0.0182651940957208</v>
      </c>
      <c r="J112" t="s">
        <v>780</v>
      </c>
      <c r="K112" t="s">
        <v>352</v>
      </c>
      <c r="L112">
        <v>3.6</v>
      </c>
      <c r="M112">
        <v>0.67</v>
      </c>
      <c r="N112">
        <v>0.1861111111111111</v>
      </c>
      <c r="O112">
        <v>52</v>
      </c>
      <c r="P112">
        <v>0.05119849323654324</v>
      </c>
      <c r="Q112">
        <v>0.51344730090984</v>
      </c>
      <c r="R112" t="s">
        <v>784</v>
      </c>
      <c r="S112" t="s">
        <v>794</v>
      </c>
      <c r="T112">
        <v>4129.697485</v>
      </c>
      <c r="U112" s="2">
        <v>44463</v>
      </c>
      <c r="V112" t="s">
        <v>807</v>
      </c>
    </row>
    <row r="113" spans="1:22">
      <c r="A113" s="1" t="s">
        <v>133</v>
      </c>
      <c r="B113">
        <f>HYPERLINK("https://www.suredividend.com/sure-analysis-GRC/","Gorman-Rupp Co.")</f>
        <v>0</v>
      </c>
      <c r="C113">
        <v>44.05</v>
      </c>
      <c r="D113">
        <v>33</v>
      </c>
      <c r="E113">
        <v>1.334848484848485</v>
      </c>
      <c r="F113">
        <v>0.01543700340522134</v>
      </c>
      <c r="G113">
        <v>-0.0561269078758232</v>
      </c>
      <c r="H113">
        <v>0.06</v>
      </c>
      <c r="I113">
        <v>0.01780090028646164</v>
      </c>
      <c r="J113" t="s">
        <v>780</v>
      </c>
      <c r="K113" t="s">
        <v>781</v>
      </c>
      <c r="L113">
        <v>1.3</v>
      </c>
      <c r="M113">
        <v>0.68</v>
      </c>
      <c r="N113">
        <v>0.5230769230769231</v>
      </c>
      <c r="O113">
        <v>49</v>
      </c>
      <c r="P113">
        <v>0.0505145404837426</v>
      </c>
      <c r="Q113">
        <v>0.326263024761551</v>
      </c>
      <c r="R113" t="s">
        <v>784</v>
      </c>
      <c r="S113" t="s">
        <v>791</v>
      </c>
      <c r="T113">
        <v>1194.509981</v>
      </c>
      <c r="U113" s="2">
        <v>44499</v>
      </c>
      <c r="V113" t="s">
        <v>804</v>
      </c>
    </row>
    <row r="114" spans="1:22">
      <c r="A114" s="1" t="s">
        <v>134</v>
      </c>
      <c r="B114">
        <f>HYPERLINK("https://www.suredividend.com/sure-analysis-UBSI/","United Bankshares, Inc.")</f>
        <v>0</v>
      </c>
      <c r="C114">
        <v>35.02</v>
      </c>
      <c r="D114">
        <v>34</v>
      </c>
      <c r="E114">
        <v>1.03</v>
      </c>
      <c r="F114">
        <v>0.03997715591090804</v>
      </c>
      <c r="G114">
        <v>-0.005894320376609419</v>
      </c>
      <c r="H114">
        <v>-0.02</v>
      </c>
      <c r="I114">
        <v>0.01741371810423176</v>
      </c>
      <c r="J114" t="s">
        <v>780</v>
      </c>
      <c r="K114" t="s">
        <v>780</v>
      </c>
      <c r="L114">
        <v>2.85</v>
      </c>
      <c r="M114">
        <v>1.4</v>
      </c>
      <c r="N114">
        <v>0.4912280701754386</v>
      </c>
      <c r="O114">
        <v>46</v>
      </c>
      <c r="P114">
        <v>0.02056514630321193</v>
      </c>
      <c r="Q114">
        <v>0.164490531230124</v>
      </c>
      <c r="R114" t="s">
        <v>784</v>
      </c>
      <c r="S114" t="s">
        <v>793</v>
      </c>
      <c r="T114">
        <v>4518.23475</v>
      </c>
      <c r="U114" s="2">
        <v>44501</v>
      </c>
      <c r="V114" t="s">
        <v>804</v>
      </c>
    </row>
    <row r="115" spans="1:22">
      <c r="A115" s="1" t="s">
        <v>135</v>
      </c>
      <c r="B115">
        <f>HYPERLINK("https://www.suredividend.com/sure-analysis-SRCE/","1st Source Corp.")</f>
        <v>0</v>
      </c>
      <c r="C115">
        <v>48.81</v>
      </c>
      <c r="D115">
        <v>60</v>
      </c>
      <c r="E115">
        <v>0.8135</v>
      </c>
      <c r="F115">
        <v>0.02540463019872977</v>
      </c>
      <c r="G115">
        <v>0.04214581427448683</v>
      </c>
      <c r="H115">
        <v>-0.05</v>
      </c>
      <c r="I115">
        <v>0.01665251694273118</v>
      </c>
      <c r="J115" t="s">
        <v>780</v>
      </c>
      <c r="K115" t="s">
        <v>780</v>
      </c>
      <c r="L115">
        <v>4.8</v>
      </c>
      <c r="M115">
        <v>1.24</v>
      </c>
      <c r="N115">
        <v>0.2583333333333334</v>
      </c>
      <c r="O115">
        <v>34</v>
      </c>
      <c r="P115">
        <v>0.02013999925026777</v>
      </c>
      <c r="Q115">
        <v>0.21681109316454</v>
      </c>
      <c r="R115" t="s">
        <v>784</v>
      </c>
      <c r="S115" t="s">
        <v>793</v>
      </c>
      <c r="T115">
        <v>1207.549253</v>
      </c>
      <c r="U115" s="2">
        <v>44498</v>
      </c>
      <c r="V115" t="s">
        <v>804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265.55</v>
      </c>
      <c r="D116">
        <v>186</v>
      </c>
      <c r="E116">
        <v>1.427688172043011</v>
      </c>
      <c r="F116">
        <v>0.02078704575409527</v>
      </c>
      <c r="G116">
        <v>-0.06873489997794424</v>
      </c>
      <c r="H116">
        <v>0.06</v>
      </c>
      <c r="I116">
        <v>0.01202300675233459</v>
      </c>
      <c r="J116" t="s">
        <v>780</v>
      </c>
      <c r="K116" t="s">
        <v>781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0.259315012994481</v>
      </c>
      <c r="R116" t="s">
        <v>784</v>
      </c>
      <c r="S116" t="s">
        <v>792</v>
      </c>
      <c r="T116">
        <v>197661.36035</v>
      </c>
      <c r="U116" s="2">
        <v>44497</v>
      </c>
      <c r="V116" t="s">
        <v>803</v>
      </c>
    </row>
    <row r="117" spans="1:22">
      <c r="A117" s="1" t="s">
        <v>137</v>
      </c>
      <c r="B117">
        <f>HYPERLINK("https://www.suredividend.com/sure-analysis-CB/","Chubb Limited")</f>
        <v>0</v>
      </c>
      <c r="C117">
        <v>195.86</v>
      </c>
      <c r="D117">
        <v>148</v>
      </c>
      <c r="E117">
        <v>1.323378378378379</v>
      </c>
      <c r="F117">
        <v>0.01633820075564179</v>
      </c>
      <c r="G117">
        <v>-0.05449638631297271</v>
      </c>
      <c r="H117">
        <v>0.05</v>
      </c>
      <c r="I117">
        <v>0.01183252214006614</v>
      </c>
      <c r="J117" t="s">
        <v>780</v>
      </c>
      <c r="K117" t="s">
        <v>781</v>
      </c>
      <c r="L117">
        <v>12.2</v>
      </c>
      <c r="M117">
        <v>3.2</v>
      </c>
      <c r="N117">
        <v>0.2622950819672131</v>
      </c>
      <c r="O117">
        <v>28</v>
      </c>
      <c r="P117">
        <v>0.05488534927137567</v>
      </c>
      <c r="Q117">
        <v>0.280081857377833</v>
      </c>
      <c r="R117" t="s">
        <v>784</v>
      </c>
      <c r="S117" t="s">
        <v>793</v>
      </c>
      <c r="T117">
        <v>83201.98564499999</v>
      </c>
      <c r="U117" s="2">
        <v>44506</v>
      </c>
      <c r="V117" t="s">
        <v>802</v>
      </c>
    </row>
    <row r="118" spans="1:22">
      <c r="A118" s="1" t="s">
        <v>138</v>
      </c>
      <c r="B118">
        <f>HYPERLINK("https://www.suredividend.com/sure-analysis-NKE/","Nike, Inc.")</f>
        <v>0</v>
      </c>
      <c r="C118">
        <v>162.72</v>
      </c>
      <c r="D118">
        <v>102</v>
      </c>
      <c r="E118">
        <v>1.595294117647059</v>
      </c>
      <c r="F118">
        <v>0.007497541789577187</v>
      </c>
      <c r="G118">
        <v>-0.08918149145483856</v>
      </c>
      <c r="H118">
        <v>0.1</v>
      </c>
      <c r="I118">
        <v>0.01168561965645076</v>
      </c>
      <c r="J118" t="s">
        <v>780</v>
      </c>
      <c r="K118" t="s">
        <v>352</v>
      </c>
      <c r="L118">
        <v>4.25</v>
      </c>
      <c r="M118">
        <v>1.22</v>
      </c>
      <c r="N118">
        <v>0.2870588235294118</v>
      </c>
      <c r="O118">
        <v>20</v>
      </c>
      <c r="P118">
        <v>0.09945953022431997</v>
      </c>
      <c r="Q118">
        <v>0.184679113868696</v>
      </c>
      <c r="R118" t="s">
        <v>784</v>
      </c>
      <c r="S118" t="s">
        <v>792</v>
      </c>
      <c r="T118">
        <v>257295.139622</v>
      </c>
      <c r="U118" s="2">
        <v>44464</v>
      </c>
      <c r="V118" t="s">
        <v>803</v>
      </c>
    </row>
    <row r="119" spans="1:22">
      <c r="A119" s="1" t="s">
        <v>139</v>
      </c>
      <c r="B119">
        <f>HYPERLINK("https://www.suredividend.com/sure-analysis-CHD/","Church &amp; Dwight Co., Inc.")</f>
        <v>0</v>
      </c>
      <c r="C119">
        <v>101.54</v>
      </c>
      <c r="D119">
        <v>75</v>
      </c>
      <c r="E119">
        <v>1.353866666666667</v>
      </c>
      <c r="F119">
        <v>0.009946818987591097</v>
      </c>
      <c r="G119">
        <v>-0.05879371000306188</v>
      </c>
      <c r="H119">
        <v>0.06</v>
      </c>
      <c r="I119">
        <v>0.009756834744459209</v>
      </c>
      <c r="J119" t="s">
        <v>780</v>
      </c>
      <c r="K119" t="s">
        <v>352</v>
      </c>
      <c r="L119">
        <v>3</v>
      </c>
      <c r="M119">
        <v>1.01</v>
      </c>
      <c r="N119">
        <v>0.3366666666666667</v>
      </c>
      <c r="O119">
        <v>25</v>
      </c>
      <c r="P119">
        <v>0.0705165705095081</v>
      </c>
      <c r="Q119">
        <v>0.163779335224817</v>
      </c>
      <c r="R119" t="s">
        <v>784</v>
      </c>
      <c r="S119" t="s">
        <v>795</v>
      </c>
      <c r="T119">
        <v>24195.103071</v>
      </c>
      <c r="U119" s="2">
        <v>44519</v>
      </c>
      <c r="V119" t="s">
        <v>804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90.90000000000001</v>
      </c>
      <c r="D120">
        <v>59</v>
      </c>
      <c r="E120">
        <v>1.540677966101695</v>
      </c>
      <c r="F120">
        <v>0.0077007700770077</v>
      </c>
      <c r="G120">
        <v>-0.08281355928667578</v>
      </c>
      <c r="H120">
        <v>0.09</v>
      </c>
      <c r="I120">
        <v>0.00949717956125018</v>
      </c>
      <c r="J120" t="s">
        <v>780</v>
      </c>
      <c r="K120" t="s">
        <v>352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0.279964971434707</v>
      </c>
      <c r="R120" t="s">
        <v>784</v>
      </c>
      <c r="S120" t="s">
        <v>791</v>
      </c>
      <c r="T120">
        <v>4261.8779</v>
      </c>
      <c r="U120" s="2">
        <v>44496</v>
      </c>
      <c r="V120" t="s">
        <v>807</v>
      </c>
    </row>
    <row r="121" spans="1:22">
      <c r="A121" s="1" t="s">
        <v>141</v>
      </c>
      <c r="B121">
        <f>HYPERLINK("https://www.suredividend.com/sure-analysis-ITW/","Illinois Tool Works, Inc.")</f>
        <v>0</v>
      </c>
      <c r="C121">
        <v>245.39</v>
      </c>
      <c r="D121">
        <v>160</v>
      </c>
      <c r="E121">
        <v>1.5336875</v>
      </c>
      <c r="F121">
        <v>0.01988671094991646</v>
      </c>
      <c r="G121">
        <v>-0.08197898207746379</v>
      </c>
      <c r="H121">
        <v>0.07000000000000001</v>
      </c>
      <c r="I121">
        <v>0.005254398039959529</v>
      </c>
      <c r="J121" t="s">
        <v>780</v>
      </c>
      <c r="K121" t="s">
        <v>781</v>
      </c>
      <c r="L121">
        <v>8.4</v>
      </c>
      <c r="M121">
        <v>4.88</v>
      </c>
      <c r="N121">
        <v>0.5809523809523809</v>
      </c>
      <c r="O121">
        <v>58</v>
      </c>
      <c r="P121">
        <v>0.0400957567386353</v>
      </c>
      <c r="Q121">
        <v>0.229203733809799</v>
      </c>
      <c r="R121" t="s">
        <v>784</v>
      </c>
      <c r="S121" t="s">
        <v>791</v>
      </c>
      <c r="T121">
        <v>76916.471661</v>
      </c>
      <c r="U121" s="2">
        <v>44501</v>
      </c>
      <c r="V121" t="s">
        <v>803</v>
      </c>
    </row>
    <row r="122" spans="1:22">
      <c r="A122" s="1" t="s">
        <v>142</v>
      </c>
      <c r="B122">
        <f>HYPERLINK("https://www.suredividend.com/sure-analysis-PG/","Procter &amp; Gamble Co.")</f>
        <v>0</v>
      </c>
      <c r="C122">
        <v>161.11</v>
      </c>
      <c r="D122">
        <v>118</v>
      </c>
      <c r="E122">
        <v>1.365338983050848</v>
      </c>
      <c r="F122">
        <v>0.02160014896654459</v>
      </c>
      <c r="G122">
        <v>-0.0603807579319523</v>
      </c>
      <c r="H122">
        <v>0.04</v>
      </c>
      <c r="I122">
        <v>0.00291159975111599</v>
      </c>
      <c r="J122" t="s">
        <v>780</v>
      </c>
      <c r="K122" t="s">
        <v>781</v>
      </c>
      <c r="L122">
        <v>5.9</v>
      </c>
      <c r="M122">
        <v>3.48</v>
      </c>
      <c r="N122">
        <v>0.5898305084745762</v>
      </c>
      <c r="O122">
        <v>65</v>
      </c>
      <c r="P122">
        <v>0.04515835609077623</v>
      </c>
      <c r="Q122">
        <v>0.191764029821858</v>
      </c>
      <c r="R122" t="s">
        <v>784</v>
      </c>
      <c r="S122" t="s">
        <v>795</v>
      </c>
      <c r="T122">
        <v>384432.910526</v>
      </c>
      <c r="U122" s="2">
        <v>44488</v>
      </c>
      <c r="V122" t="s">
        <v>803</v>
      </c>
    </row>
    <row r="123" spans="1:22">
      <c r="A123" s="1" t="s">
        <v>143</v>
      </c>
      <c r="B123">
        <f>HYPERLINK("https://www.suredividend.com/sure-analysis-RPM/","RPM International, Inc.")</f>
        <v>0</v>
      </c>
      <c r="C123">
        <v>99.77</v>
      </c>
      <c r="D123">
        <v>72</v>
      </c>
      <c r="E123">
        <v>1.385694444444444</v>
      </c>
      <c r="F123">
        <v>0.01603688483512078</v>
      </c>
      <c r="G123">
        <v>-0.0631576714999621</v>
      </c>
      <c r="H123">
        <v>0.05</v>
      </c>
      <c r="I123">
        <v>0.002789956905196345</v>
      </c>
      <c r="J123" t="s">
        <v>780</v>
      </c>
      <c r="K123" t="s">
        <v>781</v>
      </c>
      <c r="L123">
        <v>4</v>
      </c>
      <c r="M123">
        <v>1.6</v>
      </c>
      <c r="N123">
        <v>0.4</v>
      </c>
      <c r="O123">
        <v>48</v>
      </c>
      <c r="P123">
        <v>0.04978904632428516</v>
      </c>
      <c r="Q123">
        <v>0.155678320205058</v>
      </c>
      <c r="R123" t="s">
        <v>784</v>
      </c>
      <c r="S123" t="s">
        <v>794</v>
      </c>
      <c r="T123">
        <v>12808.12881</v>
      </c>
      <c r="U123" s="2">
        <v>44475</v>
      </c>
      <c r="V123" t="s">
        <v>800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70.89</v>
      </c>
      <c r="D124">
        <v>43</v>
      </c>
      <c r="E124">
        <v>1.648604651162791</v>
      </c>
      <c r="F124">
        <v>0.01918465227817746</v>
      </c>
      <c r="G124">
        <v>-0.09514978098894467</v>
      </c>
      <c r="H124">
        <v>0.076</v>
      </c>
      <c r="I124">
        <v>-0.002107349357241772</v>
      </c>
      <c r="J124" t="s">
        <v>780</v>
      </c>
      <c r="K124" t="s">
        <v>781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0.022784898411697</v>
      </c>
      <c r="R124" t="s">
        <v>784</v>
      </c>
      <c r="S124" t="s">
        <v>796</v>
      </c>
      <c r="T124">
        <v>2099.468541</v>
      </c>
      <c r="U124" s="2">
        <v>44502</v>
      </c>
      <c r="V124" t="s">
        <v>800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136.09</v>
      </c>
      <c r="D125">
        <v>101</v>
      </c>
      <c r="E125">
        <v>1.347425742574258</v>
      </c>
      <c r="F125">
        <v>0.0138143875376589</v>
      </c>
      <c r="G125">
        <v>-0.05789560040032393</v>
      </c>
      <c r="H125">
        <v>0.04</v>
      </c>
      <c r="I125">
        <v>-0.00290157185860207</v>
      </c>
      <c r="J125" t="s">
        <v>780</v>
      </c>
      <c r="K125" t="s">
        <v>781</v>
      </c>
      <c r="L125">
        <v>5.05</v>
      </c>
      <c r="M125">
        <v>1.88</v>
      </c>
      <c r="N125">
        <v>0.3722772277227723</v>
      </c>
      <c r="O125">
        <v>50</v>
      </c>
      <c r="P125">
        <v>0.06034828502666922</v>
      </c>
      <c r="Q125">
        <v>0.281111077509299</v>
      </c>
      <c r="R125" t="s">
        <v>784</v>
      </c>
      <c r="S125" t="s">
        <v>789</v>
      </c>
      <c r="T125">
        <v>239708.981518</v>
      </c>
      <c r="U125" s="2">
        <v>44490</v>
      </c>
      <c r="V125" t="s">
        <v>803</v>
      </c>
    </row>
    <row r="126" spans="1:22">
      <c r="A126" s="1" t="s">
        <v>146</v>
      </c>
      <c r="B126">
        <f>HYPERLINK("https://www.suredividend.com/sure-analysis-ATR/","Aptargroup Inc.")</f>
        <v>0</v>
      </c>
      <c r="C126">
        <v>118.69</v>
      </c>
      <c r="D126">
        <v>77</v>
      </c>
      <c r="E126">
        <v>1.541428571428571</v>
      </c>
      <c r="F126">
        <v>0.01263796444519336</v>
      </c>
      <c r="G126">
        <v>-0.08290290227364405</v>
      </c>
      <c r="H126">
        <v>0.07000000000000001</v>
      </c>
      <c r="I126">
        <v>-0.003398376098017075</v>
      </c>
      <c r="J126" t="s">
        <v>780</v>
      </c>
      <c r="K126" t="s">
        <v>352</v>
      </c>
      <c r="L126">
        <v>3.87</v>
      </c>
      <c r="M126">
        <v>1.5</v>
      </c>
      <c r="N126">
        <v>0.3875968992248062</v>
      </c>
      <c r="O126">
        <v>28</v>
      </c>
      <c r="P126">
        <v>0.04951444805329408</v>
      </c>
      <c r="Q126">
        <v>-0.08121722999064601</v>
      </c>
      <c r="R126" t="s">
        <v>784</v>
      </c>
      <c r="S126" t="s">
        <v>792</v>
      </c>
      <c r="T126">
        <v>7791.954537</v>
      </c>
      <c r="U126" s="2">
        <v>44507</v>
      </c>
      <c r="V126" t="s">
        <v>801</v>
      </c>
    </row>
    <row r="127" spans="1:22">
      <c r="A127" s="1" t="s">
        <v>147</v>
      </c>
      <c r="B127">
        <f>HYPERLINK("https://www.suredividend.com/sure-analysis-MSFT/","Microsoft Corporation")</f>
        <v>0</v>
      </c>
      <c r="C127">
        <v>324.9</v>
      </c>
      <c r="D127">
        <v>216</v>
      </c>
      <c r="E127">
        <v>1.504166666666667</v>
      </c>
      <c r="F127">
        <v>0.007633117882425362</v>
      </c>
      <c r="G127">
        <v>-0.07840351862306949</v>
      </c>
      <c r="H127">
        <v>0.07000000000000001</v>
      </c>
      <c r="I127">
        <v>-0.003570889056329851</v>
      </c>
      <c r="J127" t="s">
        <v>780</v>
      </c>
      <c r="K127" t="s">
        <v>352</v>
      </c>
      <c r="L127">
        <v>9</v>
      </c>
      <c r="M127">
        <v>2.48</v>
      </c>
      <c r="N127">
        <v>0.2755555555555556</v>
      </c>
      <c r="O127">
        <v>20</v>
      </c>
      <c r="P127">
        <v>0.09024056365188593</v>
      </c>
      <c r="Q127">
        <v>0.5759359547916171</v>
      </c>
      <c r="R127" t="s">
        <v>784</v>
      </c>
      <c r="S127" t="s">
        <v>790</v>
      </c>
      <c r="T127">
        <v>2512545.655585</v>
      </c>
      <c r="U127" s="2">
        <v>44497</v>
      </c>
      <c r="V127" t="s">
        <v>803</v>
      </c>
    </row>
    <row r="128" spans="1:22">
      <c r="A128" s="1" t="s">
        <v>148</v>
      </c>
      <c r="B128">
        <f>HYPERLINK("https://www.suredividend.com/sure-analysis-GWW/","W.W. Grainger Inc.")</f>
        <v>0</v>
      </c>
      <c r="C128">
        <v>508.33</v>
      </c>
      <c r="D128">
        <v>356</v>
      </c>
      <c r="E128">
        <v>1.427893258426966</v>
      </c>
      <c r="F128">
        <v>0.01274762457458738</v>
      </c>
      <c r="G128">
        <v>-0.06876165278517665</v>
      </c>
      <c r="H128">
        <v>0.05</v>
      </c>
      <c r="I128">
        <v>-0.0060655465941164</v>
      </c>
      <c r="J128" t="s">
        <v>780</v>
      </c>
      <c r="K128" t="s">
        <v>781</v>
      </c>
      <c r="L128">
        <v>19.75</v>
      </c>
      <c r="M128">
        <v>6.48</v>
      </c>
      <c r="N128">
        <v>0.3281012658227848</v>
      </c>
      <c r="O128">
        <v>50</v>
      </c>
      <c r="P128">
        <v>0.06020279266594519</v>
      </c>
      <c r="Q128">
        <v>0.28594297564127</v>
      </c>
      <c r="R128" t="s">
        <v>784</v>
      </c>
      <c r="S128" t="s">
        <v>791</v>
      </c>
      <c r="T128">
        <v>26478.728156</v>
      </c>
      <c r="U128" s="2">
        <v>44505</v>
      </c>
      <c r="V128" t="s">
        <v>803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83.78</v>
      </c>
      <c r="D129">
        <v>55</v>
      </c>
      <c r="E129">
        <v>1.523272727272727</v>
      </c>
      <c r="F129">
        <v>0.01336834566722368</v>
      </c>
      <c r="G129">
        <v>-0.08072708028983888</v>
      </c>
      <c r="H129">
        <v>0.06</v>
      </c>
      <c r="I129">
        <v>-0.007437379188075077</v>
      </c>
      <c r="J129" t="s">
        <v>780</v>
      </c>
      <c r="K129" t="s">
        <v>352</v>
      </c>
      <c r="L129">
        <v>2.88</v>
      </c>
      <c r="M129">
        <v>1.12</v>
      </c>
      <c r="N129">
        <v>0.388888888888889</v>
      </c>
      <c r="O129">
        <v>28</v>
      </c>
      <c r="P129">
        <v>0.08057069246502624</v>
      </c>
      <c r="Q129">
        <v>0.5083149308215781</v>
      </c>
      <c r="R129" t="s">
        <v>784</v>
      </c>
      <c r="S129" t="s">
        <v>791</v>
      </c>
      <c r="T129">
        <v>13509.52554</v>
      </c>
      <c r="U129" s="2">
        <v>44510</v>
      </c>
      <c r="V129" t="s">
        <v>802</v>
      </c>
    </row>
    <row r="130" spans="1:22">
      <c r="A130" s="1" t="s">
        <v>150</v>
      </c>
      <c r="B130">
        <f>HYPERLINK("https://www.suredividend.com/sure-analysis-EBAY/","EBay Inc.")</f>
        <v>0</v>
      </c>
      <c r="C130">
        <v>64.04000000000001</v>
      </c>
      <c r="D130">
        <v>47.5</v>
      </c>
      <c r="E130">
        <v>1.34821052631579</v>
      </c>
      <c r="F130">
        <v>0.01124297314178638</v>
      </c>
      <c r="G130">
        <v>-0.05800530439819018</v>
      </c>
      <c r="H130">
        <v>0.037</v>
      </c>
      <c r="I130">
        <v>-0.008229330108969535</v>
      </c>
      <c r="J130" t="s">
        <v>780</v>
      </c>
      <c r="K130" t="s">
        <v>352</v>
      </c>
      <c r="L130">
        <v>3.96</v>
      </c>
      <c r="M130">
        <v>0.72</v>
      </c>
      <c r="N130">
        <v>0.1818181818181818</v>
      </c>
      <c r="O130">
        <v>2</v>
      </c>
      <c r="P130">
        <v>0.07423907511540473</v>
      </c>
      <c r="Q130">
        <v>0.273817336030722</v>
      </c>
      <c r="R130" t="s">
        <v>784</v>
      </c>
      <c r="S130" t="s">
        <v>792</v>
      </c>
      <c r="T130">
        <v>42650.161366</v>
      </c>
      <c r="U130" s="2">
        <v>44504</v>
      </c>
      <c r="V130" t="s">
        <v>808</v>
      </c>
    </row>
    <row r="131" spans="1:22">
      <c r="A131" s="1" t="s">
        <v>151</v>
      </c>
      <c r="B131">
        <f>HYPERLINK("https://www.suredividend.com/sure-analysis-LIN/","Linde Plc")</f>
        <v>0</v>
      </c>
      <c r="C131">
        <v>340.01</v>
      </c>
      <c r="D131">
        <v>222</v>
      </c>
      <c r="E131">
        <v>1.531576576576577</v>
      </c>
      <c r="F131">
        <v>0.01247022146407459</v>
      </c>
      <c r="G131">
        <v>-0.08172606562272755</v>
      </c>
      <c r="H131">
        <v>0.06</v>
      </c>
      <c r="I131">
        <v>-0.01009882008088048</v>
      </c>
      <c r="J131" t="s">
        <v>780</v>
      </c>
      <c r="K131" t="s">
        <v>352</v>
      </c>
      <c r="L131">
        <v>10.57</v>
      </c>
      <c r="M131">
        <v>4.24</v>
      </c>
      <c r="N131">
        <v>0.4011352885525071</v>
      </c>
      <c r="O131">
        <v>28</v>
      </c>
      <c r="P131">
        <v>0.07011443361889147</v>
      </c>
      <c r="Q131">
        <v>0.37627624867154</v>
      </c>
      <c r="R131" t="s">
        <v>784</v>
      </c>
      <c r="S131" t="s">
        <v>794</v>
      </c>
      <c r="T131">
        <v>174965.682974</v>
      </c>
      <c r="U131" s="2">
        <v>44503</v>
      </c>
      <c r="V131" t="s">
        <v>802</v>
      </c>
    </row>
    <row r="132" spans="1:22">
      <c r="A132" s="1" t="s">
        <v>152</v>
      </c>
      <c r="B132">
        <f>HYPERLINK("https://www.suredividend.com/sure-analysis-TSCO/","Tractor Supply Co.")</f>
        <v>0</v>
      </c>
      <c r="C132">
        <v>233.06</v>
      </c>
      <c r="D132">
        <v>152</v>
      </c>
      <c r="E132">
        <v>1.533289473684211</v>
      </c>
      <c r="F132">
        <v>0.0089247404101948</v>
      </c>
      <c r="G132">
        <v>-0.08193132524625546</v>
      </c>
      <c r="H132">
        <v>0.065</v>
      </c>
      <c r="I132">
        <v>-0.01032095072528749</v>
      </c>
      <c r="J132" t="s">
        <v>780</v>
      </c>
      <c r="K132" t="s">
        <v>529</v>
      </c>
      <c r="L132">
        <v>8.01</v>
      </c>
      <c r="M132">
        <v>2.08</v>
      </c>
      <c r="N132">
        <v>0.2596754057428215</v>
      </c>
      <c r="O132">
        <v>11</v>
      </c>
      <c r="P132">
        <v>0.07599829696383686</v>
      </c>
      <c r="Q132">
        <v>0.6973286967234541</v>
      </c>
      <c r="R132" t="s">
        <v>784</v>
      </c>
      <c r="S132" t="s">
        <v>792</v>
      </c>
      <c r="T132">
        <v>26970.72254</v>
      </c>
      <c r="U132" s="2">
        <v>44491</v>
      </c>
      <c r="V132" t="s">
        <v>808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79.81</v>
      </c>
      <c r="D133">
        <v>54.5</v>
      </c>
      <c r="E133">
        <v>1.464403669724771</v>
      </c>
      <c r="F133">
        <v>0.01942112517228417</v>
      </c>
      <c r="G133">
        <v>-0.07345218060656777</v>
      </c>
      <c r="H133">
        <v>0.041</v>
      </c>
      <c r="I133">
        <v>-0.01168248817003559</v>
      </c>
      <c r="J133" t="s">
        <v>780</v>
      </c>
      <c r="K133" t="s">
        <v>781</v>
      </c>
      <c r="L133">
        <v>3.03</v>
      </c>
      <c r="M133">
        <v>1.55</v>
      </c>
      <c r="N133">
        <v>0.5115511551155116</v>
      </c>
      <c r="O133">
        <v>45</v>
      </c>
      <c r="P133">
        <v>0.03601968190208304</v>
      </c>
      <c r="Q133">
        <v>0.117020457475805</v>
      </c>
      <c r="R133" t="s">
        <v>784</v>
      </c>
      <c r="S133" t="s">
        <v>796</v>
      </c>
      <c r="T133">
        <v>2885.475292</v>
      </c>
      <c r="U133" s="2">
        <v>44531</v>
      </c>
      <c r="V133" t="s">
        <v>808</v>
      </c>
    </row>
    <row r="134" spans="1:22">
      <c r="A134" s="1" t="s">
        <v>154</v>
      </c>
      <c r="B134">
        <f>HYPERLINK("https://www.suredividend.com/sure-analysis-MSA/","MSA Safety Inc")</f>
        <v>0</v>
      </c>
      <c r="C134">
        <v>144.72</v>
      </c>
      <c r="D134">
        <v>92</v>
      </c>
      <c r="E134">
        <v>1.57304347826087</v>
      </c>
      <c r="F134">
        <v>0.01216141514648977</v>
      </c>
      <c r="G134">
        <v>-0.08661924931521225</v>
      </c>
      <c r="H134">
        <v>0.06</v>
      </c>
      <c r="I134">
        <v>-0.01530641687848189</v>
      </c>
      <c r="J134" t="s">
        <v>780</v>
      </c>
      <c r="K134" t="s">
        <v>352</v>
      </c>
      <c r="L134">
        <v>4.4</v>
      </c>
      <c r="M134">
        <v>1.76</v>
      </c>
      <c r="N134">
        <v>0.4</v>
      </c>
      <c r="O134">
        <v>50</v>
      </c>
      <c r="P134">
        <v>0.07099588603959828</v>
      </c>
      <c r="Q134">
        <v>-0.041304868892034</v>
      </c>
      <c r="R134" t="s">
        <v>784</v>
      </c>
      <c r="S134" t="s">
        <v>791</v>
      </c>
      <c r="T134">
        <v>5676.841039</v>
      </c>
      <c r="U134" s="2">
        <v>44504</v>
      </c>
      <c r="V134" t="s">
        <v>803</v>
      </c>
    </row>
    <row r="135" spans="1:22">
      <c r="A135" s="1" t="s">
        <v>155</v>
      </c>
      <c r="B135">
        <f>HYPERLINK("https://www.suredividend.com/sure-analysis-TMP/","Tompkins Financial Corp")</f>
        <v>0</v>
      </c>
      <c r="C135">
        <v>81.86</v>
      </c>
      <c r="D135">
        <v>77</v>
      </c>
      <c r="E135">
        <v>1.063116883116883</v>
      </c>
      <c r="F135">
        <v>0.02785243097972148</v>
      </c>
      <c r="G135">
        <v>-0.01216639345144921</v>
      </c>
      <c r="H135">
        <v>-0.04</v>
      </c>
      <c r="I135">
        <v>-0.01671728546079165</v>
      </c>
      <c r="J135" t="s">
        <v>780</v>
      </c>
      <c r="K135" t="s">
        <v>780</v>
      </c>
      <c r="L135">
        <v>6.45</v>
      </c>
      <c r="M135">
        <v>2.28</v>
      </c>
      <c r="N135">
        <v>0.3534883720930232</v>
      </c>
      <c r="O135">
        <v>35</v>
      </c>
      <c r="P135">
        <v>0.02975477857041309</v>
      </c>
      <c r="Q135">
        <v>0.169308272702003</v>
      </c>
      <c r="R135" t="s">
        <v>784</v>
      </c>
      <c r="S135" t="s">
        <v>793</v>
      </c>
      <c r="T135">
        <v>1196.336904</v>
      </c>
      <c r="U135" s="2">
        <v>44499</v>
      </c>
      <c r="V135" t="s">
        <v>804</v>
      </c>
    </row>
    <row r="136" spans="1:22">
      <c r="A136" s="1" t="s">
        <v>156</v>
      </c>
      <c r="B136">
        <f>HYPERLINK("https://www.suredividend.com/sure-analysis-AAPL/","Apple Inc")</f>
        <v>0</v>
      </c>
      <c r="C136">
        <v>172.26</v>
      </c>
      <c r="D136">
        <v>108</v>
      </c>
      <c r="E136">
        <v>1.595</v>
      </c>
      <c r="F136">
        <v>0.005108556832694764</v>
      </c>
      <c r="G136">
        <v>-0.08914790298594366</v>
      </c>
      <c r="H136">
        <v>0.07000000000000001</v>
      </c>
      <c r="I136">
        <v>-0.01743136177799298</v>
      </c>
      <c r="J136" t="s">
        <v>780</v>
      </c>
      <c r="K136" t="s">
        <v>529</v>
      </c>
      <c r="L136">
        <v>6</v>
      </c>
      <c r="M136">
        <v>0.88</v>
      </c>
      <c r="N136">
        <v>0.1466666666666667</v>
      </c>
      <c r="O136">
        <v>9</v>
      </c>
      <c r="P136">
        <v>0.1213169452916456</v>
      </c>
      <c r="Q136">
        <v>0.4107390840817801</v>
      </c>
      <c r="R136" t="s">
        <v>784</v>
      </c>
      <c r="S136" t="s">
        <v>790</v>
      </c>
      <c r="T136">
        <v>2941666.9821</v>
      </c>
      <c r="U136" s="2">
        <v>44500</v>
      </c>
      <c r="V136" t="s">
        <v>803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229.85</v>
      </c>
      <c r="D137">
        <v>106</v>
      </c>
      <c r="E137">
        <v>2.168396226415094</v>
      </c>
      <c r="F137">
        <v>0.00887535349140744</v>
      </c>
      <c r="G137">
        <v>-0.1434114370987984</v>
      </c>
      <c r="H137">
        <v>0.13</v>
      </c>
      <c r="I137">
        <v>-0.0195624606083874</v>
      </c>
      <c r="J137" t="s">
        <v>780</v>
      </c>
      <c r="K137" t="s">
        <v>352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0.03703609852159601</v>
      </c>
      <c r="R137" t="s">
        <v>784</v>
      </c>
      <c r="S137" t="s">
        <v>794</v>
      </c>
      <c r="T137">
        <v>65675.49541800001</v>
      </c>
      <c r="U137" s="2">
        <v>44496</v>
      </c>
      <c r="V137" t="s">
        <v>807</v>
      </c>
    </row>
    <row r="138" spans="1:22">
      <c r="A138" s="1" t="s">
        <v>158</v>
      </c>
      <c r="B138">
        <f>HYPERLINK("https://www.suredividend.com/sure-analysis-UNF/","Unifirst Corp.")</f>
        <v>0</v>
      </c>
      <c r="C138">
        <v>205.01</v>
      </c>
      <c r="D138">
        <v>130</v>
      </c>
      <c r="E138">
        <v>1.577</v>
      </c>
      <c r="F138">
        <v>0.00585337300619482</v>
      </c>
      <c r="G138">
        <v>-0.08707802457566483</v>
      </c>
      <c r="H138">
        <v>0.063</v>
      </c>
      <c r="I138">
        <v>-0.02086446785510354</v>
      </c>
      <c r="J138" t="s">
        <v>780</v>
      </c>
      <c r="K138" t="s">
        <v>529</v>
      </c>
      <c r="L138">
        <v>5.9</v>
      </c>
      <c r="M138">
        <v>1.2</v>
      </c>
      <c r="N138">
        <v>0.2033898305084746</v>
      </c>
      <c r="O138">
        <v>4</v>
      </c>
      <c r="P138">
        <v>0.09970250059947383</v>
      </c>
      <c r="Q138">
        <v>0.015394054733441</v>
      </c>
      <c r="R138" t="s">
        <v>784</v>
      </c>
      <c r="S138" t="s">
        <v>791</v>
      </c>
      <c r="T138">
        <v>3169.881787</v>
      </c>
      <c r="U138" s="2">
        <v>44491</v>
      </c>
      <c r="V138" t="s">
        <v>806</v>
      </c>
    </row>
    <row r="139" spans="1:22">
      <c r="A139" s="1" t="s">
        <v>159</v>
      </c>
      <c r="B139">
        <f>HYPERLINK("https://www.suredividend.com/sure-analysis-NDSN/","Nordson Corp.")</f>
        <v>0</v>
      </c>
      <c r="C139">
        <v>248.85</v>
      </c>
      <c r="D139">
        <v>165</v>
      </c>
      <c r="E139">
        <v>1.508181818181818</v>
      </c>
      <c r="F139">
        <v>0.008197709463532248</v>
      </c>
      <c r="G139">
        <v>-0.07889474537925556</v>
      </c>
      <c r="H139">
        <v>0.05</v>
      </c>
      <c r="I139">
        <v>-0.02124214475394282</v>
      </c>
      <c r="J139" t="s">
        <v>780</v>
      </c>
      <c r="K139" t="s">
        <v>352</v>
      </c>
      <c r="L139">
        <v>7.85</v>
      </c>
      <c r="M139">
        <v>2.04</v>
      </c>
      <c r="N139">
        <v>0.2598726114649682</v>
      </c>
      <c r="O139">
        <v>58</v>
      </c>
      <c r="P139">
        <v>0.0801851873035635</v>
      </c>
      <c r="Q139">
        <v>0.343901979848461</v>
      </c>
      <c r="R139" t="s">
        <v>784</v>
      </c>
      <c r="S139" t="s">
        <v>791</v>
      </c>
      <c r="T139">
        <v>15639.788503</v>
      </c>
      <c r="U139" s="2">
        <v>44439</v>
      </c>
      <c r="V139" t="s">
        <v>803</v>
      </c>
    </row>
    <row r="140" spans="1:22">
      <c r="A140" s="1" t="s">
        <v>160</v>
      </c>
      <c r="B140">
        <f>HYPERLINK("https://www.suredividend.com/sure-analysis-TR/","Tootsie Roll Industries, Inc.")</f>
        <v>0</v>
      </c>
      <c r="C140">
        <v>38.57</v>
      </c>
      <c r="D140">
        <v>28</v>
      </c>
      <c r="E140">
        <v>1.3775</v>
      </c>
      <c r="F140">
        <v>0.00933367902514908</v>
      </c>
      <c r="G140">
        <v>-0.06204570052889402</v>
      </c>
      <c r="H140">
        <v>0.03</v>
      </c>
      <c r="I140">
        <v>-0.02342249195616353</v>
      </c>
      <c r="J140" t="s">
        <v>780</v>
      </c>
      <c r="K140" t="s">
        <v>352</v>
      </c>
      <c r="L140">
        <v>0.92</v>
      </c>
      <c r="M140">
        <v>0.36</v>
      </c>
      <c r="N140">
        <v>0.3913043478260869</v>
      </c>
      <c r="O140">
        <v>53</v>
      </c>
      <c r="P140">
        <v>0</v>
      </c>
      <c r="Q140">
        <v>0.340116983352368</v>
      </c>
      <c r="R140" t="s">
        <v>784</v>
      </c>
      <c r="S140" t="s">
        <v>795</v>
      </c>
      <c r="T140">
        <v>1522.939377</v>
      </c>
      <c r="U140" s="2">
        <v>44522</v>
      </c>
      <c r="V140" t="s">
        <v>805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72.7</v>
      </c>
      <c r="D141">
        <v>42</v>
      </c>
      <c r="E141">
        <v>1.730952380952381</v>
      </c>
      <c r="F141">
        <v>0.01031636863823934</v>
      </c>
      <c r="G141">
        <v>-0.1039278576664869</v>
      </c>
      <c r="H141">
        <v>0.07000000000000001</v>
      </c>
      <c r="I141">
        <v>-0.0270703590920659</v>
      </c>
      <c r="J141" t="s">
        <v>780</v>
      </c>
      <c r="K141" t="s">
        <v>352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-0.037256656222125</v>
      </c>
      <c r="R141" t="s">
        <v>784</v>
      </c>
      <c r="S141" t="s">
        <v>795</v>
      </c>
      <c r="T141">
        <v>33671.142323</v>
      </c>
      <c r="U141" s="2">
        <v>44545</v>
      </c>
      <c r="V141" t="s">
        <v>802</v>
      </c>
    </row>
    <row r="142" spans="1:22">
      <c r="A142" s="1" t="s">
        <v>162</v>
      </c>
      <c r="B142">
        <f>HYPERLINK("https://www.suredividend.com/sure-analysis-CTAS/","Cintas Corporation")</f>
        <v>0</v>
      </c>
      <c r="C142">
        <v>454.81</v>
      </c>
      <c r="D142">
        <v>271</v>
      </c>
      <c r="E142">
        <v>1.678265682656827</v>
      </c>
      <c r="F142">
        <v>0.00835513731008553</v>
      </c>
      <c r="G142">
        <v>-0.09837103061431152</v>
      </c>
      <c r="H142">
        <v>0.06</v>
      </c>
      <c r="I142">
        <v>-0.03118619166241066</v>
      </c>
      <c r="J142" t="s">
        <v>780</v>
      </c>
      <c r="K142" t="s">
        <v>352</v>
      </c>
      <c r="L142">
        <v>10.85</v>
      </c>
      <c r="M142">
        <v>3.8</v>
      </c>
      <c r="N142">
        <v>0.3502304147465438</v>
      </c>
      <c r="O142">
        <v>39</v>
      </c>
      <c r="P142">
        <v>0.1000022287717175</v>
      </c>
      <c r="Q142">
        <v>0.308564635734098</v>
      </c>
      <c r="R142" t="s">
        <v>784</v>
      </c>
      <c r="S142" t="s">
        <v>791</v>
      </c>
      <c r="T142">
        <v>47330.703581</v>
      </c>
      <c r="U142" s="2">
        <v>44491</v>
      </c>
      <c r="V142" t="s">
        <v>804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348.25</v>
      </c>
      <c r="D143">
        <v>186</v>
      </c>
      <c r="E143">
        <v>1.872311827956989</v>
      </c>
      <c r="F143">
        <v>0.006317300789662599</v>
      </c>
      <c r="G143">
        <v>-0.1178867128910757</v>
      </c>
      <c r="H143">
        <v>0.08</v>
      </c>
      <c r="I143">
        <v>-0.03664118653623372</v>
      </c>
      <c r="J143" t="s">
        <v>780</v>
      </c>
      <c r="K143" t="s">
        <v>352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0.4468747396785001</v>
      </c>
      <c r="R143" t="s">
        <v>784</v>
      </c>
      <c r="S143" t="s">
        <v>794</v>
      </c>
      <c r="T143">
        <v>90625.493185</v>
      </c>
      <c r="U143" s="2">
        <v>44495</v>
      </c>
      <c r="V143" t="s">
        <v>803</v>
      </c>
    </row>
    <row r="144" spans="1:22">
      <c r="A144" s="1" t="s">
        <v>164</v>
      </c>
      <c r="B144">
        <f>HYPERLINK("https://www.suredividend.com/sure-analysis-CWT/","California Water Service Group")</f>
        <v>0</v>
      </c>
      <c r="C144">
        <v>70.56</v>
      </c>
      <c r="D144">
        <v>40</v>
      </c>
      <c r="E144">
        <v>1.764</v>
      </c>
      <c r="F144">
        <v>0.01303854875283447</v>
      </c>
      <c r="G144">
        <v>-0.1073107933205829</v>
      </c>
      <c r="H144">
        <v>0.05</v>
      </c>
      <c r="I144">
        <v>-0.04331801221721432</v>
      </c>
      <c r="J144" t="s">
        <v>780</v>
      </c>
      <c r="K144" t="s">
        <v>781</v>
      </c>
      <c r="L144">
        <v>2.02</v>
      </c>
      <c r="M144">
        <v>0.92</v>
      </c>
      <c r="N144">
        <v>0.4554455445544555</v>
      </c>
      <c r="O144">
        <v>53</v>
      </c>
      <c r="P144">
        <v>0.05979888147511248</v>
      </c>
      <c r="Q144">
        <v>0.336331537310807</v>
      </c>
      <c r="R144" t="s">
        <v>784</v>
      </c>
      <c r="S144" t="s">
        <v>796</v>
      </c>
      <c r="T144">
        <v>3717.28128</v>
      </c>
      <c r="U144" s="2">
        <v>44504</v>
      </c>
      <c r="V144" t="s">
        <v>802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58.31</v>
      </c>
      <c r="D145">
        <v>30</v>
      </c>
      <c r="E145">
        <v>1.943666666666667</v>
      </c>
      <c r="F145">
        <v>0.008917852855427885</v>
      </c>
      <c r="G145">
        <v>-0.1244607044527761</v>
      </c>
      <c r="H145">
        <v>0.07000000000000001</v>
      </c>
      <c r="I145">
        <v>-0.04968010652546506</v>
      </c>
      <c r="J145" t="s">
        <v>780</v>
      </c>
      <c r="K145" t="s">
        <v>529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0.456469978657521</v>
      </c>
      <c r="R145" t="s">
        <v>784</v>
      </c>
      <c r="S145" t="s">
        <v>793</v>
      </c>
      <c r="T145">
        <v>96839.586342</v>
      </c>
      <c r="U145" s="2">
        <v>44528</v>
      </c>
      <c r="V145" t="s">
        <v>804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335.18</v>
      </c>
      <c r="D146">
        <v>174</v>
      </c>
      <c r="E146">
        <v>1.92632183908046</v>
      </c>
      <c r="F146">
        <v>0.004296199057222985</v>
      </c>
      <c r="G146">
        <v>-0.1228896609681269</v>
      </c>
      <c r="H146">
        <v>0.07000000000000001</v>
      </c>
      <c r="I146">
        <v>-0.0551266683158167</v>
      </c>
      <c r="J146" t="s">
        <v>780</v>
      </c>
      <c r="K146" t="s">
        <v>529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0.5966215758451701</v>
      </c>
      <c r="R146" t="s">
        <v>784</v>
      </c>
      <c r="S146" t="s">
        <v>793</v>
      </c>
      <c r="T146">
        <v>14320.201369</v>
      </c>
      <c r="U146" s="2">
        <v>44518</v>
      </c>
      <c r="V146" t="s">
        <v>804</v>
      </c>
    </row>
    <row r="147" spans="1:22">
      <c r="A147" s="1" t="s">
        <v>167</v>
      </c>
      <c r="B147">
        <f>HYPERLINK("https://www.suredividend.com/sure-analysis-RLI/","RLI Corp.")</f>
        <v>0</v>
      </c>
      <c r="C147">
        <v>111.37</v>
      </c>
      <c r="D147">
        <v>67</v>
      </c>
      <c r="E147">
        <v>1.662238805970149</v>
      </c>
      <c r="F147">
        <v>0.008979078746520607</v>
      </c>
      <c r="G147">
        <v>-0.09663904287674163</v>
      </c>
      <c r="H147">
        <v>0.03</v>
      </c>
      <c r="I147">
        <v>-0.0560114221814586</v>
      </c>
      <c r="J147" t="s">
        <v>780</v>
      </c>
      <c r="K147" t="s">
        <v>352</v>
      </c>
      <c r="L147">
        <v>3.5</v>
      </c>
      <c r="M147">
        <v>1</v>
      </c>
      <c r="N147">
        <v>0.2857142857142857</v>
      </c>
      <c r="O147">
        <v>46</v>
      </c>
      <c r="P147">
        <v>0.05061112176150684</v>
      </c>
      <c r="Q147">
        <v>0.09254076370580501</v>
      </c>
      <c r="R147" t="s">
        <v>784</v>
      </c>
      <c r="S147" t="s">
        <v>793</v>
      </c>
      <c r="T147">
        <v>5114.89129</v>
      </c>
      <c r="U147" s="2">
        <v>44505</v>
      </c>
      <c r="V147" t="s">
        <v>802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444.82</v>
      </c>
      <c r="D148">
        <v>211</v>
      </c>
      <c r="E148">
        <v>2.108151658767773</v>
      </c>
      <c r="F148">
        <v>0.001618632255743896</v>
      </c>
      <c r="G148">
        <v>-0.138570718908557</v>
      </c>
      <c r="H148">
        <v>0.09</v>
      </c>
      <c r="I148">
        <v>-0.05857218682007848</v>
      </c>
      <c r="J148" t="s">
        <v>780</v>
      </c>
      <c r="K148" t="s">
        <v>352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0.6623812772209681</v>
      </c>
      <c r="R148" t="s">
        <v>784</v>
      </c>
      <c r="S148" t="s">
        <v>789</v>
      </c>
      <c r="T148">
        <v>32855.835197</v>
      </c>
      <c r="U148" s="2">
        <v>44502</v>
      </c>
      <c r="V148" t="s">
        <v>802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101.38</v>
      </c>
      <c r="D149">
        <v>60.8</v>
      </c>
      <c r="E149">
        <v>1.667434210526316</v>
      </c>
      <c r="F149">
        <v>0.01440126257644506</v>
      </c>
      <c r="G149">
        <v>-0.09720268562347123</v>
      </c>
      <c r="H149">
        <v>0.015</v>
      </c>
      <c r="I149">
        <v>-0.06302487427249748</v>
      </c>
      <c r="J149" t="s">
        <v>780</v>
      </c>
      <c r="K149" t="s">
        <v>781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0.297964971735359</v>
      </c>
      <c r="R149" t="s">
        <v>784</v>
      </c>
      <c r="S149" t="s">
        <v>796</v>
      </c>
      <c r="T149">
        <v>3711.642986</v>
      </c>
      <c r="U149" s="2">
        <v>44506</v>
      </c>
      <c r="V149" t="s">
        <v>808</v>
      </c>
    </row>
    <row r="150" spans="1:22">
      <c r="A150" s="1" t="s">
        <v>170</v>
      </c>
      <c r="B150">
        <f>HYPERLINK("https://www.suredividend.com/sure-analysis-ALB/","Albemarle Corp.")</f>
        <v>0</v>
      </c>
      <c r="C150">
        <v>230.92</v>
      </c>
      <c r="D150">
        <v>97</v>
      </c>
      <c r="E150">
        <v>2.380618556701031</v>
      </c>
      <c r="F150">
        <v>0.00675558635025117</v>
      </c>
      <c r="G150">
        <v>-0.1592593675642294</v>
      </c>
      <c r="H150">
        <v>0.1</v>
      </c>
      <c r="I150">
        <v>-0.06343948518836173</v>
      </c>
      <c r="J150" t="s">
        <v>780</v>
      </c>
      <c r="K150" t="s">
        <v>529</v>
      </c>
      <c r="L150">
        <v>4</v>
      </c>
      <c r="M150">
        <v>1.56</v>
      </c>
      <c r="N150">
        <v>0.39</v>
      </c>
      <c r="O150">
        <v>27</v>
      </c>
      <c r="P150">
        <v>0.08997698704834534</v>
      </c>
      <c r="Q150">
        <v>0.7496508372232731</v>
      </c>
      <c r="R150" t="s">
        <v>784</v>
      </c>
      <c r="S150" t="s">
        <v>794</v>
      </c>
      <c r="T150">
        <v>28004.130529</v>
      </c>
      <c r="U150" s="2">
        <v>44503</v>
      </c>
      <c r="V150" t="s">
        <v>800</v>
      </c>
    </row>
    <row r="151" spans="1:22">
      <c r="A151" s="1" t="s">
        <v>171</v>
      </c>
      <c r="B151">
        <f>HYPERLINK("https://www.suredividend.com/sure-analysis-NUE/","Nucor Corp.")</f>
        <v>0</v>
      </c>
      <c r="C151">
        <v>113.9</v>
      </c>
      <c r="D151">
        <v>60</v>
      </c>
      <c r="E151">
        <v>1.898333333333333</v>
      </c>
      <c r="F151">
        <v>0.01755926251097454</v>
      </c>
      <c r="G151">
        <v>-0.120318405702547</v>
      </c>
      <c r="H151">
        <v>0.037</v>
      </c>
      <c r="I151">
        <v>-0.06371612000702864</v>
      </c>
      <c r="J151" t="s">
        <v>780</v>
      </c>
      <c r="K151" t="s">
        <v>781</v>
      </c>
      <c r="L151">
        <v>22.95</v>
      </c>
      <c r="M151">
        <v>2</v>
      </c>
      <c r="N151">
        <v>0.08714596949891068</v>
      </c>
      <c r="O151">
        <v>49</v>
      </c>
      <c r="P151">
        <v>0</v>
      </c>
      <c r="Q151">
        <v>0.9539657090031921</v>
      </c>
      <c r="R151" t="s">
        <v>784</v>
      </c>
      <c r="S151" t="s">
        <v>794</v>
      </c>
      <c r="T151">
        <v>30929.154144</v>
      </c>
      <c r="U151" s="2">
        <v>44491</v>
      </c>
      <c r="V151" t="s">
        <v>808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104.66</v>
      </c>
      <c r="D152">
        <v>51</v>
      </c>
      <c r="E152">
        <v>2.052156862745098</v>
      </c>
      <c r="F152">
        <v>0.00764379896808714</v>
      </c>
      <c r="G152">
        <v>-0.1339202405194573</v>
      </c>
      <c r="H152">
        <v>0.05</v>
      </c>
      <c r="I152">
        <v>-0.07634582973850212</v>
      </c>
      <c r="J152" t="s">
        <v>780</v>
      </c>
      <c r="K152" t="s">
        <v>529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0.204380012407267</v>
      </c>
      <c r="R152" t="s">
        <v>784</v>
      </c>
      <c r="S152" t="s">
        <v>791</v>
      </c>
      <c r="T152">
        <v>3140.263681</v>
      </c>
      <c r="U152" s="2">
        <v>44485</v>
      </c>
      <c r="V152" t="s">
        <v>800</v>
      </c>
    </row>
    <row r="153" spans="1:22">
      <c r="A153" s="1" t="s">
        <v>173</v>
      </c>
      <c r="B153">
        <f>HYPERLINK("https://www.suredividend.com/sure-analysis-MSEX/","Middlesex Water Co.")</f>
        <v>0</v>
      </c>
      <c r="C153">
        <v>104.04</v>
      </c>
      <c r="D153">
        <v>48.6</v>
      </c>
      <c r="E153">
        <v>2.140740740740741</v>
      </c>
      <c r="F153">
        <v>0.01114955786236063</v>
      </c>
      <c r="G153">
        <v>-0.1412095918469546</v>
      </c>
      <c r="H153">
        <v>0.045</v>
      </c>
      <c r="I153">
        <v>-0.08566945494057643</v>
      </c>
      <c r="J153" t="s">
        <v>780</v>
      </c>
      <c r="K153" t="s">
        <v>352</v>
      </c>
      <c r="L153">
        <v>2.21</v>
      </c>
      <c r="M153">
        <v>1.16</v>
      </c>
      <c r="N153">
        <v>0.5248868778280543</v>
      </c>
      <c r="O153">
        <v>47</v>
      </c>
      <c r="P153">
        <v>0.006803348678863008</v>
      </c>
      <c r="Q153">
        <v>0.388095947027537</v>
      </c>
      <c r="R153" t="s">
        <v>784</v>
      </c>
      <c r="S153" t="s">
        <v>796</v>
      </c>
      <c r="T153">
        <v>1778.221634</v>
      </c>
      <c r="U153" s="2">
        <v>44506</v>
      </c>
      <c r="V153" t="s">
        <v>808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218.67</v>
      </c>
      <c r="D154">
        <v>265</v>
      </c>
      <c r="E154">
        <v>0.8251698113207546</v>
      </c>
      <c r="F154">
        <v>0.01829240407920611</v>
      </c>
      <c r="G154">
        <v>0.03918132575474731</v>
      </c>
      <c r="H154">
        <v>0.15</v>
      </c>
      <c r="I154">
        <v>0.2038952521314392</v>
      </c>
      <c r="J154" t="s">
        <v>781</v>
      </c>
      <c r="K154" t="s">
        <v>352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0.07223615426867901</v>
      </c>
      <c r="R154" t="s">
        <v>784</v>
      </c>
      <c r="S154" t="s">
        <v>789</v>
      </c>
      <c r="T154">
        <v>72072.283952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284.52</v>
      </c>
      <c r="D155">
        <v>413</v>
      </c>
      <c r="E155">
        <v>0.688910411622276</v>
      </c>
      <c r="F155">
        <v>0.004920567974131871</v>
      </c>
      <c r="G155">
        <v>0.07737638080101106</v>
      </c>
      <c r="H155">
        <v>0.08</v>
      </c>
      <c r="I155">
        <v>0.1671451037987639</v>
      </c>
      <c r="J155" t="s">
        <v>781</v>
      </c>
      <c r="K155" t="s">
        <v>529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0.014281176046459</v>
      </c>
      <c r="R155" t="s">
        <v>784</v>
      </c>
      <c r="S155" t="s">
        <v>792</v>
      </c>
      <c r="T155">
        <v>8604.240054</v>
      </c>
      <c r="U155" s="2">
        <v>44493</v>
      </c>
      <c r="V155" t="s">
        <v>806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48.84</v>
      </c>
      <c r="D156">
        <v>61</v>
      </c>
      <c r="E156">
        <v>0.800655737704918</v>
      </c>
      <c r="F156">
        <v>0.02047502047502047</v>
      </c>
      <c r="G156">
        <v>0.04546822052364363</v>
      </c>
      <c r="H156">
        <v>0.09</v>
      </c>
      <c r="I156">
        <v>0.1549867084452805</v>
      </c>
      <c r="J156" t="s">
        <v>781</v>
      </c>
      <c r="K156" t="s">
        <v>781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-0.051888351883629</v>
      </c>
      <c r="R156" t="s">
        <v>784</v>
      </c>
      <c r="S156" t="s">
        <v>788</v>
      </c>
      <c r="T156">
        <v>219675.682321</v>
      </c>
      <c r="U156" s="2">
        <v>44506</v>
      </c>
      <c r="V156" t="s">
        <v>809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23.71</v>
      </c>
      <c r="D157">
        <v>32.5</v>
      </c>
      <c r="E157">
        <v>0.7295384615384616</v>
      </c>
      <c r="F157">
        <v>0.08772669759595107</v>
      </c>
      <c r="G157">
        <v>0.06509994289433751</v>
      </c>
      <c r="H157">
        <v>0.03</v>
      </c>
      <c r="I157">
        <v>0.1546870304255967</v>
      </c>
      <c r="J157" t="s">
        <v>781</v>
      </c>
      <c r="K157" t="s">
        <v>780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-0.235008126097713</v>
      </c>
      <c r="R157" t="s">
        <v>784</v>
      </c>
      <c r="S157" t="s">
        <v>788</v>
      </c>
      <c r="T157">
        <v>158293.8</v>
      </c>
      <c r="U157" s="2">
        <v>44490</v>
      </c>
      <c r="V157" t="s">
        <v>803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43.19</v>
      </c>
      <c r="D158">
        <v>60</v>
      </c>
      <c r="E158">
        <v>0.7198333333333333</v>
      </c>
      <c r="F158">
        <v>0.04352859458207919</v>
      </c>
      <c r="G158">
        <v>0.06795661286002175</v>
      </c>
      <c r="H158">
        <v>0.05</v>
      </c>
      <c r="I158">
        <v>0.1508038697947161</v>
      </c>
      <c r="J158" t="s">
        <v>781</v>
      </c>
      <c r="K158" t="s">
        <v>780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0.092840752057</v>
      </c>
      <c r="R158" t="s">
        <v>785</v>
      </c>
      <c r="S158" t="s">
        <v>793</v>
      </c>
      <c r="T158">
        <v>4860.218522</v>
      </c>
      <c r="U158" s="2">
        <v>44508</v>
      </c>
      <c r="V158" t="s">
        <v>805</v>
      </c>
    </row>
    <row r="159" spans="1:22">
      <c r="A159" s="1" t="s">
        <v>179</v>
      </c>
      <c r="B159">
        <f>HYPERLINK("https://www.suredividend.com/sure-analysis-NC/","Nacco Industries Inc.")</f>
        <v>0</v>
      </c>
      <c r="C159">
        <v>29.3</v>
      </c>
      <c r="D159">
        <v>59</v>
      </c>
      <c r="E159">
        <v>0.4966101694915254</v>
      </c>
      <c r="F159">
        <v>0.02696245733788396</v>
      </c>
      <c r="G159">
        <v>0.1502622795859896</v>
      </c>
      <c r="H159">
        <v>-0.02</v>
      </c>
      <c r="I159">
        <v>0.1460189059256625</v>
      </c>
      <c r="J159" t="s">
        <v>781</v>
      </c>
      <c r="K159" t="s">
        <v>781</v>
      </c>
      <c r="L159">
        <v>6.5</v>
      </c>
      <c r="M159">
        <v>0.79</v>
      </c>
      <c r="N159">
        <v>0.1215384615384615</v>
      </c>
      <c r="O159">
        <v>36</v>
      </c>
      <c r="P159">
        <v>0.05036164940748145</v>
      </c>
      <c r="Q159">
        <v>0.041274531390946</v>
      </c>
      <c r="R159" t="s">
        <v>784</v>
      </c>
      <c r="S159" t="s">
        <v>797</v>
      </c>
      <c r="T159">
        <v>164.401609</v>
      </c>
      <c r="U159" s="2">
        <v>44506</v>
      </c>
      <c r="V159" t="s">
        <v>800</v>
      </c>
    </row>
    <row r="160" spans="1:22">
      <c r="A160" s="1" t="s">
        <v>180</v>
      </c>
      <c r="B160">
        <f>HYPERLINK("https://www.suredividend.com/sure-analysis-OGN/","Organon &amp; Co.")</f>
        <v>0</v>
      </c>
      <c r="C160">
        <v>30.33</v>
      </c>
      <c r="D160">
        <v>44</v>
      </c>
      <c r="E160">
        <v>0.6893181818181818</v>
      </c>
      <c r="F160">
        <v>0.03692713484998352</v>
      </c>
      <c r="G160">
        <v>0.07724888497114368</v>
      </c>
      <c r="H160">
        <v>0.03</v>
      </c>
      <c r="I160">
        <v>0.1350356717156302</v>
      </c>
      <c r="J160" t="s">
        <v>781</v>
      </c>
      <c r="K160" t="s">
        <v>780</v>
      </c>
      <c r="L160">
        <v>6.3</v>
      </c>
      <c r="M160">
        <v>1.12</v>
      </c>
      <c r="N160">
        <v>0.1777777777777778</v>
      </c>
      <c r="O160">
        <v>0</v>
      </c>
      <c r="P160">
        <v>0.03025579475561258</v>
      </c>
      <c r="Q160">
        <v>-0.117894736842105</v>
      </c>
      <c r="R160" t="s">
        <v>784</v>
      </c>
      <c r="S160" t="s">
        <v>789</v>
      </c>
      <c r="T160">
        <v>7436.622351</v>
      </c>
      <c r="U160" s="2">
        <v>44512</v>
      </c>
      <c r="V160" t="s">
        <v>800</v>
      </c>
    </row>
    <row r="161" spans="1:22">
      <c r="A161" s="1" t="s">
        <v>181</v>
      </c>
      <c r="B161">
        <f>HYPERLINK("https://www.suredividend.com/sure-analysis-VZ/","Verizon Communications Inc")</f>
        <v>0</v>
      </c>
      <c r="C161">
        <v>52.75</v>
      </c>
      <c r="D161">
        <v>70</v>
      </c>
      <c r="E161">
        <v>0.7535714285714286</v>
      </c>
      <c r="F161">
        <v>0.04853080568720379</v>
      </c>
      <c r="G161">
        <v>0.0582179286532527</v>
      </c>
      <c r="H161">
        <v>0.04</v>
      </c>
      <c r="I161">
        <v>0.1336422196046729</v>
      </c>
      <c r="J161" t="s">
        <v>781</v>
      </c>
      <c r="K161" t="s">
        <v>780</v>
      </c>
      <c r="L161">
        <v>5.38</v>
      </c>
      <c r="M161">
        <v>2.56</v>
      </c>
      <c r="N161">
        <v>0.4758364312267658</v>
      </c>
      <c r="O161">
        <v>17</v>
      </c>
      <c r="P161">
        <v>0.02025632080394812</v>
      </c>
      <c r="Q161">
        <v>-0.1184180006662</v>
      </c>
      <c r="R161" t="s">
        <v>784</v>
      </c>
      <c r="S161" t="s">
        <v>788</v>
      </c>
      <c r="T161">
        <v>212197.468572</v>
      </c>
      <c r="U161" s="2">
        <v>44489</v>
      </c>
      <c r="V161" t="s">
        <v>800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14.4935</v>
      </c>
      <c r="D162">
        <v>16</v>
      </c>
      <c r="E162">
        <v>0.9058437500000001</v>
      </c>
      <c r="F162">
        <v>0.04829751267809707</v>
      </c>
      <c r="G162">
        <v>0.01997456410797183</v>
      </c>
      <c r="H162">
        <v>0.07000000000000001</v>
      </c>
      <c r="I162">
        <v>0.1303373367445098</v>
      </c>
      <c r="J162" t="s">
        <v>781</v>
      </c>
      <c r="K162" t="s">
        <v>780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-0.4044665012406941</v>
      </c>
      <c r="R162" t="s">
        <v>784</v>
      </c>
      <c r="S162" t="s">
        <v>793</v>
      </c>
      <c r="T162">
        <v>53622.553766</v>
      </c>
      <c r="U162" s="2">
        <v>44517</v>
      </c>
      <c r="V162" t="s">
        <v>799</v>
      </c>
    </row>
    <row r="163" spans="1:22">
      <c r="A163" s="1" t="s">
        <v>183</v>
      </c>
      <c r="B163">
        <f>HYPERLINK("https://www.suredividend.com/sure-analysis-SAP/","Sap SE")</f>
        <v>0</v>
      </c>
      <c r="C163">
        <v>137.65</v>
      </c>
      <c r="D163">
        <v>160</v>
      </c>
      <c r="E163">
        <v>0.8603125</v>
      </c>
      <c r="F163">
        <v>0.01641845259716673</v>
      </c>
      <c r="G163">
        <v>0.03054925431683087</v>
      </c>
      <c r="H163">
        <v>0.08</v>
      </c>
      <c r="I163">
        <v>0.1264268564459632</v>
      </c>
      <c r="J163" t="s">
        <v>781</v>
      </c>
      <c r="K163" t="s">
        <v>352</v>
      </c>
      <c r="L163">
        <v>7.6</v>
      </c>
      <c r="M163">
        <v>2.26</v>
      </c>
      <c r="N163">
        <v>0.2973684210526316</v>
      </c>
      <c r="O163">
        <v>6</v>
      </c>
      <c r="P163">
        <v>0.08511082395204883</v>
      </c>
      <c r="Q163">
        <v>0.1431115163468</v>
      </c>
      <c r="R163" t="s">
        <v>784</v>
      </c>
      <c r="S163" t="s">
        <v>790</v>
      </c>
      <c r="T163">
        <v>170036.946318</v>
      </c>
      <c r="U163" s="2">
        <v>44507</v>
      </c>
      <c r="V163" t="s">
        <v>802</v>
      </c>
    </row>
    <row r="164" spans="1:22">
      <c r="A164" s="1" t="s">
        <v>184</v>
      </c>
      <c r="B164">
        <f>HYPERLINK("https://www.suredividend.com/sure-analysis-ENB/","Enbridge Inc")</f>
        <v>0</v>
      </c>
      <c r="C164">
        <v>37.35</v>
      </c>
      <c r="D164">
        <v>43</v>
      </c>
      <c r="E164">
        <v>0.8686046511627907</v>
      </c>
      <c r="F164">
        <v>0.07202141900937081</v>
      </c>
      <c r="G164">
        <v>0.02857406568409582</v>
      </c>
      <c r="H164">
        <v>0.04</v>
      </c>
      <c r="I164">
        <v>0.1262750598721765</v>
      </c>
      <c r="J164" t="s">
        <v>781</v>
      </c>
      <c r="K164" t="s">
        <v>780</v>
      </c>
      <c r="L164">
        <v>3.88</v>
      </c>
      <c r="M164">
        <v>2.69</v>
      </c>
      <c r="N164">
        <v>0.6932989690721649</v>
      </c>
      <c r="O164">
        <v>26</v>
      </c>
      <c r="P164">
        <v>0.04486096680385954</v>
      </c>
      <c r="Q164">
        <v>0.17801421368822</v>
      </c>
      <c r="R164" t="s">
        <v>784</v>
      </c>
      <c r="S164" t="s">
        <v>797</v>
      </c>
      <c r="T164">
        <v>75122.689685</v>
      </c>
      <c r="U164" s="2">
        <v>44505</v>
      </c>
      <c r="V164" t="s">
        <v>802</v>
      </c>
    </row>
    <row r="165" spans="1:22">
      <c r="A165" s="1" t="s">
        <v>185</v>
      </c>
      <c r="B165">
        <f>HYPERLINK("https://www.suredividend.com/sure-analysis-AMGN/","AMGEN Inc.")</f>
        <v>0</v>
      </c>
      <c r="C165">
        <v>222.58</v>
      </c>
      <c r="D165">
        <v>225</v>
      </c>
      <c r="E165">
        <v>0.9892444444444445</v>
      </c>
      <c r="F165">
        <v>0.03486386917063528</v>
      </c>
      <c r="G165">
        <v>0.00216510339055942</v>
      </c>
      <c r="H165">
        <v>0.09</v>
      </c>
      <c r="I165">
        <v>0.1208722424847495</v>
      </c>
      <c r="J165" t="s">
        <v>781</v>
      </c>
      <c r="K165" t="s">
        <v>781</v>
      </c>
      <c r="L165">
        <v>16.8</v>
      </c>
      <c r="M165">
        <v>7.76</v>
      </c>
      <c r="N165">
        <v>0.4619047619047619</v>
      </c>
      <c r="O165">
        <v>11</v>
      </c>
      <c r="P165">
        <v>0.06894004502112439</v>
      </c>
      <c r="Q165">
        <v>-0.019507880160384</v>
      </c>
      <c r="R165" t="s">
        <v>784</v>
      </c>
      <c r="S165" t="s">
        <v>789</v>
      </c>
      <c r="T165">
        <v>123496.049014</v>
      </c>
      <c r="U165" s="2">
        <v>44503</v>
      </c>
      <c r="V165" t="s">
        <v>800</v>
      </c>
    </row>
    <row r="166" spans="1:22">
      <c r="A166" s="1" t="s">
        <v>186</v>
      </c>
      <c r="B166">
        <f>HYPERLINK("https://www.suredividend.com/sure-analysis-DDS/","Dillard`s Inc.")</f>
        <v>0</v>
      </c>
      <c r="C166">
        <v>248.92</v>
      </c>
      <c r="D166">
        <v>391</v>
      </c>
      <c r="E166">
        <v>0.6366240409207161</v>
      </c>
      <c r="F166">
        <v>0.003213883978788366</v>
      </c>
      <c r="G166">
        <v>0.09451922186106709</v>
      </c>
      <c r="H166">
        <v>0.02</v>
      </c>
      <c r="I166">
        <v>0.1187695978321233</v>
      </c>
      <c r="J166" t="s">
        <v>781</v>
      </c>
      <c r="K166" t="s">
        <v>529</v>
      </c>
      <c r="L166">
        <v>35.5</v>
      </c>
      <c r="M166">
        <v>0.8</v>
      </c>
      <c r="N166">
        <v>0.02253521126760564</v>
      </c>
      <c r="O166">
        <v>11</v>
      </c>
      <c r="P166">
        <v>0.04563955259127317</v>
      </c>
      <c r="Q166">
        <v>4.084397877102616</v>
      </c>
      <c r="R166" t="s">
        <v>784</v>
      </c>
      <c r="S166" t="s">
        <v>792</v>
      </c>
      <c r="T166">
        <v>4018.009454</v>
      </c>
      <c r="U166" s="2">
        <v>44529</v>
      </c>
      <c r="V166" t="s">
        <v>802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21.05</v>
      </c>
      <c r="D167">
        <v>24.1</v>
      </c>
      <c r="E167">
        <v>0.8734439834024896</v>
      </c>
      <c r="F167">
        <v>0.08551068883610451</v>
      </c>
      <c r="G167">
        <v>0.02743176464006458</v>
      </c>
      <c r="H167">
        <v>0.026</v>
      </c>
      <c r="I167">
        <v>0.1184749123372952</v>
      </c>
      <c r="J167" t="s">
        <v>781</v>
      </c>
      <c r="K167" t="s">
        <v>780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0.05234578081241301</v>
      </c>
      <c r="R167" t="s">
        <v>785</v>
      </c>
      <c r="S167" t="s">
        <v>797</v>
      </c>
      <c r="T167">
        <v>45671.98</v>
      </c>
      <c r="U167" s="2">
        <v>44506</v>
      </c>
      <c r="V167" t="s">
        <v>808</v>
      </c>
    </row>
    <row r="168" spans="1:22">
      <c r="A168" s="1" t="s">
        <v>188</v>
      </c>
      <c r="B168">
        <f>HYPERLINK("https://www.suredividend.com/sure-analysis-IPG/","Interpublic Group Of Cos., Inc.")</f>
        <v>0</v>
      </c>
      <c r="C168">
        <v>36.62</v>
      </c>
      <c r="D168">
        <v>41</v>
      </c>
      <c r="E168">
        <v>0.893170731707317</v>
      </c>
      <c r="F168">
        <v>0.02949208083014747</v>
      </c>
      <c r="G168">
        <v>0.02285271755133422</v>
      </c>
      <c r="H168">
        <v>0.07000000000000001</v>
      </c>
      <c r="I168">
        <v>0.1183197183380535</v>
      </c>
      <c r="J168" t="s">
        <v>781</v>
      </c>
      <c r="K168" t="s">
        <v>781</v>
      </c>
      <c r="L168">
        <v>2.58</v>
      </c>
      <c r="M168">
        <v>1.08</v>
      </c>
      <c r="N168">
        <v>0.4186046511627907</v>
      </c>
      <c r="O168">
        <v>10</v>
      </c>
      <c r="P168">
        <v>0.06504410274056371</v>
      </c>
      <c r="Q168">
        <v>0.5555717089481721</v>
      </c>
      <c r="R168" t="s">
        <v>784</v>
      </c>
      <c r="S168" t="s">
        <v>788</v>
      </c>
      <c r="T168">
        <v>14324.816359</v>
      </c>
      <c r="U168" s="2">
        <v>44494</v>
      </c>
      <c r="V168" t="s">
        <v>799</v>
      </c>
    </row>
    <row r="169" spans="1:22">
      <c r="A169" s="1" t="s">
        <v>189</v>
      </c>
      <c r="B169">
        <f>HYPERLINK("https://www.suredividend.com/sure-analysis-INTC/","Intel Corp.")</f>
        <v>0</v>
      </c>
      <c r="C169">
        <v>50.83</v>
      </c>
      <c r="D169">
        <v>63</v>
      </c>
      <c r="E169">
        <v>0.8068253968253968</v>
      </c>
      <c r="F169">
        <v>0.02734605547904781</v>
      </c>
      <c r="G169">
        <v>0.04386440315180562</v>
      </c>
      <c r="H169">
        <v>0.05</v>
      </c>
      <c r="I169">
        <v>0.1171832695573563</v>
      </c>
      <c r="J169" t="s">
        <v>781</v>
      </c>
      <c r="K169" t="s">
        <v>781</v>
      </c>
      <c r="L169">
        <v>5.28</v>
      </c>
      <c r="M169">
        <v>1.39</v>
      </c>
      <c r="N169">
        <v>0.2632575757575757</v>
      </c>
      <c r="O169">
        <v>7</v>
      </c>
      <c r="P169">
        <v>0.04952235417884254</v>
      </c>
      <c r="Q169">
        <v>0.025993038555226</v>
      </c>
      <c r="R169" t="s">
        <v>784</v>
      </c>
      <c r="S169" t="s">
        <v>790</v>
      </c>
      <c r="T169">
        <v>206074.89</v>
      </c>
      <c r="U169" s="2">
        <v>44491</v>
      </c>
      <c r="V169" t="s">
        <v>800</v>
      </c>
    </row>
    <row r="170" spans="1:22">
      <c r="A170" s="1" t="s">
        <v>190</v>
      </c>
      <c r="B170">
        <f>HYPERLINK("https://www.suredividend.com/sure-analysis-SUN/","Sunoco LP")</f>
        <v>0</v>
      </c>
      <c r="C170">
        <v>38.06</v>
      </c>
      <c r="D170">
        <v>46</v>
      </c>
      <c r="E170">
        <v>0.8273913043478262</v>
      </c>
      <c r="F170">
        <v>0.08670520231213871</v>
      </c>
      <c r="G170">
        <v>0.03862269832771692</v>
      </c>
      <c r="H170">
        <v>0.015</v>
      </c>
      <c r="I170">
        <v>0.1165738871819286</v>
      </c>
      <c r="J170" t="s">
        <v>781</v>
      </c>
      <c r="K170" t="s">
        <v>780</v>
      </c>
      <c r="L170">
        <v>7</v>
      </c>
      <c r="M170">
        <v>3.3</v>
      </c>
      <c r="N170">
        <v>0.4714285714285714</v>
      </c>
      <c r="O170">
        <v>0</v>
      </c>
      <c r="P170">
        <v>0</v>
      </c>
      <c r="Q170">
        <v>0.380625672949364</v>
      </c>
      <c r="R170" t="s">
        <v>785</v>
      </c>
      <c r="S170" t="s">
        <v>797</v>
      </c>
      <c r="T170">
        <v>3131.539261</v>
      </c>
      <c r="U170" s="2">
        <v>44507</v>
      </c>
      <c r="V170" t="s">
        <v>802</v>
      </c>
    </row>
    <row r="171" spans="1:22">
      <c r="A171" s="1" t="s">
        <v>191</v>
      </c>
      <c r="B171">
        <f>HYPERLINK("https://www.suredividend.com/sure-analysis-TTE/","TotalEnergies SE")</f>
        <v>0</v>
      </c>
      <c r="C171">
        <v>50.21</v>
      </c>
      <c r="D171">
        <v>71</v>
      </c>
      <c r="E171">
        <v>0.7071830985915493</v>
      </c>
      <c r="F171">
        <v>0.06134236207926708</v>
      </c>
      <c r="G171">
        <v>0.07175032892333078</v>
      </c>
      <c r="H171">
        <v>0</v>
      </c>
      <c r="I171">
        <v>0.1160452346049865</v>
      </c>
      <c r="J171" t="s">
        <v>781</v>
      </c>
      <c r="K171" t="s">
        <v>780</v>
      </c>
      <c r="L171">
        <v>5.9</v>
      </c>
      <c r="M171">
        <v>3.08</v>
      </c>
      <c r="N171">
        <v>0.5220338983050847</v>
      </c>
      <c r="O171">
        <v>3</v>
      </c>
      <c r="P171">
        <v>0.01142428402057938</v>
      </c>
      <c r="Q171">
        <v>0.155843946068307</v>
      </c>
      <c r="R171" t="s">
        <v>784</v>
      </c>
      <c r="S171" t="s">
        <v>797</v>
      </c>
      <c r="T171">
        <v>132259.10509</v>
      </c>
      <c r="U171" s="2">
        <v>44501</v>
      </c>
      <c r="V171" t="s">
        <v>807</v>
      </c>
    </row>
    <row r="172" spans="1:22">
      <c r="A172" s="1" t="s">
        <v>192</v>
      </c>
      <c r="B172">
        <f>HYPERLINK("https://www.suredividend.com/sure-analysis-FNV/","Franco-Nevada Corporation")</f>
        <v>0</v>
      </c>
      <c r="C172">
        <v>133.16</v>
      </c>
      <c r="D172">
        <v>161</v>
      </c>
      <c r="E172">
        <v>0.8270807453416149</v>
      </c>
      <c r="F172">
        <v>0.009011715229798739</v>
      </c>
      <c r="G172">
        <v>0.03870068471531574</v>
      </c>
      <c r="H172">
        <v>0.065</v>
      </c>
      <c r="I172">
        <v>0.1137305717715469</v>
      </c>
      <c r="J172" t="s">
        <v>781</v>
      </c>
      <c r="K172" t="s">
        <v>529</v>
      </c>
      <c r="L172">
        <v>3.49</v>
      </c>
      <c r="M172">
        <v>1.2</v>
      </c>
      <c r="N172">
        <v>0.3438395415472779</v>
      </c>
      <c r="O172">
        <v>14</v>
      </c>
      <c r="P172">
        <v>0.0796084730466029</v>
      </c>
      <c r="Q172">
        <v>-0.005389578718552001</v>
      </c>
      <c r="R172" t="s">
        <v>784</v>
      </c>
      <c r="S172" t="s">
        <v>794</v>
      </c>
      <c r="T172">
        <v>24835.871197</v>
      </c>
      <c r="U172" s="2">
        <v>44508</v>
      </c>
      <c r="V172" t="s">
        <v>806</v>
      </c>
    </row>
    <row r="173" spans="1:22">
      <c r="A173" s="1" t="s">
        <v>193</v>
      </c>
      <c r="B173">
        <f>HYPERLINK("https://www.suredividend.com/sure-analysis-MURGF/","Münchener Rückversicherungs-Gesellschaft AG")</f>
        <v>0</v>
      </c>
      <c r="C173">
        <v>285.67</v>
      </c>
      <c r="D173">
        <v>338</v>
      </c>
      <c r="E173">
        <v>0.8451775147928995</v>
      </c>
      <c r="F173">
        <v>0.04550705359330696</v>
      </c>
      <c r="G173">
        <v>0.0342140015308261</v>
      </c>
      <c r="H173">
        <v>0.04</v>
      </c>
      <c r="I173">
        <v>0.1124236599092492</v>
      </c>
      <c r="J173" t="s">
        <v>781</v>
      </c>
      <c r="K173" t="s">
        <v>780</v>
      </c>
      <c r="L173">
        <v>27</v>
      </c>
      <c r="M173">
        <v>13</v>
      </c>
      <c r="N173">
        <v>0.4814814814814815</v>
      </c>
      <c r="O173">
        <v>6</v>
      </c>
      <c r="P173">
        <v>0.0499789846479779</v>
      </c>
      <c r="Q173">
        <v>-0.067653988556041</v>
      </c>
      <c r="R173" t="s">
        <v>784</v>
      </c>
      <c r="S173" t="s">
        <v>793</v>
      </c>
      <c r="T173">
        <v>38807.403887</v>
      </c>
      <c r="U173" s="2">
        <v>44516</v>
      </c>
      <c r="V173" t="s">
        <v>799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128.59</v>
      </c>
      <c r="D174">
        <v>151</v>
      </c>
      <c r="E174">
        <v>0.8515894039735099</v>
      </c>
      <c r="F174">
        <v>0.03421727972626176</v>
      </c>
      <c r="G174">
        <v>0.03265190416187957</v>
      </c>
      <c r="H174">
        <v>0.05</v>
      </c>
      <c r="I174">
        <v>0.1116116193337631</v>
      </c>
      <c r="J174" t="s">
        <v>781</v>
      </c>
      <c r="K174" t="s">
        <v>781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-0.000111977435372</v>
      </c>
      <c r="R174" t="s">
        <v>784</v>
      </c>
      <c r="S174" t="s">
        <v>796</v>
      </c>
      <c r="T174">
        <v>40775.034585</v>
      </c>
      <c r="U174" s="2">
        <v>44516</v>
      </c>
      <c r="V174" t="s">
        <v>807</v>
      </c>
    </row>
    <row r="175" spans="1:22">
      <c r="A175" s="1" t="s">
        <v>195</v>
      </c>
      <c r="B175">
        <f>HYPERLINK("https://www.suredividend.com/sure-analysis-FLIC/","First Of Long Island Corp.")</f>
        <v>0</v>
      </c>
      <c r="C175">
        <v>21.76</v>
      </c>
      <c r="D175">
        <v>24</v>
      </c>
      <c r="E175">
        <v>0.9066666666666667</v>
      </c>
      <c r="F175">
        <v>0.03676470588235294</v>
      </c>
      <c r="G175">
        <v>0.01978934521903875</v>
      </c>
      <c r="H175">
        <v>0.055</v>
      </c>
      <c r="I175">
        <v>0.1073355274658303</v>
      </c>
      <c r="J175" t="s">
        <v>781</v>
      </c>
      <c r="K175" t="s">
        <v>780</v>
      </c>
      <c r="L175">
        <v>1.85</v>
      </c>
      <c r="M175">
        <v>0.8</v>
      </c>
      <c r="N175">
        <v>0.4324324324324325</v>
      </c>
      <c r="O175">
        <v>13</v>
      </c>
      <c r="P175">
        <v>0.06576275663547415</v>
      </c>
      <c r="Q175">
        <v>0.243646588082621</v>
      </c>
      <c r="R175" t="s">
        <v>784</v>
      </c>
      <c r="S175" t="s">
        <v>793</v>
      </c>
      <c r="T175">
        <v>516.042244</v>
      </c>
      <c r="U175" s="2">
        <v>44506</v>
      </c>
      <c r="V175" t="s">
        <v>802</v>
      </c>
    </row>
    <row r="176" spans="1:22">
      <c r="A176" s="1" t="s">
        <v>196</v>
      </c>
      <c r="B176">
        <f>HYPERLINK("https://www.suredividend.com/sure-analysis-OMC/","Omnicom Group, Inc.")</f>
        <v>0</v>
      </c>
      <c r="C176">
        <v>73.69</v>
      </c>
      <c r="D176">
        <v>87</v>
      </c>
      <c r="E176">
        <v>0.8470114942528736</v>
      </c>
      <c r="F176">
        <v>0.03799701452028769</v>
      </c>
      <c r="G176">
        <v>0.03376574973475144</v>
      </c>
      <c r="H176">
        <v>0.04</v>
      </c>
      <c r="I176">
        <v>0.1066994568467416</v>
      </c>
      <c r="J176" t="s">
        <v>781</v>
      </c>
      <c r="K176" t="s">
        <v>781</v>
      </c>
      <c r="L176">
        <v>6.2</v>
      </c>
      <c r="M176">
        <v>2.8</v>
      </c>
      <c r="N176">
        <v>0.4516129032258064</v>
      </c>
      <c r="O176">
        <v>1</v>
      </c>
      <c r="P176">
        <v>0.05502951838285242</v>
      </c>
      <c r="Q176">
        <v>0.170806010223576</v>
      </c>
      <c r="R176" t="s">
        <v>784</v>
      </c>
      <c r="S176" t="s">
        <v>788</v>
      </c>
      <c r="T176">
        <v>15423.246356</v>
      </c>
      <c r="U176" s="2">
        <v>44491</v>
      </c>
      <c r="V176" t="s">
        <v>802</v>
      </c>
    </row>
    <row r="177" spans="1:22">
      <c r="A177" s="1" t="s">
        <v>197</v>
      </c>
      <c r="B177">
        <f>HYPERLINK("https://www.suredividend.com/sure-analysis-WU/","Western Union Company")</f>
        <v>0</v>
      </c>
      <c r="C177">
        <v>18.49</v>
      </c>
      <c r="D177">
        <v>23</v>
      </c>
      <c r="E177">
        <v>0.8039130434782608</v>
      </c>
      <c r="F177">
        <v>0.05083829096809086</v>
      </c>
      <c r="G177">
        <v>0.0446196356205415</v>
      </c>
      <c r="H177">
        <v>0.02</v>
      </c>
      <c r="I177">
        <v>0.1065709407651776</v>
      </c>
      <c r="J177" t="s">
        <v>781</v>
      </c>
      <c r="K177" t="s">
        <v>780</v>
      </c>
      <c r="L177">
        <v>2.07</v>
      </c>
      <c r="M177">
        <v>0.9399999999999999</v>
      </c>
      <c r="N177">
        <v>0.4541062801932367</v>
      </c>
      <c r="O177">
        <v>7</v>
      </c>
      <c r="P177">
        <v>0.03933463380769542</v>
      </c>
      <c r="Q177">
        <v>-0.151767717015272</v>
      </c>
      <c r="R177" t="s">
        <v>784</v>
      </c>
      <c r="S177" t="s">
        <v>790</v>
      </c>
      <c r="T177">
        <v>7274.310296</v>
      </c>
      <c r="U177" s="2">
        <v>44517</v>
      </c>
      <c r="V177" t="s">
        <v>805</v>
      </c>
    </row>
    <row r="178" spans="1:22">
      <c r="A178" s="1" t="s">
        <v>198</v>
      </c>
      <c r="B178">
        <f>HYPERLINK("https://www.suredividend.com/sure-analysis-MRK/","Merck &amp; Co Inc")</f>
        <v>0</v>
      </c>
      <c r="C178">
        <v>75.91</v>
      </c>
      <c r="D178">
        <v>85</v>
      </c>
      <c r="E178">
        <v>0.8930588235294117</v>
      </c>
      <c r="F178">
        <v>0.03635884600184429</v>
      </c>
      <c r="G178">
        <v>0.02287835076694833</v>
      </c>
      <c r="H178">
        <v>0.05</v>
      </c>
      <c r="I178">
        <v>0.1029867333765764</v>
      </c>
      <c r="J178" t="s">
        <v>781</v>
      </c>
      <c r="K178" t="s">
        <v>781</v>
      </c>
      <c r="L178">
        <v>5.68</v>
      </c>
      <c r="M178">
        <v>2.76</v>
      </c>
      <c r="N178">
        <v>0.4859154929577464</v>
      </c>
      <c r="O178">
        <v>11</v>
      </c>
      <c r="P178">
        <v>0.03763783845459012</v>
      </c>
      <c r="Q178">
        <v>-0.030515144257389</v>
      </c>
      <c r="R178" t="s">
        <v>784</v>
      </c>
      <c r="S178" t="s">
        <v>789</v>
      </c>
      <c r="T178">
        <v>190178.318941</v>
      </c>
      <c r="U178" s="2">
        <v>44500</v>
      </c>
      <c r="V178" t="s">
        <v>800</v>
      </c>
    </row>
    <row r="179" spans="1:22">
      <c r="A179" s="1" t="s">
        <v>199</v>
      </c>
      <c r="B179">
        <f>HYPERLINK("https://www.suredividend.com/sure-analysis-BMO/","Bank of Montreal")</f>
        <v>0</v>
      </c>
      <c r="C179">
        <v>106.97</v>
      </c>
      <c r="D179">
        <v>114</v>
      </c>
      <c r="E179">
        <v>0.9383333333333334</v>
      </c>
      <c r="F179">
        <v>0.0387959240908666</v>
      </c>
      <c r="G179">
        <v>0.01281137685391065</v>
      </c>
      <c r="H179">
        <v>0.055</v>
      </c>
      <c r="I179">
        <v>0.1028605724693821</v>
      </c>
      <c r="J179" t="s">
        <v>781</v>
      </c>
      <c r="K179" t="s">
        <v>780</v>
      </c>
      <c r="L179">
        <v>10.23</v>
      </c>
      <c r="M179">
        <v>4.15</v>
      </c>
      <c r="N179">
        <v>0.4056695992179863</v>
      </c>
      <c r="O179">
        <v>9</v>
      </c>
      <c r="P179">
        <v>0.06997831883783956</v>
      </c>
      <c r="Q179">
        <v>0.468666032432199</v>
      </c>
      <c r="R179" t="s">
        <v>784</v>
      </c>
      <c r="S179" t="s">
        <v>793</v>
      </c>
      <c r="T179">
        <v>70644.374507</v>
      </c>
      <c r="U179" s="2">
        <v>44535</v>
      </c>
      <c r="V179" t="s">
        <v>809</v>
      </c>
    </row>
    <row r="180" spans="1:22">
      <c r="A180" s="1" t="s">
        <v>200</v>
      </c>
      <c r="B180">
        <f>HYPERLINK("https://www.suredividend.com/sure-analysis-NVS/","Novartis AG")</f>
        <v>0</v>
      </c>
      <c r="C180">
        <v>86.06999999999999</v>
      </c>
      <c r="D180">
        <v>100</v>
      </c>
      <c r="E180">
        <v>0.8606999999999999</v>
      </c>
      <c r="F180">
        <v>0.03717904031602185</v>
      </c>
      <c r="G180">
        <v>0.0304564438670516</v>
      </c>
      <c r="H180">
        <v>0.04</v>
      </c>
      <c r="I180">
        <v>0.1016848487736179</v>
      </c>
      <c r="J180" t="s">
        <v>781</v>
      </c>
      <c r="K180" t="s">
        <v>780</v>
      </c>
      <c r="L180">
        <v>6.28</v>
      </c>
      <c r="M180">
        <v>3.2</v>
      </c>
      <c r="N180">
        <v>0.5095541401273885</v>
      </c>
      <c r="O180">
        <v>25</v>
      </c>
      <c r="P180">
        <v>0.03982420952666454</v>
      </c>
      <c r="Q180">
        <v>-0.05755700092255801</v>
      </c>
      <c r="R180" t="s">
        <v>784</v>
      </c>
      <c r="S180" t="s">
        <v>789</v>
      </c>
      <c r="T180">
        <v>198453.993398</v>
      </c>
      <c r="U180" s="2">
        <v>44496</v>
      </c>
      <c r="V180" t="s">
        <v>800</v>
      </c>
    </row>
    <row r="181" spans="1:22">
      <c r="A181" s="1" t="s">
        <v>201</v>
      </c>
      <c r="B181">
        <f>HYPERLINK("https://www.suredividend.com/sure-analysis-SWX/","Southwest Gas Holdings Inc")</f>
        <v>0</v>
      </c>
      <c r="C181">
        <v>69.73999999999999</v>
      </c>
      <c r="D181">
        <v>76</v>
      </c>
      <c r="E181">
        <v>0.9176315789473684</v>
      </c>
      <c r="F181">
        <v>0.03412675652423287</v>
      </c>
      <c r="G181">
        <v>0.01734049035310292</v>
      </c>
      <c r="H181">
        <v>0.055</v>
      </c>
      <c r="I181">
        <v>0.1016159950002797</v>
      </c>
      <c r="J181" t="s">
        <v>781</v>
      </c>
      <c r="K181" t="s">
        <v>781</v>
      </c>
      <c r="L181">
        <v>4.1</v>
      </c>
      <c r="M181">
        <v>2.38</v>
      </c>
      <c r="N181">
        <v>0.5804878048780489</v>
      </c>
      <c r="O181">
        <v>14</v>
      </c>
      <c r="P181">
        <v>0.05016931709648742</v>
      </c>
      <c r="Q181">
        <v>0.104057718843711</v>
      </c>
      <c r="R181" t="s">
        <v>784</v>
      </c>
      <c r="S181" t="s">
        <v>796</v>
      </c>
      <c r="T181">
        <v>4184.08247</v>
      </c>
      <c r="U181" s="2">
        <v>44511</v>
      </c>
      <c r="V181" t="s">
        <v>806</v>
      </c>
    </row>
    <row r="182" spans="1:22">
      <c r="A182" s="1" t="s">
        <v>202</v>
      </c>
      <c r="B182">
        <f>HYPERLINK("https://www.suredividend.com/sure-analysis-HBI/","Hanesbrands Inc")</f>
        <v>0</v>
      </c>
      <c r="C182">
        <v>16.81</v>
      </c>
      <c r="D182">
        <v>18</v>
      </c>
      <c r="E182">
        <v>0.9338888888888888</v>
      </c>
      <c r="F182">
        <v>0.03569303985722784</v>
      </c>
      <c r="G182">
        <v>0.01377355541145908</v>
      </c>
      <c r="H182">
        <v>0.06</v>
      </c>
      <c r="I182">
        <v>0.1013277659421565</v>
      </c>
      <c r="J182" t="s">
        <v>781</v>
      </c>
      <c r="K182" t="s">
        <v>780</v>
      </c>
      <c r="L182">
        <v>1.82</v>
      </c>
      <c r="M182">
        <v>0.6</v>
      </c>
      <c r="N182">
        <v>0.3296703296703297</v>
      </c>
      <c r="O182">
        <v>0</v>
      </c>
      <c r="P182">
        <v>0.01613736474159566</v>
      </c>
      <c r="Q182">
        <v>0.228409713346722</v>
      </c>
      <c r="R182" t="s">
        <v>784</v>
      </c>
      <c r="S182" t="s">
        <v>792</v>
      </c>
      <c r="T182">
        <v>5873.619909</v>
      </c>
      <c r="U182" s="2">
        <v>44512</v>
      </c>
      <c r="V182" t="s">
        <v>807</v>
      </c>
    </row>
    <row r="183" spans="1:22">
      <c r="A183" s="1" t="s">
        <v>203</v>
      </c>
      <c r="B183">
        <f>HYPERLINK("https://www.suredividend.com/sure-analysis-GEF/","Greif Inc")</f>
        <v>0</v>
      </c>
      <c r="C183">
        <v>60.54</v>
      </c>
      <c r="D183">
        <v>84</v>
      </c>
      <c r="E183">
        <v>0.7207142857142858</v>
      </c>
      <c r="F183">
        <v>0.03039312851007598</v>
      </c>
      <c r="G183">
        <v>0.06769540553431197</v>
      </c>
      <c r="H183">
        <v>0.01</v>
      </c>
      <c r="I183">
        <v>0.1011660040186817</v>
      </c>
      <c r="J183" t="s">
        <v>781</v>
      </c>
      <c r="K183" t="s">
        <v>781</v>
      </c>
      <c r="L183">
        <v>6</v>
      </c>
      <c r="M183">
        <v>1.84</v>
      </c>
      <c r="N183">
        <v>0.3066666666666667</v>
      </c>
      <c r="O183">
        <v>1</v>
      </c>
      <c r="P183">
        <v>0.01884169405651681</v>
      </c>
      <c r="Q183">
        <v>0.283198916323524</v>
      </c>
      <c r="R183" t="s">
        <v>784</v>
      </c>
      <c r="S183" t="s">
        <v>792</v>
      </c>
      <c r="T183">
        <v>2878.410398</v>
      </c>
      <c r="U183" s="2">
        <v>44544</v>
      </c>
      <c r="V183" t="s">
        <v>803</v>
      </c>
    </row>
    <row r="184" spans="1:22">
      <c r="A184" s="1" t="s">
        <v>204</v>
      </c>
      <c r="B184">
        <f>HYPERLINK("https://www.suredividend.com/sure-analysis-BNS/","Bank Of Nova Scotia")</f>
        <v>0</v>
      </c>
      <c r="C184">
        <v>68.08</v>
      </c>
      <c r="D184">
        <v>72</v>
      </c>
      <c r="E184">
        <v>0.9455555555555555</v>
      </c>
      <c r="F184">
        <v>0.04597532314923619</v>
      </c>
      <c r="G184">
        <v>0.01125944265125423</v>
      </c>
      <c r="H184">
        <v>0.05</v>
      </c>
      <c r="I184">
        <v>0.1007920851848081</v>
      </c>
      <c r="J184" t="s">
        <v>781</v>
      </c>
      <c r="K184" t="s">
        <v>780</v>
      </c>
      <c r="L184">
        <v>6.33</v>
      </c>
      <c r="M184">
        <v>3.13</v>
      </c>
      <c r="N184">
        <v>0.4944707740916272</v>
      </c>
      <c r="O184">
        <v>9</v>
      </c>
      <c r="P184">
        <v>0.0497495850210754</v>
      </c>
      <c r="Q184">
        <v>0.317672788338556</v>
      </c>
      <c r="R184" t="s">
        <v>784</v>
      </c>
      <c r="S184" t="s">
        <v>793</v>
      </c>
      <c r="T184">
        <v>82010.976052</v>
      </c>
      <c r="U184" s="2">
        <v>44530</v>
      </c>
      <c r="V184" t="s">
        <v>809</v>
      </c>
    </row>
    <row r="185" spans="1:22">
      <c r="A185" s="1" t="s">
        <v>205</v>
      </c>
      <c r="B185">
        <f>HYPERLINK("https://www.suredividend.com/sure-analysis-MO/","Altria Group Inc.")</f>
        <v>0</v>
      </c>
      <c r="C185">
        <v>47.35</v>
      </c>
      <c r="D185">
        <v>50.8</v>
      </c>
      <c r="E185">
        <v>0.9320866141732285</v>
      </c>
      <c r="F185">
        <v>0.07602956705385427</v>
      </c>
      <c r="G185">
        <v>0.01416529731849514</v>
      </c>
      <c r="H185">
        <v>0.022</v>
      </c>
      <c r="I185">
        <v>0.09874170110737523</v>
      </c>
      <c r="J185" t="s">
        <v>781</v>
      </c>
      <c r="K185" t="s">
        <v>780</v>
      </c>
      <c r="L185">
        <v>4.62</v>
      </c>
      <c r="M185">
        <v>3.6</v>
      </c>
      <c r="N185">
        <v>0.7792207792207793</v>
      </c>
      <c r="O185">
        <v>52</v>
      </c>
      <c r="P185">
        <v>0.02129568760013512</v>
      </c>
      <c r="Q185">
        <v>0.172140993565466</v>
      </c>
      <c r="R185" t="s">
        <v>784</v>
      </c>
      <c r="S185" t="s">
        <v>795</v>
      </c>
      <c r="T185">
        <v>84428.006259</v>
      </c>
      <c r="U185" s="2">
        <v>44506</v>
      </c>
      <c r="V185" t="s">
        <v>808</v>
      </c>
    </row>
    <row r="186" spans="1:22">
      <c r="A186" s="1" t="s">
        <v>206</v>
      </c>
      <c r="B186">
        <f>HYPERLINK("https://www.suredividend.com/sure-analysis-HRB/","H&amp;R Block Inc.")</f>
        <v>0</v>
      </c>
      <c r="C186">
        <v>24.01</v>
      </c>
      <c r="D186">
        <v>26.6</v>
      </c>
      <c r="E186">
        <v>0.9026315789473685</v>
      </c>
      <c r="F186">
        <v>0.04498125780924615</v>
      </c>
      <c r="G186">
        <v>0.02069948422366319</v>
      </c>
      <c r="H186">
        <v>0.037</v>
      </c>
      <c r="I186">
        <v>0.09747000056903721</v>
      </c>
      <c r="J186" t="s">
        <v>781</v>
      </c>
      <c r="K186" t="s">
        <v>780</v>
      </c>
      <c r="L186">
        <v>2.84</v>
      </c>
      <c r="M186">
        <v>1.08</v>
      </c>
      <c r="N186">
        <v>0.3802816901408451</v>
      </c>
      <c r="O186">
        <v>6</v>
      </c>
      <c r="P186">
        <v>0.05327276858309027</v>
      </c>
      <c r="Q186">
        <v>0.56914703609168</v>
      </c>
      <c r="R186" t="s">
        <v>784</v>
      </c>
      <c r="S186" t="s">
        <v>792</v>
      </c>
      <c r="T186">
        <v>4243.20686</v>
      </c>
      <c r="U186" s="2">
        <v>44509</v>
      </c>
      <c r="V186" t="s">
        <v>808</v>
      </c>
    </row>
    <row r="187" spans="1:22">
      <c r="A187" s="1" t="s">
        <v>207</v>
      </c>
      <c r="B187">
        <f>HYPERLINK("https://www.suredividend.com/sure-analysis-LMT/","Lockheed Martin Corp.")</f>
        <v>0</v>
      </c>
      <c r="C187">
        <v>344.84</v>
      </c>
      <c r="D187">
        <v>359</v>
      </c>
      <c r="E187">
        <v>0.9605571030640668</v>
      </c>
      <c r="F187">
        <v>0.03247883076209256</v>
      </c>
      <c r="G187">
        <v>0.008080844620192096</v>
      </c>
      <c r="H187">
        <v>0.06</v>
      </c>
      <c r="I187">
        <v>0.09744895796862019</v>
      </c>
      <c r="J187" t="s">
        <v>781</v>
      </c>
      <c r="K187" t="s">
        <v>781</v>
      </c>
      <c r="L187">
        <v>22.45</v>
      </c>
      <c r="M187">
        <v>11.2</v>
      </c>
      <c r="N187">
        <v>0.4988864142538975</v>
      </c>
      <c r="O187">
        <v>20</v>
      </c>
      <c r="P187">
        <v>0.06810541783933033</v>
      </c>
      <c r="Q187">
        <v>-0.007620764877116001</v>
      </c>
      <c r="R187" t="s">
        <v>784</v>
      </c>
      <c r="S187" t="s">
        <v>791</v>
      </c>
      <c r="T187">
        <v>94986.365665</v>
      </c>
      <c r="U187" s="2">
        <v>44502</v>
      </c>
      <c r="V187" t="s">
        <v>805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921.55</v>
      </c>
      <c r="D188">
        <v>802</v>
      </c>
      <c r="E188">
        <v>1.149064837905237</v>
      </c>
      <c r="F188">
        <v>0.01792631978731485</v>
      </c>
      <c r="G188">
        <v>-0.02740710424688819</v>
      </c>
      <c r="H188">
        <v>0.11</v>
      </c>
      <c r="I188">
        <v>0.09723781263913689</v>
      </c>
      <c r="J188" t="s">
        <v>781</v>
      </c>
      <c r="K188" t="s">
        <v>352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0.336258884074637</v>
      </c>
      <c r="R188" t="s">
        <v>784</v>
      </c>
      <c r="S188" t="s">
        <v>793</v>
      </c>
      <c r="T188">
        <v>138990.544409</v>
      </c>
      <c r="U188" s="2">
        <v>44484</v>
      </c>
      <c r="V188" t="s">
        <v>809</v>
      </c>
    </row>
    <row r="189" spans="1:22">
      <c r="A189" s="1" t="s">
        <v>209</v>
      </c>
      <c r="B189">
        <f>HYPERLINK("https://www.suredividend.com/sure-analysis-BIP/","Brookfield Infrastructure Partners L.P")</f>
        <v>0</v>
      </c>
      <c r="C189">
        <v>57.54</v>
      </c>
      <c r="D189">
        <v>56</v>
      </c>
      <c r="E189">
        <v>1.0275</v>
      </c>
      <c r="F189">
        <v>0.03545359749739312</v>
      </c>
      <c r="G189">
        <v>-0.005411040770679776</v>
      </c>
      <c r="H189">
        <v>0.07000000000000001</v>
      </c>
      <c r="I189">
        <v>0.09715171387620503</v>
      </c>
      <c r="J189" t="s">
        <v>781</v>
      </c>
      <c r="K189" t="s">
        <v>781</v>
      </c>
      <c r="L189">
        <v>3.5</v>
      </c>
      <c r="M189">
        <v>2.04</v>
      </c>
      <c r="N189">
        <v>0.5828571428571429</v>
      </c>
      <c r="O189">
        <v>12</v>
      </c>
      <c r="P189">
        <v>0.0801851873035635</v>
      </c>
      <c r="Q189">
        <v>0.163657521045837</v>
      </c>
      <c r="R189" t="s">
        <v>785</v>
      </c>
      <c r="S189" t="s">
        <v>796</v>
      </c>
      <c r="T189">
        <v>17016.767251</v>
      </c>
      <c r="U189" s="2">
        <v>44506</v>
      </c>
      <c r="V189" t="s">
        <v>809</v>
      </c>
    </row>
    <row r="190" spans="1:22">
      <c r="A190" s="1" t="s">
        <v>210</v>
      </c>
      <c r="B190">
        <f>HYPERLINK("https://www.suredividend.com/sure-analysis-YUM/","Yum Brands Inc.")</f>
        <v>0</v>
      </c>
      <c r="C190">
        <v>133.59</v>
      </c>
      <c r="D190">
        <v>113</v>
      </c>
      <c r="E190">
        <v>1.182212389380531</v>
      </c>
      <c r="F190">
        <v>0.01497118047758066</v>
      </c>
      <c r="G190">
        <v>-0.03292334705824196</v>
      </c>
      <c r="H190">
        <v>0.12</v>
      </c>
      <c r="I190">
        <v>0.09583448743056344</v>
      </c>
      <c r="J190" t="s">
        <v>781</v>
      </c>
      <c r="K190" t="s">
        <v>529</v>
      </c>
      <c r="L190">
        <v>4.65</v>
      </c>
      <c r="M190">
        <v>2</v>
      </c>
      <c r="N190">
        <v>0.4301075268817204</v>
      </c>
      <c r="O190">
        <v>4</v>
      </c>
      <c r="P190">
        <v>0.0602809527753625</v>
      </c>
      <c r="Q190">
        <v>0.253862097894416</v>
      </c>
      <c r="R190" t="s">
        <v>784</v>
      </c>
      <c r="S190" t="s">
        <v>792</v>
      </c>
      <c r="T190">
        <v>38816.685499</v>
      </c>
      <c r="U190" s="2">
        <v>44510</v>
      </c>
      <c r="V190" t="s">
        <v>807</v>
      </c>
    </row>
    <row r="191" spans="1:22">
      <c r="A191" s="1" t="s">
        <v>211</v>
      </c>
      <c r="B191">
        <f>HYPERLINK("https://www.suredividend.com/sure-analysis-RDEIY/","Red Electrica Corporacion S.A.")</f>
        <v>0</v>
      </c>
      <c r="C191">
        <v>10.74</v>
      </c>
      <c r="D191">
        <v>10.5</v>
      </c>
      <c r="E191">
        <v>1.022857142857143</v>
      </c>
      <c r="F191">
        <v>0.05586592178770949</v>
      </c>
      <c r="G191">
        <v>-0.004509766708576834</v>
      </c>
      <c r="H191">
        <v>0.05</v>
      </c>
      <c r="I191">
        <v>0.09482750620043534</v>
      </c>
      <c r="J191" t="s">
        <v>781</v>
      </c>
      <c r="K191" t="s">
        <v>780</v>
      </c>
      <c r="L191">
        <v>1.75</v>
      </c>
      <c r="M191">
        <v>0.6</v>
      </c>
      <c r="N191">
        <v>0.3428571428571429</v>
      </c>
      <c r="O191">
        <v>5</v>
      </c>
      <c r="P191">
        <v>0.05115774595007161</v>
      </c>
      <c r="Q191">
        <v>0.04166666666666601</v>
      </c>
      <c r="R191" t="s">
        <v>784</v>
      </c>
      <c r="S191" t="s">
        <v>796</v>
      </c>
      <c r="T191">
        <v>11362.68</v>
      </c>
      <c r="U191" s="2">
        <v>44500</v>
      </c>
      <c r="V191" t="s">
        <v>800</v>
      </c>
    </row>
    <row r="192" spans="1:22">
      <c r="A192" s="1" t="s">
        <v>212</v>
      </c>
      <c r="B192">
        <f>HYPERLINK("https://www.suredividend.com/sure-analysis-HII/","Huntington Ingalls Industries Inc")</f>
        <v>0</v>
      </c>
      <c r="C192">
        <v>188.73</v>
      </c>
      <c r="D192">
        <v>209</v>
      </c>
      <c r="E192">
        <v>0.9030143540669856</v>
      </c>
      <c r="F192">
        <v>0.02500927250569597</v>
      </c>
      <c r="G192">
        <v>0.0206129375088997</v>
      </c>
      <c r="H192">
        <v>0.05</v>
      </c>
      <c r="I192">
        <v>0.0946720325816055</v>
      </c>
      <c r="J192" t="s">
        <v>781</v>
      </c>
      <c r="K192" t="s">
        <v>781</v>
      </c>
      <c r="L192">
        <v>14.95</v>
      </c>
      <c r="M192">
        <v>4.72</v>
      </c>
      <c r="N192">
        <v>0.3157190635451505</v>
      </c>
      <c r="O192">
        <v>10</v>
      </c>
      <c r="P192">
        <v>0.08014856837381279</v>
      </c>
      <c r="Q192">
        <v>0.101069853206188</v>
      </c>
      <c r="R192" t="s">
        <v>784</v>
      </c>
      <c r="S192" t="s">
        <v>791</v>
      </c>
      <c r="T192">
        <v>7587.953631</v>
      </c>
      <c r="U192" s="2">
        <v>44516</v>
      </c>
      <c r="V192" t="s">
        <v>805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54.45</v>
      </c>
      <c r="D193">
        <v>53</v>
      </c>
      <c r="E193">
        <v>1.027358490566038</v>
      </c>
      <c r="F193">
        <v>0.03232323232323232</v>
      </c>
      <c r="G193">
        <v>-0.005383643135267402</v>
      </c>
      <c r="H193">
        <v>0.07000000000000001</v>
      </c>
      <c r="I193">
        <v>0.09443735904650929</v>
      </c>
      <c r="J193" t="s">
        <v>781</v>
      </c>
      <c r="K193" t="s">
        <v>781</v>
      </c>
      <c r="L193">
        <v>4.8</v>
      </c>
      <c r="M193">
        <v>1.76</v>
      </c>
      <c r="N193">
        <v>0.3666666666666667</v>
      </c>
      <c r="O193">
        <v>6</v>
      </c>
      <c r="P193">
        <v>0.08033244512790017</v>
      </c>
      <c r="Q193">
        <v>0.247993718462409</v>
      </c>
      <c r="R193" t="s">
        <v>784</v>
      </c>
      <c r="S193" t="s">
        <v>793</v>
      </c>
      <c r="T193">
        <v>31659.531624</v>
      </c>
      <c r="U193" s="2">
        <v>44510</v>
      </c>
      <c r="V193" t="s">
        <v>802</v>
      </c>
    </row>
    <row r="194" spans="1:22">
      <c r="A194" s="1" t="s">
        <v>214</v>
      </c>
      <c r="B194">
        <f>HYPERLINK("https://www.suredividend.com/sure-analysis-IMO/","Imperial Oil Ltd.")</f>
        <v>0</v>
      </c>
      <c r="C194">
        <v>33.59</v>
      </c>
      <c r="D194">
        <v>39</v>
      </c>
      <c r="E194">
        <v>0.8612820512820514</v>
      </c>
      <c r="F194">
        <v>0.02470973504019053</v>
      </c>
      <c r="G194">
        <v>0.03031713045853923</v>
      </c>
      <c r="H194">
        <v>0.04</v>
      </c>
      <c r="I194">
        <v>0.09361605327383349</v>
      </c>
      <c r="J194" t="s">
        <v>781</v>
      </c>
      <c r="K194" t="s">
        <v>781</v>
      </c>
      <c r="L194">
        <v>2.8</v>
      </c>
      <c r="M194">
        <v>0.83</v>
      </c>
      <c r="N194">
        <v>0.2964285714285714</v>
      </c>
      <c r="O194">
        <v>6</v>
      </c>
      <c r="P194">
        <v>0.06924192562875131</v>
      </c>
      <c r="Q194">
        <v>0.7494755263185631</v>
      </c>
      <c r="R194" t="s">
        <v>784</v>
      </c>
      <c r="S194" t="s">
        <v>797</v>
      </c>
      <c r="T194">
        <v>22757.56397</v>
      </c>
      <c r="U194" s="2">
        <v>44502</v>
      </c>
      <c r="V194" t="s">
        <v>807</v>
      </c>
    </row>
    <row r="195" spans="1:22">
      <c r="A195" s="1" t="s">
        <v>215</v>
      </c>
      <c r="B195">
        <f>HYPERLINK("https://www.suredividend.com/sure-analysis-CIO/","City Office REIT Inc")</f>
        <v>0</v>
      </c>
      <c r="C195">
        <v>17.82</v>
      </c>
      <c r="D195">
        <v>14.8</v>
      </c>
      <c r="E195">
        <v>1.204054054054054</v>
      </c>
      <c r="F195">
        <v>0.03367003367003367</v>
      </c>
      <c r="G195">
        <v>-0.03645766011141316</v>
      </c>
      <c r="H195">
        <v>0.1</v>
      </c>
      <c r="I195">
        <v>0.09360532041193026</v>
      </c>
      <c r="J195" t="s">
        <v>781</v>
      </c>
      <c r="K195" t="s">
        <v>781</v>
      </c>
      <c r="L195">
        <v>1.31</v>
      </c>
      <c r="M195">
        <v>0.6</v>
      </c>
      <c r="N195">
        <v>0.4580152671755725</v>
      </c>
      <c r="O195">
        <v>0</v>
      </c>
      <c r="P195">
        <v>0.1008397341583922</v>
      </c>
      <c r="Q195">
        <v>0.875678352775055</v>
      </c>
      <c r="R195" t="s">
        <v>786</v>
      </c>
      <c r="S195" t="s">
        <v>798</v>
      </c>
      <c r="T195">
        <v>775.267875</v>
      </c>
      <c r="U195" s="2">
        <v>44513</v>
      </c>
      <c r="V195" t="s">
        <v>799</v>
      </c>
    </row>
    <row r="196" spans="1:22">
      <c r="A196" s="1" t="s">
        <v>216</v>
      </c>
      <c r="B196">
        <f>HYPERLINK("https://www.suredividend.com/sure-analysis-KDP/","Keurig Dr Pepper Inc")</f>
        <v>0</v>
      </c>
      <c r="C196">
        <v>35.7</v>
      </c>
      <c r="D196">
        <v>32</v>
      </c>
      <c r="E196">
        <v>1.115625</v>
      </c>
      <c r="F196">
        <v>0.01988795518207283</v>
      </c>
      <c r="G196">
        <v>-0.02164526226911523</v>
      </c>
      <c r="H196">
        <v>0.1</v>
      </c>
      <c r="I196">
        <v>0.09291181108535462</v>
      </c>
      <c r="J196" t="s">
        <v>781</v>
      </c>
      <c r="K196" t="s">
        <v>352</v>
      </c>
      <c r="L196">
        <v>1.6</v>
      </c>
      <c r="M196">
        <v>0.71</v>
      </c>
      <c r="N196">
        <v>0.44375</v>
      </c>
      <c r="O196">
        <v>1</v>
      </c>
      <c r="P196">
        <v>0.05088842545712402</v>
      </c>
      <c r="Q196">
        <v>0.204473275221298</v>
      </c>
      <c r="R196" t="s">
        <v>784</v>
      </c>
      <c r="S196" t="s">
        <v>795</v>
      </c>
      <c r="T196">
        <v>50550.330826</v>
      </c>
      <c r="U196" s="2">
        <v>44530</v>
      </c>
      <c r="V196" t="s">
        <v>805</v>
      </c>
    </row>
    <row r="197" spans="1:22">
      <c r="A197" s="1" t="s">
        <v>217</v>
      </c>
      <c r="B197">
        <f>HYPERLINK("https://www.suredividend.com/sure-analysis-TDS/","Telephone And Data Systems, Inc.")</f>
        <v>0</v>
      </c>
      <c r="C197">
        <v>20.25</v>
      </c>
      <c r="D197">
        <v>25</v>
      </c>
      <c r="E197">
        <v>0.8100000000000001</v>
      </c>
      <c r="F197">
        <v>0.0345679012345679</v>
      </c>
      <c r="G197">
        <v>0.04304488151063257</v>
      </c>
      <c r="H197">
        <v>0.02</v>
      </c>
      <c r="I197">
        <v>0.09187195574694229</v>
      </c>
      <c r="J197" t="s">
        <v>781</v>
      </c>
      <c r="K197" t="s">
        <v>780</v>
      </c>
      <c r="L197">
        <v>0.93</v>
      </c>
      <c r="M197">
        <v>0.7</v>
      </c>
      <c r="N197">
        <v>0.7526881720430106</v>
      </c>
      <c r="O197">
        <v>45</v>
      </c>
      <c r="P197">
        <v>0.02962100943384161</v>
      </c>
      <c r="Q197">
        <v>0.069833821669135</v>
      </c>
      <c r="R197" t="s">
        <v>784</v>
      </c>
      <c r="S197" t="s">
        <v>788</v>
      </c>
      <c r="T197">
        <v>2125.093738</v>
      </c>
      <c r="U197" s="2">
        <v>44515</v>
      </c>
      <c r="V197" t="s">
        <v>806</v>
      </c>
    </row>
    <row r="198" spans="1:22">
      <c r="A198" s="1" t="s">
        <v>218</v>
      </c>
      <c r="B198">
        <f>HYPERLINK("https://www.suredividend.com/sure-analysis-FOXA/","Fox Corporation")</f>
        <v>0</v>
      </c>
      <c r="C198">
        <v>37.01</v>
      </c>
      <c r="D198">
        <v>43</v>
      </c>
      <c r="E198">
        <v>0.8606976744186046</v>
      </c>
      <c r="F198">
        <v>0.01296946771142934</v>
      </c>
      <c r="G198">
        <v>0.03045700071943225</v>
      </c>
      <c r="H198">
        <v>0.05</v>
      </c>
      <c r="I198">
        <v>0.09128188824976657</v>
      </c>
      <c r="J198" t="s">
        <v>781</v>
      </c>
      <c r="K198" t="s">
        <v>352</v>
      </c>
      <c r="L198">
        <v>2.84</v>
      </c>
      <c r="M198">
        <v>0.48</v>
      </c>
      <c r="N198">
        <v>0.1690140845070423</v>
      </c>
      <c r="O198">
        <v>0</v>
      </c>
      <c r="P198">
        <v>0</v>
      </c>
      <c r="Q198">
        <v>0.28360840914</v>
      </c>
      <c r="R198" t="s">
        <v>784</v>
      </c>
      <c r="S198" t="s">
        <v>788</v>
      </c>
      <c r="T198">
        <v>20019.413829</v>
      </c>
      <c r="U198" s="2">
        <v>44528</v>
      </c>
      <c r="V198" t="s">
        <v>801</v>
      </c>
    </row>
    <row r="199" spans="1:22">
      <c r="A199" s="1" t="s">
        <v>219</v>
      </c>
      <c r="B199">
        <f>HYPERLINK("https://www.suredividend.com/sure-analysis-CMI/","Cummins Inc.")</f>
        <v>0</v>
      </c>
      <c r="C199">
        <v>218.29</v>
      </c>
      <c r="D199">
        <v>207</v>
      </c>
      <c r="E199">
        <v>1.054541062801932</v>
      </c>
      <c r="F199">
        <v>0.02657015896284759</v>
      </c>
      <c r="G199">
        <v>-0.01056492708329215</v>
      </c>
      <c r="H199">
        <v>0.08</v>
      </c>
      <c r="I199">
        <v>0.09124914085578628</v>
      </c>
      <c r="J199" t="s">
        <v>781</v>
      </c>
      <c r="K199" t="s">
        <v>781</v>
      </c>
      <c r="L199">
        <v>15.92</v>
      </c>
      <c r="M199">
        <v>5.8</v>
      </c>
      <c r="N199">
        <v>0.364321608040201</v>
      </c>
      <c r="O199">
        <v>16</v>
      </c>
      <c r="P199">
        <v>0.0499309672496191</v>
      </c>
      <c r="Q199">
        <v>-0.001260987956651</v>
      </c>
      <c r="R199" t="s">
        <v>784</v>
      </c>
      <c r="S199" t="s">
        <v>791</v>
      </c>
      <c r="T199">
        <v>31266.761973</v>
      </c>
      <c r="U199" s="2">
        <v>44502</v>
      </c>
      <c r="V199" t="s">
        <v>800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75.785</v>
      </c>
      <c r="D200">
        <v>77</v>
      </c>
      <c r="E200">
        <v>0.9842207792207792</v>
      </c>
      <c r="F200">
        <v>0.02955730025730686</v>
      </c>
      <c r="G200">
        <v>0.003186072367606485</v>
      </c>
      <c r="H200">
        <v>0.06</v>
      </c>
      <c r="I200">
        <v>0.09117103042956076</v>
      </c>
      <c r="J200" t="s">
        <v>781</v>
      </c>
      <c r="K200" t="s">
        <v>781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0.300701754385964</v>
      </c>
      <c r="R200" t="s">
        <v>784</v>
      </c>
      <c r="S200" t="s">
        <v>793</v>
      </c>
      <c r="T200">
        <v>25053.33275</v>
      </c>
      <c r="U200" s="2">
        <v>44436</v>
      </c>
      <c r="V200" t="s">
        <v>809</v>
      </c>
    </row>
    <row r="201" spans="1:22">
      <c r="A201" s="1" t="s">
        <v>221</v>
      </c>
      <c r="B201">
        <f>HYPERLINK("https://www.suredividend.com/sure-analysis-EVRG/","Evergy Inc")</f>
        <v>0</v>
      </c>
      <c r="C201">
        <v>68.13</v>
      </c>
      <c r="D201">
        <v>65</v>
      </c>
      <c r="E201">
        <v>1.048153846153846</v>
      </c>
      <c r="F201">
        <v>0.03361221194774696</v>
      </c>
      <c r="G201">
        <v>-0.009361976228433599</v>
      </c>
      <c r="H201">
        <v>0.07000000000000001</v>
      </c>
      <c r="I201">
        <v>0.09116765186697373</v>
      </c>
      <c r="J201" t="s">
        <v>781</v>
      </c>
      <c r="K201" t="s">
        <v>781</v>
      </c>
      <c r="L201">
        <v>3.55</v>
      </c>
      <c r="M201">
        <v>2.29</v>
      </c>
      <c r="N201">
        <v>0.6450704225352113</v>
      </c>
      <c r="O201">
        <v>17</v>
      </c>
      <c r="P201">
        <v>0.07318952131901812</v>
      </c>
      <c r="Q201">
        <v>0.285041195961677</v>
      </c>
      <c r="R201" t="s">
        <v>784</v>
      </c>
      <c r="S201" t="s">
        <v>796</v>
      </c>
      <c r="T201">
        <v>15553.602141</v>
      </c>
      <c r="U201" s="2">
        <v>44508</v>
      </c>
      <c r="V201" t="s">
        <v>807</v>
      </c>
    </row>
    <row r="202" spans="1:22">
      <c r="A202" s="1" t="s">
        <v>222</v>
      </c>
      <c r="B202">
        <f>HYPERLINK("https://www.suredividend.com/sure-analysis-NJR/","New Jersey Resources Corporation")</f>
        <v>0</v>
      </c>
      <c r="C202">
        <v>39.8</v>
      </c>
      <c r="D202">
        <v>40</v>
      </c>
      <c r="E202">
        <v>0.9949999999999999</v>
      </c>
      <c r="F202">
        <v>0.03341708542713568</v>
      </c>
      <c r="G202">
        <v>0.001003011044185653</v>
      </c>
      <c r="H202">
        <v>0.06</v>
      </c>
      <c r="I202">
        <v>0.09085094705477292</v>
      </c>
      <c r="J202" t="s">
        <v>781</v>
      </c>
      <c r="K202" t="s">
        <v>781</v>
      </c>
      <c r="L202">
        <v>2.15</v>
      </c>
      <c r="M202">
        <v>1.33</v>
      </c>
      <c r="N202">
        <v>0.6186046511627907</v>
      </c>
      <c r="O202">
        <v>25</v>
      </c>
      <c r="P202">
        <v>0.06001905503876492</v>
      </c>
      <c r="Q202">
        <v>0.185306199204311</v>
      </c>
      <c r="R202" t="s">
        <v>784</v>
      </c>
      <c r="S202" t="s">
        <v>796</v>
      </c>
      <c r="T202">
        <v>3870.587339</v>
      </c>
      <c r="U202" s="2">
        <v>44418</v>
      </c>
      <c r="V202" t="s">
        <v>806</v>
      </c>
    </row>
    <row r="203" spans="1:22">
      <c r="A203" s="1" t="s">
        <v>223</v>
      </c>
      <c r="B203">
        <f>HYPERLINK("https://www.suredividend.com/sure-analysis-BR/","Broadridge Financial Solutions, Inc.")</f>
        <v>0</v>
      </c>
      <c r="C203">
        <v>180.06</v>
      </c>
      <c r="D203">
        <v>160</v>
      </c>
      <c r="E203">
        <v>1.125375</v>
      </c>
      <c r="F203">
        <v>0.01421748306120182</v>
      </c>
      <c r="G203">
        <v>-0.02334641769801693</v>
      </c>
      <c r="H203">
        <v>0.1</v>
      </c>
      <c r="I203">
        <v>0.08828013545290281</v>
      </c>
      <c r="J203" t="s">
        <v>781</v>
      </c>
      <c r="K203" t="s">
        <v>352</v>
      </c>
      <c r="L203">
        <v>6.39</v>
      </c>
      <c r="M203">
        <v>2.56</v>
      </c>
      <c r="N203">
        <v>0.4006259780907668</v>
      </c>
      <c r="O203">
        <v>13</v>
      </c>
      <c r="P203">
        <v>0.09984491222048941</v>
      </c>
      <c r="Q203">
        <v>0.225738441655552</v>
      </c>
      <c r="R203" t="s">
        <v>784</v>
      </c>
      <c r="S203" t="s">
        <v>790</v>
      </c>
      <c r="T203">
        <v>20753.227665</v>
      </c>
      <c r="U203" s="2">
        <v>44512</v>
      </c>
      <c r="V203" t="s">
        <v>806</v>
      </c>
    </row>
    <row r="204" spans="1:22">
      <c r="A204" s="1" t="s">
        <v>224</v>
      </c>
      <c r="B204">
        <f>HYPERLINK("https://www.suredividend.com/sure-analysis-CDUAF/","Canadian Utilities Ltd.")</f>
        <v>0</v>
      </c>
      <c r="C204">
        <v>28.18</v>
      </c>
      <c r="D204">
        <v>29</v>
      </c>
      <c r="E204">
        <v>0.9717241379310345</v>
      </c>
      <c r="F204">
        <v>0.05003548616039744</v>
      </c>
      <c r="G204">
        <v>0.005753150874281632</v>
      </c>
      <c r="H204">
        <v>0.04</v>
      </c>
      <c r="I204">
        <v>0.0876514764532208</v>
      </c>
      <c r="J204" t="s">
        <v>781</v>
      </c>
      <c r="K204" t="s">
        <v>780</v>
      </c>
      <c r="L204">
        <v>1.8</v>
      </c>
      <c r="M204">
        <v>1.41</v>
      </c>
      <c r="N204">
        <v>0.7833333333333332</v>
      </c>
      <c r="O204">
        <v>49</v>
      </c>
      <c r="P204">
        <v>0.02560510523091319</v>
      </c>
      <c r="Q204">
        <v>0.124043495771244</v>
      </c>
      <c r="R204" t="s">
        <v>784</v>
      </c>
      <c r="S204" t="s">
        <v>796</v>
      </c>
      <c r="T204">
        <v>5485.252692</v>
      </c>
      <c r="U204" s="2">
        <v>44502</v>
      </c>
      <c r="V204" t="s">
        <v>799</v>
      </c>
    </row>
    <row r="205" spans="1:22">
      <c r="A205" s="1" t="s">
        <v>225</v>
      </c>
      <c r="B205">
        <f>HYPERLINK("https://www.suredividend.com/sure-analysis-GILD/","Gilead Sciences, Inc.")</f>
        <v>0</v>
      </c>
      <c r="C205">
        <v>72.31</v>
      </c>
      <c r="D205">
        <v>80</v>
      </c>
      <c r="E205">
        <v>0.903875</v>
      </c>
      <c r="F205">
        <v>0.03927534227631033</v>
      </c>
      <c r="G205">
        <v>0.0204185032971691</v>
      </c>
      <c r="H205">
        <v>0.03</v>
      </c>
      <c r="I205">
        <v>0.08595007195795379</v>
      </c>
      <c r="J205" t="s">
        <v>781</v>
      </c>
      <c r="K205" t="s">
        <v>780</v>
      </c>
      <c r="L205">
        <v>8</v>
      </c>
      <c r="M205">
        <v>2.84</v>
      </c>
      <c r="N205">
        <v>0.355</v>
      </c>
      <c r="O205">
        <v>6</v>
      </c>
      <c r="P205">
        <v>0.049731056540673</v>
      </c>
      <c r="Q205">
        <v>0.249401266420213</v>
      </c>
      <c r="R205" t="s">
        <v>784</v>
      </c>
      <c r="S205" t="s">
        <v>789</v>
      </c>
      <c r="T205">
        <v>89324.65060199999</v>
      </c>
      <c r="U205" s="2">
        <v>44509</v>
      </c>
      <c r="V205" t="s">
        <v>802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102.9</v>
      </c>
      <c r="D206">
        <v>94.92</v>
      </c>
      <c r="E206">
        <v>1.084070796460177</v>
      </c>
      <c r="F206">
        <v>0.03265306122448979</v>
      </c>
      <c r="G206">
        <v>-0.01601501604483579</v>
      </c>
      <c r="H206">
        <v>0.07000000000000001</v>
      </c>
      <c r="I206">
        <v>0.08484708248148642</v>
      </c>
      <c r="J206" t="s">
        <v>781</v>
      </c>
      <c r="K206" t="s">
        <v>781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0.27914056679529</v>
      </c>
      <c r="R206" t="s">
        <v>784</v>
      </c>
      <c r="S206" t="s">
        <v>793</v>
      </c>
      <c r="T206">
        <v>144485.1624</v>
      </c>
      <c r="U206" s="2">
        <v>44444</v>
      </c>
      <c r="V206" t="s">
        <v>809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114.07</v>
      </c>
      <c r="D207">
        <v>113</v>
      </c>
      <c r="E207">
        <v>1.009469026548673</v>
      </c>
      <c r="F207">
        <v>0.04058911194880337</v>
      </c>
      <c r="G207">
        <v>-0.00188311996600532</v>
      </c>
      <c r="H207">
        <v>0.05</v>
      </c>
      <c r="I207">
        <v>0.08444638218489597</v>
      </c>
      <c r="J207" t="s">
        <v>781</v>
      </c>
      <c r="K207" t="s">
        <v>780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0.341786693648203</v>
      </c>
      <c r="R207" t="s">
        <v>784</v>
      </c>
      <c r="S207" t="s">
        <v>793</v>
      </c>
      <c r="T207">
        <v>50340.160506</v>
      </c>
      <c r="U207" s="2">
        <v>44442</v>
      </c>
      <c r="V207" t="s">
        <v>809</v>
      </c>
    </row>
    <row r="208" spans="1:22">
      <c r="A208" s="1" t="s">
        <v>228</v>
      </c>
      <c r="B208">
        <f>HYPERLINK("https://www.suredividend.com/sure-analysis-PB/","Prosperity Bancshares Inc.")</f>
        <v>0</v>
      </c>
      <c r="C208">
        <v>71.73999999999999</v>
      </c>
      <c r="D208">
        <v>82</v>
      </c>
      <c r="E208">
        <v>0.8748780487804877</v>
      </c>
      <c r="F208">
        <v>0.02899358795650962</v>
      </c>
      <c r="G208">
        <v>0.02709471850350997</v>
      </c>
      <c r="H208">
        <v>0.03</v>
      </c>
      <c r="I208">
        <v>0.08409589492937464</v>
      </c>
      <c r="J208" t="s">
        <v>781</v>
      </c>
      <c r="K208" t="s">
        <v>781</v>
      </c>
      <c r="L208">
        <v>5.75</v>
      </c>
      <c r="M208">
        <v>2.08</v>
      </c>
      <c r="N208">
        <v>0.3617391304347826</v>
      </c>
      <c r="O208">
        <v>18</v>
      </c>
      <c r="P208">
        <v>0.05820339229333826</v>
      </c>
      <c r="Q208">
        <v>0.09592962176877301</v>
      </c>
      <c r="R208" t="s">
        <v>784</v>
      </c>
      <c r="S208" t="s">
        <v>793</v>
      </c>
      <c r="T208">
        <v>6634.033461</v>
      </c>
      <c r="U208" s="2">
        <v>44498</v>
      </c>
      <c r="V208" t="s">
        <v>807</v>
      </c>
    </row>
    <row r="209" spans="1:22">
      <c r="A209" s="1" t="s">
        <v>229</v>
      </c>
      <c r="B209">
        <f>HYPERLINK("https://www.suredividend.com/sure-analysis-MSM/","MSC Industrial Direct Co., Inc.")</f>
        <v>0</v>
      </c>
      <c r="C209">
        <v>84.95</v>
      </c>
      <c r="D209">
        <v>86</v>
      </c>
      <c r="E209">
        <v>0.9877906976744186</v>
      </c>
      <c r="F209">
        <v>0.03531489111241907</v>
      </c>
      <c r="G209">
        <v>0.002459910253708619</v>
      </c>
      <c r="H209">
        <v>0.05</v>
      </c>
      <c r="I209">
        <v>0.0840360261203299</v>
      </c>
      <c r="J209" t="s">
        <v>781</v>
      </c>
      <c r="K209" t="s">
        <v>781</v>
      </c>
      <c r="L209">
        <v>5.55</v>
      </c>
      <c r="M209">
        <v>3</v>
      </c>
      <c r="N209">
        <v>0.5405405405405406</v>
      </c>
      <c r="O209">
        <v>16</v>
      </c>
      <c r="P209">
        <v>0.05006335758366887</v>
      </c>
      <c r="Q209">
        <v>0.034815763481845</v>
      </c>
      <c r="R209" t="s">
        <v>784</v>
      </c>
      <c r="S209" t="s">
        <v>791</v>
      </c>
      <c r="T209">
        <v>3968.485661</v>
      </c>
      <c r="U209" s="2">
        <v>44494</v>
      </c>
      <c r="V209" t="s">
        <v>806</v>
      </c>
    </row>
    <row r="210" spans="1:22">
      <c r="A210" s="1" t="s">
        <v>230</v>
      </c>
      <c r="B210">
        <f>HYPERLINK("https://www.suredividend.com/sure-analysis-FTS/","Fortis Inc.")</f>
        <v>0</v>
      </c>
      <c r="C210">
        <v>47.09</v>
      </c>
      <c r="D210">
        <v>45</v>
      </c>
      <c r="E210">
        <v>1.046444444444445</v>
      </c>
      <c r="F210">
        <v>0.03588872372053514</v>
      </c>
      <c r="G210">
        <v>-0.009038539483265939</v>
      </c>
      <c r="H210">
        <v>0.06</v>
      </c>
      <c r="I210">
        <v>0.08348424729931536</v>
      </c>
      <c r="J210" t="s">
        <v>781</v>
      </c>
      <c r="K210" t="s">
        <v>780</v>
      </c>
      <c r="L210">
        <v>2.14</v>
      </c>
      <c r="M210">
        <v>1.69</v>
      </c>
      <c r="N210">
        <v>0.7897196261682242</v>
      </c>
      <c r="O210">
        <v>48</v>
      </c>
      <c r="P210">
        <v>0.05984986030460782</v>
      </c>
      <c r="Q210">
        <v>0.156063645335305</v>
      </c>
      <c r="R210" t="s">
        <v>784</v>
      </c>
      <c r="S210" t="s">
        <v>796</v>
      </c>
      <c r="T210">
        <v>22103.160582</v>
      </c>
      <c r="U210" s="2">
        <v>44505</v>
      </c>
      <c r="V210" t="s">
        <v>809</v>
      </c>
    </row>
    <row r="211" spans="1:22">
      <c r="A211" s="1" t="s">
        <v>231</v>
      </c>
      <c r="B211">
        <f>HYPERLINK("https://www.suredividend.com/sure-analysis-TTC/","Toro Co.")</f>
        <v>0</v>
      </c>
      <c r="C211">
        <v>99.34</v>
      </c>
      <c r="D211">
        <v>83</v>
      </c>
      <c r="E211">
        <v>1.196867469879518</v>
      </c>
      <c r="F211">
        <v>0.01207972619287296</v>
      </c>
      <c r="G211">
        <v>-0.03530331236015305</v>
      </c>
      <c r="H211">
        <v>0.11</v>
      </c>
      <c r="I211">
        <v>0.08191666346305126</v>
      </c>
      <c r="J211" t="s">
        <v>781</v>
      </c>
      <c r="K211" t="s">
        <v>529</v>
      </c>
      <c r="L211">
        <v>3.55</v>
      </c>
      <c r="M211">
        <v>1.2</v>
      </c>
      <c r="N211">
        <v>0.3380281690140845</v>
      </c>
      <c r="O211">
        <v>12</v>
      </c>
      <c r="P211">
        <v>0.07088070041787131</v>
      </c>
      <c r="Q211">
        <v>0.07027128532997901</v>
      </c>
      <c r="R211" t="s">
        <v>784</v>
      </c>
      <c r="S211" t="s">
        <v>791</v>
      </c>
      <c r="T211">
        <v>10434.771294</v>
      </c>
      <c r="U211" s="2">
        <v>44453</v>
      </c>
      <c r="V211" t="s">
        <v>806</v>
      </c>
    </row>
    <row r="212" spans="1:22">
      <c r="A212" s="1" t="s">
        <v>232</v>
      </c>
      <c r="B212">
        <f>HYPERLINK("https://www.suredividend.com/sure-analysis-ORI/","Old Republic International Corp.")</f>
        <v>0</v>
      </c>
      <c r="C212">
        <v>24.81</v>
      </c>
      <c r="D212">
        <v>35</v>
      </c>
      <c r="E212">
        <v>0.7088571428571429</v>
      </c>
      <c r="F212">
        <v>0.0354695687222894</v>
      </c>
      <c r="G212">
        <v>0.07124363875136974</v>
      </c>
      <c r="H212">
        <v>-0.02</v>
      </c>
      <c r="I212">
        <v>0.08165441447149124</v>
      </c>
      <c r="J212" t="s">
        <v>781</v>
      </c>
      <c r="K212" t="s">
        <v>781</v>
      </c>
      <c r="L212">
        <v>2.9</v>
      </c>
      <c r="M212">
        <v>0.88</v>
      </c>
      <c r="N212">
        <v>0.303448275862069</v>
      </c>
      <c r="O212">
        <v>40</v>
      </c>
      <c r="P212">
        <v>0.04941452284458392</v>
      </c>
      <c r="Q212">
        <v>0.5206953139245121</v>
      </c>
      <c r="R212" t="s">
        <v>784</v>
      </c>
      <c r="S212" t="s">
        <v>793</v>
      </c>
      <c r="T212">
        <v>7681.358525</v>
      </c>
      <c r="U212" s="2">
        <v>44518</v>
      </c>
      <c r="V212" t="s">
        <v>804</v>
      </c>
    </row>
    <row r="213" spans="1:22">
      <c r="A213" s="1" t="s">
        <v>233</v>
      </c>
      <c r="B213">
        <f>HYPERLINK("https://www.suredividend.com/sure-analysis-BAH/","Booz Allen Hamilton Holding Corp")</f>
        <v>0</v>
      </c>
      <c r="C213">
        <v>82.75</v>
      </c>
      <c r="D213">
        <v>76</v>
      </c>
      <c r="E213">
        <v>1.088815789473684</v>
      </c>
      <c r="F213">
        <v>0.01788519637462236</v>
      </c>
      <c r="G213">
        <v>-0.01687414431178635</v>
      </c>
      <c r="H213">
        <v>0.08</v>
      </c>
      <c r="I213">
        <v>0.08109394302114903</v>
      </c>
      <c r="J213" t="s">
        <v>781</v>
      </c>
      <c r="K213" t="s">
        <v>352</v>
      </c>
      <c r="L213">
        <v>4.2</v>
      </c>
      <c r="M213">
        <v>1.48</v>
      </c>
      <c r="N213">
        <v>0.3523809523809524</v>
      </c>
      <c r="O213">
        <v>10</v>
      </c>
      <c r="P213">
        <v>0.1201489042708301</v>
      </c>
      <c r="Q213">
        <v>-0.053063346914758</v>
      </c>
      <c r="R213" t="s">
        <v>784</v>
      </c>
      <c r="S213" t="s">
        <v>790</v>
      </c>
      <c r="T213">
        <v>11118.778314</v>
      </c>
      <c r="U213" s="2">
        <v>44508</v>
      </c>
      <c r="V213" t="s">
        <v>805</v>
      </c>
    </row>
    <row r="214" spans="1:22">
      <c r="A214" s="1" t="s">
        <v>234</v>
      </c>
      <c r="B214">
        <f>HYPERLINK("https://www.suredividend.com/sure-analysis-SNA/","Snap-on, Inc.")</f>
        <v>0</v>
      </c>
      <c r="C214">
        <v>216.88</v>
      </c>
      <c r="D214">
        <v>231</v>
      </c>
      <c r="E214">
        <v>0.9388744588744589</v>
      </c>
      <c r="F214">
        <v>0.02618959793434157</v>
      </c>
      <c r="G214">
        <v>0.01269460202987993</v>
      </c>
      <c r="H214">
        <v>0.04</v>
      </c>
      <c r="I214">
        <v>0.07889866209871843</v>
      </c>
      <c r="J214" t="s">
        <v>781</v>
      </c>
      <c r="K214" t="s">
        <v>781</v>
      </c>
      <c r="L214">
        <v>14.45</v>
      </c>
      <c r="M214">
        <v>5.68</v>
      </c>
      <c r="N214">
        <v>0.3930795847750865</v>
      </c>
      <c r="O214">
        <v>12</v>
      </c>
      <c r="P214">
        <v>0.08010910720791475</v>
      </c>
      <c r="Q214">
        <v>0.267951627306018</v>
      </c>
      <c r="R214" t="s">
        <v>784</v>
      </c>
      <c r="S214" t="s">
        <v>791</v>
      </c>
      <c r="T214">
        <v>11641.229206</v>
      </c>
      <c r="U214" s="2">
        <v>44498</v>
      </c>
      <c r="V214" t="s">
        <v>804</v>
      </c>
    </row>
    <row r="215" spans="1:22">
      <c r="A215" s="1" t="s">
        <v>235</v>
      </c>
      <c r="B215">
        <f>HYPERLINK("https://www.suredividend.com/sure-analysis-PBCT/","People`s United Financial Inc")</f>
        <v>0</v>
      </c>
      <c r="C215">
        <v>17.58</v>
      </c>
      <c r="D215">
        <v>18</v>
      </c>
      <c r="E215">
        <v>0.9766666666666666</v>
      </c>
      <c r="F215">
        <v>0.04152445961319682</v>
      </c>
      <c r="G215">
        <v>0.004733139211334114</v>
      </c>
      <c r="H215">
        <v>0.04</v>
      </c>
      <c r="I215">
        <v>0.07889091301020357</v>
      </c>
      <c r="J215" t="s">
        <v>781</v>
      </c>
      <c r="K215" t="s">
        <v>780</v>
      </c>
      <c r="L215">
        <v>1.33</v>
      </c>
      <c r="M215">
        <v>0.73</v>
      </c>
      <c r="N215">
        <v>0.5488721804511277</v>
      </c>
      <c r="O215">
        <v>29</v>
      </c>
      <c r="P215">
        <v>0.01333804570728625</v>
      </c>
      <c r="Q215">
        <v>0.383188571792179</v>
      </c>
      <c r="R215" t="s">
        <v>784</v>
      </c>
      <c r="S215" t="s">
        <v>793</v>
      </c>
      <c r="T215">
        <v>7443.267957</v>
      </c>
      <c r="U215" s="2">
        <v>44495</v>
      </c>
      <c r="V215" t="s">
        <v>807</v>
      </c>
    </row>
    <row r="216" spans="1:22">
      <c r="A216" s="1" t="s">
        <v>236</v>
      </c>
      <c r="B216">
        <f>HYPERLINK("https://www.suredividend.com/sure-analysis-POR/","Portland General Electric Co")</f>
        <v>0</v>
      </c>
      <c r="C216">
        <v>52.55</v>
      </c>
      <c r="D216">
        <v>52</v>
      </c>
      <c r="E216">
        <v>1.010576923076923</v>
      </c>
      <c r="F216">
        <v>0.03273073263558516</v>
      </c>
      <c r="G216">
        <v>-0.002102063312224733</v>
      </c>
      <c r="H216">
        <v>0.05</v>
      </c>
      <c r="I216">
        <v>0.0783898437853332</v>
      </c>
      <c r="J216" t="s">
        <v>781</v>
      </c>
      <c r="K216" t="s">
        <v>781</v>
      </c>
      <c r="L216">
        <v>2.78</v>
      </c>
      <c r="M216">
        <v>1.72</v>
      </c>
      <c r="N216">
        <v>0.6187050359712231</v>
      </c>
      <c r="O216">
        <v>14</v>
      </c>
      <c r="P216">
        <v>0.05983895403096029</v>
      </c>
      <c r="Q216">
        <v>0.255155101308947</v>
      </c>
      <c r="R216" t="s">
        <v>784</v>
      </c>
      <c r="S216" t="s">
        <v>796</v>
      </c>
      <c r="T216">
        <v>4631.417953</v>
      </c>
      <c r="U216" s="2">
        <v>44498</v>
      </c>
      <c r="V216" t="s">
        <v>806</v>
      </c>
    </row>
    <row r="217" spans="1:22">
      <c r="A217" s="1" t="s">
        <v>237</v>
      </c>
      <c r="B217">
        <f>HYPERLINK("https://www.suredividend.com/sure-analysis-CHRW/","C.H. Robinson Worldwide, Inc.")</f>
        <v>0</v>
      </c>
      <c r="C217">
        <v>104.39</v>
      </c>
      <c r="D217">
        <v>100</v>
      </c>
      <c r="E217">
        <v>1.0439</v>
      </c>
      <c r="F217">
        <v>0.02107481559536354</v>
      </c>
      <c r="G217">
        <v>-0.008555927811364605</v>
      </c>
      <c r="H217">
        <v>0.07000000000000001</v>
      </c>
      <c r="I217">
        <v>0.07832554406571912</v>
      </c>
      <c r="J217" t="s">
        <v>781</v>
      </c>
      <c r="K217" t="s">
        <v>781</v>
      </c>
      <c r="L217">
        <v>5.55</v>
      </c>
      <c r="M217">
        <v>2.2</v>
      </c>
      <c r="N217">
        <v>0.3963963963963965</v>
      </c>
      <c r="O217">
        <v>22</v>
      </c>
      <c r="P217">
        <v>0.02753251148110025</v>
      </c>
      <c r="Q217">
        <v>0.183816018866356</v>
      </c>
      <c r="R217" t="s">
        <v>784</v>
      </c>
      <c r="S217" t="s">
        <v>791</v>
      </c>
      <c r="T217">
        <v>13513.49655</v>
      </c>
      <c r="U217" s="2">
        <v>44495</v>
      </c>
      <c r="V217" t="s">
        <v>801</v>
      </c>
    </row>
    <row r="218" spans="1:22">
      <c r="A218" s="1" t="s">
        <v>238</v>
      </c>
      <c r="B218">
        <f>HYPERLINK("https://www.suredividend.com/sure-analysis-TD/","Toronto Dominion Bank")</f>
        <v>0</v>
      </c>
      <c r="C218">
        <v>74.76000000000001</v>
      </c>
      <c r="D218">
        <v>74</v>
      </c>
      <c r="E218">
        <v>1.01027027027027</v>
      </c>
      <c r="F218">
        <v>0.0335741037988229</v>
      </c>
      <c r="G218">
        <v>-0.002041491193045086</v>
      </c>
      <c r="H218">
        <v>0.05</v>
      </c>
      <c r="I218">
        <v>0.07832517781742321</v>
      </c>
      <c r="J218" t="s">
        <v>781</v>
      </c>
      <c r="K218" t="s">
        <v>781</v>
      </c>
      <c r="L218">
        <v>6.08</v>
      </c>
      <c r="M218">
        <v>2.51</v>
      </c>
      <c r="N218">
        <v>0.412828947368421</v>
      </c>
      <c r="O218">
        <v>9</v>
      </c>
      <c r="P218">
        <v>0.04977264413928073</v>
      </c>
      <c r="Q218">
        <v>0.34821410716266</v>
      </c>
      <c r="R218" t="s">
        <v>784</v>
      </c>
      <c r="S218" t="s">
        <v>793</v>
      </c>
      <c r="T218">
        <v>135262.844286</v>
      </c>
      <c r="U218" s="2">
        <v>44444</v>
      </c>
      <c r="V218" t="s">
        <v>809</v>
      </c>
    </row>
    <row r="219" spans="1:22">
      <c r="A219" s="1" t="s">
        <v>239</v>
      </c>
      <c r="B219">
        <f>HYPERLINK("https://www.suredividend.com/sure-analysis-RBGLY/","Reckitt Benckiser Group Plc")</f>
        <v>0</v>
      </c>
      <c r="C219">
        <v>16.75</v>
      </c>
      <c r="D219">
        <v>18</v>
      </c>
      <c r="E219">
        <v>0.9305555555555556</v>
      </c>
      <c r="F219">
        <v>0.02626865671641791</v>
      </c>
      <c r="G219">
        <v>0.01449880252679092</v>
      </c>
      <c r="H219">
        <v>0.04</v>
      </c>
      <c r="I219">
        <v>0.07781293787544086</v>
      </c>
      <c r="J219" t="s">
        <v>781</v>
      </c>
      <c r="K219" t="s">
        <v>781</v>
      </c>
      <c r="L219">
        <v>1.2</v>
      </c>
      <c r="M219">
        <v>0.44</v>
      </c>
      <c r="N219">
        <v>0.3666666666666667</v>
      </c>
      <c r="O219">
        <v>0</v>
      </c>
      <c r="P219">
        <v>0.03792181163298758</v>
      </c>
      <c r="Q219">
        <v>-0.058119658119658</v>
      </c>
      <c r="R219" t="s">
        <v>784</v>
      </c>
      <c r="S219" t="s">
        <v>795</v>
      </c>
      <c r="T219">
        <v>59037.875808</v>
      </c>
      <c r="U219" s="2">
        <v>44497</v>
      </c>
      <c r="V219" t="s">
        <v>810</v>
      </c>
    </row>
    <row r="220" spans="1:22">
      <c r="A220" s="1" t="s">
        <v>240</v>
      </c>
      <c r="B220">
        <f>HYPERLINK("https://www.suredividend.com/sure-analysis-RBA/","Ritchie Bros Auctioneers Inc")</f>
        <v>0</v>
      </c>
      <c r="C220">
        <v>63.41</v>
      </c>
      <c r="D220">
        <v>53</v>
      </c>
      <c r="E220">
        <v>1.196415094339623</v>
      </c>
      <c r="F220">
        <v>0.01577038322031225</v>
      </c>
      <c r="G220">
        <v>-0.03523037125494355</v>
      </c>
      <c r="H220">
        <v>0.1</v>
      </c>
      <c r="I220">
        <v>0.07744048094464895</v>
      </c>
      <c r="J220" t="s">
        <v>781</v>
      </c>
      <c r="K220" t="s">
        <v>529</v>
      </c>
      <c r="L220">
        <v>1.6</v>
      </c>
      <c r="M220">
        <v>1</v>
      </c>
      <c r="N220">
        <v>0.625</v>
      </c>
      <c r="O220">
        <v>17</v>
      </c>
      <c r="P220">
        <v>0.09993032380125255</v>
      </c>
      <c r="Q220">
        <v>-0.06905614309827801</v>
      </c>
      <c r="R220" t="s">
        <v>784</v>
      </c>
      <c r="S220" t="s">
        <v>791</v>
      </c>
      <c r="T220">
        <v>7008.944492</v>
      </c>
      <c r="U220" s="2">
        <v>44515</v>
      </c>
      <c r="V220" t="s">
        <v>799</v>
      </c>
    </row>
    <row r="221" spans="1:22">
      <c r="A221" s="1" t="s">
        <v>241</v>
      </c>
      <c r="B221">
        <f>HYPERLINK("https://www.suredividend.com/sure-analysis-TXN/","Texas Instruments Inc.")</f>
        <v>0</v>
      </c>
      <c r="C221">
        <v>188.24</v>
      </c>
      <c r="D221">
        <v>162</v>
      </c>
      <c r="E221">
        <v>1.161975308641975</v>
      </c>
      <c r="F221">
        <v>0.02443688907777305</v>
      </c>
      <c r="G221">
        <v>-0.02957803036600049</v>
      </c>
      <c r="H221">
        <v>0.08</v>
      </c>
      <c r="I221">
        <v>0.07324550764739746</v>
      </c>
      <c r="J221" t="s">
        <v>781</v>
      </c>
      <c r="K221" t="s">
        <v>352</v>
      </c>
      <c r="L221">
        <v>8.1</v>
      </c>
      <c r="M221">
        <v>4.6</v>
      </c>
      <c r="N221">
        <v>0.5679012345679012</v>
      </c>
      <c r="O221">
        <v>18</v>
      </c>
      <c r="P221">
        <v>0.09007175117662958</v>
      </c>
      <c r="Q221">
        <v>0.219303111290404</v>
      </c>
      <c r="R221" t="s">
        <v>784</v>
      </c>
      <c r="S221" t="s">
        <v>790</v>
      </c>
      <c r="T221">
        <v>178646.878532</v>
      </c>
      <c r="U221" s="2">
        <v>44504</v>
      </c>
      <c r="V221" t="s">
        <v>802</v>
      </c>
    </row>
    <row r="222" spans="1:22">
      <c r="A222" s="1" t="s">
        <v>242</v>
      </c>
      <c r="B222">
        <f>HYPERLINK("https://www.suredividend.com/sure-analysis-HD/","Home Depot, Inc.")</f>
        <v>0</v>
      </c>
      <c r="C222">
        <v>399.53</v>
      </c>
      <c r="D222">
        <v>341</v>
      </c>
      <c r="E222">
        <v>1.171642228739003</v>
      </c>
      <c r="F222">
        <v>0.01651941030711086</v>
      </c>
      <c r="G222">
        <v>-0.03118468223141235</v>
      </c>
      <c r="H222">
        <v>0.09</v>
      </c>
      <c r="I222">
        <v>0.07279234704254534</v>
      </c>
      <c r="J222" t="s">
        <v>781</v>
      </c>
      <c r="K222" t="s">
        <v>352</v>
      </c>
      <c r="L222">
        <v>15.48</v>
      </c>
      <c r="M222">
        <v>6.6</v>
      </c>
      <c r="N222">
        <v>0.4263565891472868</v>
      </c>
      <c r="O222">
        <v>12</v>
      </c>
      <c r="P222">
        <v>0.08989440052011655</v>
      </c>
      <c r="Q222">
        <v>0.553583802895507</v>
      </c>
      <c r="R222" t="s">
        <v>784</v>
      </c>
      <c r="S222" t="s">
        <v>792</v>
      </c>
      <c r="T222">
        <v>425851.178772</v>
      </c>
      <c r="U222" s="2">
        <v>44530</v>
      </c>
      <c r="V222" t="s">
        <v>806</v>
      </c>
    </row>
    <row r="223" spans="1:22">
      <c r="A223" s="1" t="s">
        <v>243</v>
      </c>
      <c r="B223">
        <f>HYPERLINK("https://www.suredividend.com/sure-analysis-MDLZ/","Mondelez International Inc.")</f>
        <v>0</v>
      </c>
      <c r="C223">
        <v>65.69</v>
      </c>
      <c r="D223">
        <v>57</v>
      </c>
      <c r="E223">
        <v>1.152456140350877</v>
      </c>
      <c r="F223">
        <v>0.02131222408281321</v>
      </c>
      <c r="G223">
        <v>-0.02798018391809309</v>
      </c>
      <c r="H223">
        <v>0.08</v>
      </c>
      <c r="I223">
        <v>0.07115045840411316</v>
      </c>
      <c r="J223" t="s">
        <v>781</v>
      </c>
      <c r="K223" t="s">
        <v>352</v>
      </c>
      <c r="L223">
        <v>2.85</v>
      </c>
      <c r="M223">
        <v>1.4</v>
      </c>
      <c r="N223">
        <v>0.4912280701754386</v>
      </c>
      <c r="O223">
        <v>8</v>
      </c>
      <c r="P223">
        <v>0.08030860883184343</v>
      </c>
      <c r="Q223">
        <v>0.15242250630106</v>
      </c>
      <c r="R223" t="s">
        <v>784</v>
      </c>
      <c r="S223" t="s">
        <v>795</v>
      </c>
      <c r="T223">
        <v>90380.24443200001</v>
      </c>
      <c r="U223" s="2">
        <v>44514</v>
      </c>
      <c r="V223" t="s">
        <v>809</v>
      </c>
    </row>
    <row r="224" spans="1:22">
      <c r="A224" s="1" t="s">
        <v>244</v>
      </c>
      <c r="B224">
        <f>HYPERLINK("https://www.suredividend.com/sure-analysis-EMN/","Eastman Chemical Co")</f>
        <v>0</v>
      </c>
      <c r="C224">
        <v>120.1</v>
      </c>
      <c r="D224">
        <v>120</v>
      </c>
      <c r="E224">
        <v>1.000833333333333</v>
      </c>
      <c r="F224">
        <v>0.02298084929225645</v>
      </c>
      <c r="G224">
        <v>-0.0001665833842252606</v>
      </c>
      <c r="H224">
        <v>0.05</v>
      </c>
      <c r="I224">
        <v>0.07090486951831987</v>
      </c>
      <c r="J224" t="s">
        <v>781</v>
      </c>
      <c r="K224" t="s">
        <v>781</v>
      </c>
      <c r="L224">
        <v>8.9</v>
      </c>
      <c r="M224">
        <v>2.76</v>
      </c>
      <c r="N224">
        <v>0.3101123595505618</v>
      </c>
      <c r="O224">
        <v>11</v>
      </c>
      <c r="P224">
        <v>0.04984870359842875</v>
      </c>
      <c r="Q224">
        <v>0.190593984431004</v>
      </c>
      <c r="R224" t="s">
        <v>784</v>
      </c>
      <c r="S224" t="s">
        <v>794</v>
      </c>
      <c r="T224">
        <v>15853.1977</v>
      </c>
      <c r="U224" s="2">
        <v>44502</v>
      </c>
      <c r="V224" t="s">
        <v>799</v>
      </c>
    </row>
    <row r="225" spans="1:22">
      <c r="A225" s="1" t="s">
        <v>245</v>
      </c>
      <c r="B225">
        <f>HYPERLINK("https://www.suredividend.com/sure-analysis-UHT/","Universal Health Realty Income Trust")</f>
        <v>0</v>
      </c>
      <c r="C225">
        <v>58.92</v>
      </c>
      <c r="D225">
        <v>60</v>
      </c>
      <c r="E225">
        <v>0.982</v>
      </c>
      <c r="F225">
        <v>0.04752206381534283</v>
      </c>
      <c r="G225">
        <v>0.003639400719823271</v>
      </c>
      <c r="H225">
        <v>0.027</v>
      </c>
      <c r="I225">
        <v>0.07084879098906161</v>
      </c>
      <c r="J225" t="s">
        <v>781</v>
      </c>
      <c r="K225" t="s">
        <v>780</v>
      </c>
      <c r="L225">
        <v>3.5</v>
      </c>
      <c r="M225">
        <v>2.8</v>
      </c>
      <c r="N225">
        <v>0.7999999999999999</v>
      </c>
      <c r="O225">
        <v>37</v>
      </c>
      <c r="P225">
        <v>0.009805797673485328</v>
      </c>
      <c r="Q225">
        <v>-0.135192556845609</v>
      </c>
      <c r="R225" t="s">
        <v>786</v>
      </c>
      <c r="S225" t="s">
        <v>798</v>
      </c>
      <c r="T225">
        <v>812.453243</v>
      </c>
      <c r="U225" s="2">
        <v>44531</v>
      </c>
      <c r="V225" t="s">
        <v>808</v>
      </c>
    </row>
    <row r="226" spans="1:22">
      <c r="A226" s="1" t="s">
        <v>246</v>
      </c>
      <c r="B226">
        <f>HYPERLINK("https://www.suredividend.com/sure-analysis-XOM/","Exxon Mobil Corp.")</f>
        <v>0</v>
      </c>
      <c r="C226">
        <v>61.37</v>
      </c>
      <c r="D226">
        <v>65</v>
      </c>
      <c r="E226">
        <v>0.9441538461538461</v>
      </c>
      <c r="F226">
        <v>0.05735701482809191</v>
      </c>
      <c r="G226">
        <v>0.01155953163539847</v>
      </c>
      <c r="H226">
        <v>0.01</v>
      </c>
      <c r="I226">
        <v>0.07019965415048013</v>
      </c>
      <c r="J226" t="s">
        <v>781</v>
      </c>
      <c r="K226" t="s">
        <v>780</v>
      </c>
      <c r="L226">
        <v>5</v>
      </c>
      <c r="M226">
        <v>3.52</v>
      </c>
      <c r="N226">
        <v>0.704</v>
      </c>
      <c r="O226">
        <v>39</v>
      </c>
      <c r="P226">
        <v>0.004504686905032917</v>
      </c>
      <c r="Q226">
        <v>0.5110970806502131</v>
      </c>
      <c r="R226" t="s">
        <v>784</v>
      </c>
      <c r="S226" t="s">
        <v>797</v>
      </c>
      <c r="T226">
        <v>259390.640226</v>
      </c>
      <c r="U226" s="2">
        <v>44501</v>
      </c>
      <c r="V226" t="s">
        <v>807</v>
      </c>
    </row>
    <row r="227" spans="1:22">
      <c r="A227" s="1" t="s">
        <v>247</v>
      </c>
      <c r="B227">
        <f>HYPERLINK("https://www.suredividend.com/sure-analysis-IBM/","International Business Machines Corp.")</f>
        <v>0</v>
      </c>
      <c r="C227">
        <v>125.93</v>
      </c>
      <c r="D227">
        <v>114</v>
      </c>
      <c r="E227">
        <v>1.104649122807018</v>
      </c>
      <c r="F227">
        <v>0.05209243230366076</v>
      </c>
      <c r="G227">
        <v>-0.01970874228641251</v>
      </c>
      <c r="H227">
        <v>0.04</v>
      </c>
      <c r="I227">
        <v>0.06881467662869878</v>
      </c>
      <c r="J227" t="s">
        <v>781</v>
      </c>
      <c r="K227" t="s">
        <v>780</v>
      </c>
      <c r="L227">
        <v>10.32</v>
      </c>
      <c r="M227">
        <v>6.56</v>
      </c>
      <c r="N227">
        <v>0.6356589147286821</v>
      </c>
      <c r="O227">
        <v>26</v>
      </c>
      <c r="P227">
        <v>0.03996760299438673</v>
      </c>
      <c r="Q227">
        <v>0.0267928632433</v>
      </c>
      <c r="R227" t="s">
        <v>784</v>
      </c>
      <c r="S227" t="s">
        <v>790</v>
      </c>
      <c r="T227">
        <v>110345.964187</v>
      </c>
      <c r="U227" s="2">
        <v>44494</v>
      </c>
      <c r="V227" t="s">
        <v>805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52.2</v>
      </c>
      <c r="D228">
        <v>54</v>
      </c>
      <c r="E228">
        <v>0.9666666666666667</v>
      </c>
      <c r="F228">
        <v>0.03218390804597701</v>
      </c>
      <c r="G228">
        <v>0.006803348678863008</v>
      </c>
      <c r="H228">
        <v>0.03</v>
      </c>
      <c r="I228">
        <v>0.06582128471354953</v>
      </c>
      <c r="J228" t="s">
        <v>781</v>
      </c>
      <c r="K228" t="s">
        <v>780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0.021171784310605</v>
      </c>
      <c r="R228" t="s">
        <v>784</v>
      </c>
      <c r="S228" t="s">
        <v>793</v>
      </c>
      <c r="T228">
        <v>4407.36787</v>
      </c>
      <c r="U228" s="2">
        <v>44512</v>
      </c>
      <c r="V228" t="s">
        <v>804</v>
      </c>
    </row>
    <row r="229" spans="1:22">
      <c r="A229" s="1" t="s">
        <v>249</v>
      </c>
      <c r="B229">
        <f>HYPERLINK("https://www.suredividend.com/sure-analysis-UNH/","Unitedhealth Group Inc")</f>
        <v>0</v>
      </c>
      <c r="C229">
        <v>492.86</v>
      </c>
      <c r="D229">
        <v>358</v>
      </c>
      <c r="E229">
        <v>1.376703910614525</v>
      </c>
      <c r="F229">
        <v>0.01176804772146248</v>
      </c>
      <c r="G229">
        <v>-0.06193724978605708</v>
      </c>
      <c r="H229">
        <v>0.12</v>
      </c>
      <c r="I229">
        <v>0.06480121564379449</v>
      </c>
      <c r="J229" t="s">
        <v>781</v>
      </c>
      <c r="K229" t="s">
        <v>352</v>
      </c>
      <c r="L229">
        <v>18.65</v>
      </c>
      <c r="M229">
        <v>5.8</v>
      </c>
      <c r="N229">
        <v>0.3109919571045577</v>
      </c>
      <c r="O229">
        <v>12</v>
      </c>
      <c r="P229">
        <v>0.1400529846685179</v>
      </c>
      <c r="Q229">
        <v>0.475935662842533</v>
      </c>
      <c r="R229" t="s">
        <v>784</v>
      </c>
      <c r="S229" t="s">
        <v>789</v>
      </c>
      <c r="T229">
        <v>465632.420975</v>
      </c>
      <c r="U229" s="2">
        <v>44491</v>
      </c>
      <c r="V229" t="s">
        <v>804</v>
      </c>
    </row>
    <row r="230" spans="1:22">
      <c r="A230" s="1" t="s">
        <v>250</v>
      </c>
      <c r="B230">
        <f>HYPERLINK("https://www.suredividend.com/sure-analysis-FLO/","Flowers Foods, Inc.")</f>
        <v>0</v>
      </c>
      <c r="C230">
        <v>27.24</v>
      </c>
      <c r="D230">
        <v>25</v>
      </c>
      <c r="E230">
        <v>1.0896</v>
      </c>
      <c r="F230">
        <v>0.03083700440528634</v>
      </c>
      <c r="G230">
        <v>-0.01701570079065118</v>
      </c>
      <c r="H230">
        <v>0.05</v>
      </c>
      <c r="I230">
        <v>0.06202583187696553</v>
      </c>
      <c r="J230" t="s">
        <v>781</v>
      </c>
      <c r="K230" t="s">
        <v>781</v>
      </c>
      <c r="L230">
        <v>1.24</v>
      </c>
      <c r="M230">
        <v>0.84</v>
      </c>
      <c r="N230">
        <v>0.6774193548387096</v>
      </c>
      <c r="O230">
        <v>19</v>
      </c>
      <c r="P230">
        <v>0.05154749679728043</v>
      </c>
      <c r="Q230">
        <v>0.20093916141162</v>
      </c>
      <c r="R230" t="s">
        <v>784</v>
      </c>
      <c r="S230" t="s">
        <v>795</v>
      </c>
      <c r="T230">
        <v>5644.240653</v>
      </c>
      <c r="U230" s="2">
        <v>44513</v>
      </c>
      <c r="V230" t="s">
        <v>803</v>
      </c>
    </row>
    <row r="231" spans="1:22">
      <c r="A231" s="1" t="s">
        <v>251</v>
      </c>
      <c r="B231">
        <f>HYPERLINK("https://www.suredividend.com/sure-analysis-EQIX/","Equinix Inc")</f>
        <v>0</v>
      </c>
      <c r="C231">
        <v>822.9</v>
      </c>
      <c r="D231">
        <v>638</v>
      </c>
      <c r="E231">
        <v>1.289811912225705</v>
      </c>
      <c r="F231">
        <v>0.01395066229189452</v>
      </c>
      <c r="G231">
        <v>-0.04962561320060677</v>
      </c>
      <c r="H231">
        <v>0.1</v>
      </c>
      <c r="I231">
        <v>0.06064957562772277</v>
      </c>
      <c r="J231" t="s">
        <v>781</v>
      </c>
      <c r="K231" t="s">
        <v>529</v>
      </c>
      <c r="L231">
        <v>27.14</v>
      </c>
      <c r="M231">
        <v>11.48</v>
      </c>
      <c r="N231">
        <v>0.4229918938835667</v>
      </c>
      <c r="O231">
        <v>5</v>
      </c>
      <c r="P231">
        <v>0.1000160063233719</v>
      </c>
      <c r="Q231">
        <v>0.192850749639447</v>
      </c>
      <c r="R231" t="s">
        <v>786</v>
      </c>
      <c r="S231" t="s">
        <v>798</v>
      </c>
      <c r="T231">
        <v>73571.764108</v>
      </c>
      <c r="U231" s="2">
        <v>44505</v>
      </c>
      <c r="V231" t="s">
        <v>806</v>
      </c>
    </row>
    <row r="232" spans="1:22">
      <c r="A232" s="1" t="s">
        <v>252</v>
      </c>
      <c r="B232">
        <f>HYPERLINK("https://www.suredividend.com/sure-analysis-RELX/","RELX Plc")</f>
        <v>0</v>
      </c>
      <c r="C232">
        <v>31.52</v>
      </c>
      <c r="D232">
        <v>28.6</v>
      </c>
      <c r="E232">
        <v>1.102097902097902</v>
      </c>
      <c r="F232">
        <v>0.02062182741116751</v>
      </c>
      <c r="G232">
        <v>-0.01925531127676672</v>
      </c>
      <c r="H232">
        <v>0.06</v>
      </c>
      <c r="I232">
        <v>0.05988319669675057</v>
      </c>
      <c r="J232" t="s">
        <v>781</v>
      </c>
      <c r="K232" t="s">
        <v>352</v>
      </c>
      <c r="L232">
        <v>1.19</v>
      </c>
      <c r="M232">
        <v>0.65</v>
      </c>
      <c r="N232">
        <v>0.546218487394958</v>
      </c>
      <c r="O232">
        <v>10</v>
      </c>
      <c r="P232">
        <v>0.06003737798448272</v>
      </c>
      <c r="Q232">
        <v>0.3590635657851891</v>
      </c>
      <c r="R232" t="s">
        <v>784</v>
      </c>
      <c r="S232" t="s">
        <v>788</v>
      </c>
      <c r="T232">
        <v>61366.212631</v>
      </c>
      <c r="U232" s="2">
        <v>44411</v>
      </c>
      <c r="V232" t="s">
        <v>799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48.37</v>
      </c>
      <c r="D233">
        <v>45</v>
      </c>
      <c r="E233">
        <v>1.074888888888889</v>
      </c>
      <c r="F233">
        <v>0.01612569774653711</v>
      </c>
      <c r="G233">
        <v>-0.01433965302840134</v>
      </c>
      <c r="H233">
        <v>0.06</v>
      </c>
      <c r="I233">
        <v>0.05925276213710595</v>
      </c>
      <c r="J233" t="s">
        <v>781</v>
      </c>
      <c r="K233" t="s">
        <v>529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0.023116911846034</v>
      </c>
      <c r="R233" t="s">
        <v>784</v>
      </c>
      <c r="S233" t="s">
        <v>796</v>
      </c>
      <c r="T233">
        <v>630.331693</v>
      </c>
      <c r="U233" s="2">
        <v>44507</v>
      </c>
      <c r="V233" t="s">
        <v>799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67.95999999999999</v>
      </c>
      <c r="D234">
        <v>56.6</v>
      </c>
      <c r="E234">
        <v>1.200706713780919</v>
      </c>
      <c r="F234">
        <v>0.04120070629782225</v>
      </c>
      <c r="G234">
        <v>-0.0359210239063259</v>
      </c>
      <c r="H234">
        <v>0.058</v>
      </c>
      <c r="I234">
        <v>0.05759670360480285</v>
      </c>
      <c r="J234" t="s">
        <v>781</v>
      </c>
      <c r="K234" t="s">
        <v>780</v>
      </c>
      <c r="L234">
        <v>4.49</v>
      </c>
      <c r="M234">
        <v>2.8</v>
      </c>
      <c r="N234">
        <v>0.6236080178173719</v>
      </c>
      <c r="O234">
        <v>18</v>
      </c>
      <c r="P234">
        <v>0.02056514630321193</v>
      </c>
      <c r="Q234">
        <v>0.104004435702814</v>
      </c>
      <c r="R234" t="s">
        <v>784</v>
      </c>
      <c r="S234" t="s">
        <v>796</v>
      </c>
      <c r="T234">
        <v>25554.132973</v>
      </c>
      <c r="U234" s="2">
        <v>44509</v>
      </c>
      <c r="V234" t="s">
        <v>808</v>
      </c>
    </row>
    <row r="235" spans="1:22">
      <c r="A235" s="1" t="s">
        <v>255</v>
      </c>
      <c r="B235">
        <f>HYPERLINK("https://www.suredividend.com/sure-analysis-LNT/","Alliant Energy Corp.")</f>
        <v>0</v>
      </c>
      <c r="C235">
        <v>60.98</v>
      </c>
      <c r="D235">
        <v>53</v>
      </c>
      <c r="E235">
        <v>1.150566037735849</v>
      </c>
      <c r="F235">
        <v>0.02640209904886848</v>
      </c>
      <c r="G235">
        <v>-0.02766103471976711</v>
      </c>
      <c r="H235">
        <v>0.06</v>
      </c>
      <c r="I235">
        <v>0.05720183426411873</v>
      </c>
      <c r="J235" t="s">
        <v>781</v>
      </c>
      <c r="K235" t="s">
        <v>352</v>
      </c>
      <c r="L235">
        <v>2.63</v>
      </c>
      <c r="M235">
        <v>1.61</v>
      </c>
      <c r="N235">
        <v>0.6121673003802282</v>
      </c>
      <c r="O235">
        <v>18</v>
      </c>
      <c r="P235">
        <v>0.05955258842469102</v>
      </c>
      <c r="Q235">
        <v>0.189364341877854</v>
      </c>
      <c r="R235" t="s">
        <v>784</v>
      </c>
      <c r="S235" t="s">
        <v>796</v>
      </c>
      <c r="T235">
        <v>15138.097709</v>
      </c>
      <c r="U235" s="2">
        <v>44513</v>
      </c>
      <c r="V235" t="s">
        <v>801</v>
      </c>
    </row>
    <row r="236" spans="1:22">
      <c r="A236" s="1" t="s">
        <v>256</v>
      </c>
      <c r="B236">
        <f>HYPERLINK("https://www.suredividend.com/sure-analysis-SBUX/","Starbucks Corp.")</f>
        <v>0</v>
      </c>
      <c r="C236">
        <v>113.59</v>
      </c>
      <c r="D236">
        <v>92</v>
      </c>
      <c r="E236">
        <v>1.234673913043478</v>
      </c>
      <c r="F236">
        <v>0.01725504005634299</v>
      </c>
      <c r="G236">
        <v>-0.04128494880923594</v>
      </c>
      <c r="H236">
        <v>0.08</v>
      </c>
      <c r="I236">
        <v>0.05377390628183365</v>
      </c>
      <c r="J236" t="s">
        <v>781</v>
      </c>
      <c r="K236" t="s">
        <v>352</v>
      </c>
      <c r="L236">
        <v>4</v>
      </c>
      <c r="M236">
        <v>1.96</v>
      </c>
      <c r="N236">
        <v>0.49</v>
      </c>
      <c r="O236">
        <v>11</v>
      </c>
      <c r="P236">
        <v>0.0800087729241854</v>
      </c>
      <c r="Q236">
        <v>0.118984288555097</v>
      </c>
      <c r="R236" t="s">
        <v>784</v>
      </c>
      <c r="S236" t="s">
        <v>792</v>
      </c>
      <c r="T236">
        <v>134542.576</v>
      </c>
      <c r="U236" s="2">
        <v>44504</v>
      </c>
      <c r="V236" t="s">
        <v>803</v>
      </c>
    </row>
    <row r="237" spans="1:22">
      <c r="A237" s="1" t="s">
        <v>257</v>
      </c>
      <c r="B237">
        <f>HYPERLINK("https://www.suredividend.com/sure-analysis-ARTNA/","Artesian Resources Corp.")</f>
        <v>0</v>
      </c>
      <c r="C237">
        <v>43.03</v>
      </c>
      <c r="D237">
        <v>44.6</v>
      </c>
      <c r="E237">
        <v>0.9647982062780269</v>
      </c>
      <c r="F237">
        <v>0.02486637229839647</v>
      </c>
      <c r="G237">
        <v>0.007193008733913153</v>
      </c>
      <c r="H237">
        <v>0.023</v>
      </c>
      <c r="I237">
        <v>0.05353549788727996</v>
      </c>
      <c r="J237" t="s">
        <v>781</v>
      </c>
      <c r="K237" t="s">
        <v>781</v>
      </c>
      <c r="L237">
        <v>2.23</v>
      </c>
      <c r="M237">
        <v>1.07</v>
      </c>
      <c r="N237">
        <v>0.4798206278026906</v>
      </c>
      <c r="O237">
        <v>24</v>
      </c>
      <c r="P237">
        <v>0.03158554278749115</v>
      </c>
      <c r="Q237">
        <v>0.106803385331452</v>
      </c>
      <c r="R237" t="s">
        <v>784</v>
      </c>
      <c r="S237" t="s">
        <v>796</v>
      </c>
      <c r="T237">
        <v>360.430108</v>
      </c>
      <c r="U237" s="2">
        <v>44509</v>
      </c>
      <c r="V237" t="s">
        <v>808</v>
      </c>
    </row>
    <row r="238" spans="1:22">
      <c r="A238" s="1" t="s">
        <v>258</v>
      </c>
      <c r="B238">
        <f>HYPERLINK("https://www.suredividend.com/sure-analysis-UVV/","Universal Corp.")</f>
        <v>0</v>
      </c>
      <c r="C238">
        <v>52.31</v>
      </c>
      <c r="D238">
        <v>48</v>
      </c>
      <c r="E238">
        <v>1.089791666666667</v>
      </c>
      <c r="F238">
        <v>0.05964442745173007</v>
      </c>
      <c r="G238">
        <v>-0.0170502796162123</v>
      </c>
      <c r="H238">
        <v>0.015</v>
      </c>
      <c r="I238">
        <v>0.05320184337591161</v>
      </c>
      <c r="J238" t="s">
        <v>781</v>
      </c>
      <c r="K238" t="s">
        <v>780</v>
      </c>
      <c r="L238">
        <v>4.4</v>
      </c>
      <c r="M238">
        <v>3.12</v>
      </c>
      <c r="N238">
        <v>0.7090909090909091</v>
      </c>
      <c r="O238">
        <v>50</v>
      </c>
      <c r="P238">
        <v>0.01005227214699711</v>
      </c>
      <c r="Q238">
        <v>0.101031971197717</v>
      </c>
      <c r="R238" t="s">
        <v>784</v>
      </c>
      <c r="S238" t="s">
        <v>795</v>
      </c>
      <c r="T238">
        <v>1306.406017</v>
      </c>
      <c r="U238" s="2">
        <v>44533</v>
      </c>
      <c r="V238" t="s">
        <v>802</v>
      </c>
    </row>
    <row r="239" spans="1:22">
      <c r="A239" s="1" t="s">
        <v>259</v>
      </c>
      <c r="B239">
        <f>HYPERLINK("https://www.suredividend.com/sure-analysis-UPS/","United Parcel Service, Inc.")</f>
        <v>0</v>
      </c>
      <c r="C239">
        <v>207.97</v>
      </c>
      <c r="D239">
        <v>191</v>
      </c>
      <c r="E239">
        <v>1.088848167539267</v>
      </c>
      <c r="F239">
        <v>0.01961821416550464</v>
      </c>
      <c r="G239">
        <v>-0.01687999124123118</v>
      </c>
      <c r="H239">
        <v>0.05</v>
      </c>
      <c r="I239">
        <v>0.05231828215882661</v>
      </c>
      <c r="J239" t="s">
        <v>781</v>
      </c>
      <c r="K239" t="s">
        <v>352</v>
      </c>
      <c r="L239">
        <v>11.25</v>
      </c>
      <c r="M239">
        <v>4.08</v>
      </c>
      <c r="N239">
        <v>0.3626666666666667</v>
      </c>
      <c r="O239">
        <v>12</v>
      </c>
      <c r="P239">
        <v>0.06308972429112014</v>
      </c>
      <c r="Q239">
        <v>0.257388540208385</v>
      </c>
      <c r="R239" t="s">
        <v>784</v>
      </c>
      <c r="S239" t="s">
        <v>791</v>
      </c>
      <c r="T239">
        <v>177867.588</v>
      </c>
      <c r="U239" s="2">
        <v>44495</v>
      </c>
      <c r="V239" t="s">
        <v>803</v>
      </c>
    </row>
    <row r="240" spans="1:22">
      <c r="A240" s="1" t="s">
        <v>260</v>
      </c>
      <c r="B240">
        <f>HYPERLINK("https://www.suredividend.com/sure-analysis-K/","Kellogg Co")</f>
        <v>0</v>
      </c>
      <c r="C240">
        <v>65.78</v>
      </c>
      <c r="D240">
        <v>62</v>
      </c>
      <c r="E240">
        <v>1.060967741935484</v>
      </c>
      <c r="F240">
        <v>0.03526907874733962</v>
      </c>
      <c r="G240">
        <v>-0.01176651780630988</v>
      </c>
      <c r="H240">
        <v>0.03</v>
      </c>
      <c r="I240">
        <v>0.0515196818845558</v>
      </c>
      <c r="J240" t="s">
        <v>781</v>
      </c>
      <c r="K240" t="s">
        <v>781</v>
      </c>
      <c r="L240">
        <v>4.15</v>
      </c>
      <c r="M240">
        <v>2.32</v>
      </c>
      <c r="N240">
        <v>0.5590361445783132</v>
      </c>
      <c r="O240">
        <v>17</v>
      </c>
      <c r="P240">
        <v>0.03003707999335203</v>
      </c>
      <c r="Q240">
        <v>0.076163570083669</v>
      </c>
      <c r="R240" t="s">
        <v>784</v>
      </c>
      <c r="S240" t="s">
        <v>795</v>
      </c>
      <c r="T240">
        <v>21661.297991</v>
      </c>
      <c r="U240" s="2">
        <v>44526</v>
      </c>
      <c r="V240" t="s">
        <v>804</v>
      </c>
    </row>
    <row r="241" spans="1:22">
      <c r="A241" s="1" t="s">
        <v>261</v>
      </c>
      <c r="B241">
        <f>HYPERLINK("https://www.suredividend.com/sure-analysis-CVX/","Chevron Corp.")</f>
        <v>0</v>
      </c>
      <c r="C241">
        <v>116.64</v>
      </c>
      <c r="D241">
        <v>122</v>
      </c>
      <c r="E241">
        <v>0.9560655737704918</v>
      </c>
      <c r="F241">
        <v>0.04595336076817558</v>
      </c>
      <c r="G241">
        <v>0.00902624838982824</v>
      </c>
      <c r="H241">
        <v>0</v>
      </c>
      <c r="I241">
        <v>0.05091577881561316</v>
      </c>
      <c r="J241" t="s">
        <v>781</v>
      </c>
      <c r="K241" t="s">
        <v>780</v>
      </c>
      <c r="L241">
        <v>8.699999999999999</v>
      </c>
      <c r="M241">
        <v>5.36</v>
      </c>
      <c r="N241">
        <v>0.6160919540229886</v>
      </c>
      <c r="O241">
        <v>34</v>
      </c>
      <c r="P241">
        <v>0.008799010229586735</v>
      </c>
      <c r="Q241">
        <v>0.3418579321267911</v>
      </c>
      <c r="R241" t="s">
        <v>784</v>
      </c>
      <c r="S241" t="s">
        <v>797</v>
      </c>
      <c r="T241">
        <v>222763.3848</v>
      </c>
      <c r="U241" s="2">
        <v>44501</v>
      </c>
      <c r="V241" t="s">
        <v>807</v>
      </c>
    </row>
    <row r="242" spans="1:22">
      <c r="A242" s="1" t="s">
        <v>262</v>
      </c>
      <c r="B242">
        <f>HYPERLINK("https://www.suredividend.com/sure-analysis-ICE/","Intercontinental Exchange Inc")</f>
        <v>0</v>
      </c>
      <c r="C242">
        <v>135.99</v>
      </c>
      <c r="D242">
        <v>107</v>
      </c>
      <c r="E242">
        <v>1.270934579439252</v>
      </c>
      <c r="F242">
        <v>0.009706596073240679</v>
      </c>
      <c r="G242">
        <v>-0.04681903528469911</v>
      </c>
      <c r="H242">
        <v>0.09</v>
      </c>
      <c r="I242">
        <v>0.05057161011518008</v>
      </c>
      <c r="J242" t="s">
        <v>781</v>
      </c>
      <c r="K242" t="s">
        <v>529</v>
      </c>
      <c r="L242">
        <v>5.1</v>
      </c>
      <c r="M242">
        <v>1.32</v>
      </c>
      <c r="N242">
        <v>0.2588235294117647</v>
      </c>
      <c r="O242">
        <v>9</v>
      </c>
      <c r="P242">
        <v>0.1203569122523565</v>
      </c>
      <c r="Q242">
        <v>0.227947908553</v>
      </c>
      <c r="R242" t="s">
        <v>784</v>
      </c>
      <c r="S242" t="s">
        <v>793</v>
      </c>
      <c r="T242">
        <v>75941.270449</v>
      </c>
      <c r="U242" s="2">
        <v>44522</v>
      </c>
      <c r="V242" t="s">
        <v>805</v>
      </c>
    </row>
    <row r="243" spans="1:22">
      <c r="A243" s="1" t="s">
        <v>263</v>
      </c>
      <c r="B243">
        <f>HYPERLINK("https://www.suredividend.com/sure-analysis-DPZ/","Dominos Pizza Inc")</f>
        <v>0</v>
      </c>
      <c r="C243">
        <v>532.2</v>
      </c>
      <c r="D243">
        <v>370</v>
      </c>
      <c r="E243">
        <v>1.438378378378379</v>
      </c>
      <c r="F243">
        <v>0.007065013152950017</v>
      </c>
      <c r="G243">
        <v>-0.07012328913111421</v>
      </c>
      <c r="H243">
        <v>0.12</v>
      </c>
      <c r="I243">
        <v>0.05056358478215861</v>
      </c>
      <c r="J243" t="s">
        <v>781</v>
      </c>
      <c r="K243" t="s">
        <v>529</v>
      </c>
      <c r="L243">
        <v>13.9</v>
      </c>
      <c r="M243">
        <v>3.76</v>
      </c>
      <c r="N243">
        <v>0.2705035971223022</v>
      </c>
      <c r="O243">
        <v>8</v>
      </c>
      <c r="P243">
        <v>0.1480866941841668</v>
      </c>
      <c r="Q243">
        <v>0.373308298958249</v>
      </c>
      <c r="R243" t="s">
        <v>784</v>
      </c>
      <c r="S243" t="s">
        <v>792</v>
      </c>
      <c r="T243">
        <v>19063.760206</v>
      </c>
      <c r="U243" s="2">
        <v>44486</v>
      </c>
      <c r="V243" t="s">
        <v>807</v>
      </c>
    </row>
    <row r="244" spans="1:22">
      <c r="A244" s="1" t="s">
        <v>264</v>
      </c>
      <c r="B244">
        <f>HYPERLINK("https://www.suredividend.com/sure-analysis-WEYS/","Weyco Group, Inc")</f>
        <v>0</v>
      </c>
      <c r="C244">
        <v>23.3</v>
      </c>
      <c r="D244">
        <v>23</v>
      </c>
      <c r="E244">
        <v>1.013043478260869</v>
      </c>
      <c r="F244">
        <v>0.04291845493562232</v>
      </c>
      <c r="G244">
        <v>-0.002588473039826233</v>
      </c>
      <c r="H244">
        <v>0.01</v>
      </c>
      <c r="I244">
        <v>0.05055295026272244</v>
      </c>
      <c r="J244" t="s">
        <v>781</v>
      </c>
      <c r="K244" t="s">
        <v>780</v>
      </c>
      <c r="L244">
        <v>1.5</v>
      </c>
      <c r="M244">
        <v>1</v>
      </c>
      <c r="N244">
        <v>0.6666666666666666</v>
      </c>
      <c r="O244">
        <v>39</v>
      </c>
      <c r="P244">
        <v>0.04057159395880827</v>
      </c>
      <c r="Q244">
        <v>0.401203766856924</v>
      </c>
      <c r="R244" t="s">
        <v>784</v>
      </c>
      <c r="S244" t="s">
        <v>792</v>
      </c>
      <c r="T244">
        <v>228.35411</v>
      </c>
      <c r="U244" s="2">
        <v>44509</v>
      </c>
      <c r="V244" t="s">
        <v>805</v>
      </c>
    </row>
    <row r="245" spans="1:22">
      <c r="A245" s="1" t="s">
        <v>265</v>
      </c>
      <c r="B245">
        <f>HYPERLINK("https://www.suredividend.com/sure-analysis-CSCO/","Cisco Systems, Inc.")</f>
        <v>0</v>
      </c>
      <c r="C245">
        <v>60.31</v>
      </c>
      <c r="D245">
        <v>51</v>
      </c>
      <c r="E245">
        <v>1.182549019607843</v>
      </c>
      <c r="F245">
        <v>0.02453987730061349</v>
      </c>
      <c r="G245">
        <v>-0.03297841188907658</v>
      </c>
      <c r="H245">
        <v>0.06</v>
      </c>
      <c r="I245">
        <v>0.05032401860052826</v>
      </c>
      <c r="J245" t="s">
        <v>781</v>
      </c>
      <c r="K245" t="s">
        <v>781</v>
      </c>
      <c r="L245">
        <v>3.42</v>
      </c>
      <c r="M245">
        <v>1.48</v>
      </c>
      <c r="N245">
        <v>0.4327485380116959</v>
      </c>
      <c r="O245">
        <v>11</v>
      </c>
      <c r="P245">
        <v>0.05993856763806171</v>
      </c>
      <c r="Q245">
        <v>0.379413524835428</v>
      </c>
      <c r="R245" t="s">
        <v>784</v>
      </c>
      <c r="S245" t="s">
        <v>790</v>
      </c>
      <c r="T245">
        <v>252761.160841</v>
      </c>
      <c r="U245" s="2">
        <v>44518</v>
      </c>
      <c r="V245" t="s">
        <v>800</v>
      </c>
    </row>
    <row r="246" spans="1:22">
      <c r="A246" s="1" t="s">
        <v>266</v>
      </c>
      <c r="B246">
        <f>HYPERLINK("https://www.suredividend.com/sure-analysis-RTX/","Raytheon Technologies Corporation")</f>
        <v>0</v>
      </c>
      <c r="C246">
        <v>82.7</v>
      </c>
      <c r="D246">
        <v>66</v>
      </c>
      <c r="E246">
        <v>1.253030303030303</v>
      </c>
      <c r="F246">
        <v>0.02466747279322854</v>
      </c>
      <c r="G246">
        <v>-0.04411051301472158</v>
      </c>
      <c r="H246">
        <v>0.07000000000000001</v>
      </c>
      <c r="I246">
        <v>0.04914172553554308</v>
      </c>
      <c r="J246" t="s">
        <v>781</v>
      </c>
      <c r="K246" t="s">
        <v>781</v>
      </c>
      <c r="L246">
        <v>4.15</v>
      </c>
      <c r="M246">
        <v>2.04</v>
      </c>
      <c r="N246">
        <v>0.4915662650602409</v>
      </c>
      <c r="O246">
        <v>27</v>
      </c>
      <c r="P246">
        <v>0.06990981876632385</v>
      </c>
      <c r="Q246">
        <v>0.202899762678531</v>
      </c>
      <c r="R246" t="s">
        <v>784</v>
      </c>
      <c r="S246" t="s">
        <v>791</v>
      </c>
      <c r="T246">
        <v>124876.167015</v>
      </c>
      <c r="U246" s="2">
        <v>44497</v>
      </c>
      <c r="V246" t="s">
        <v>803</v>
      </c>
    </row>
    <row r="247" spans="1:22">
      <c r="A247" s="1" t="s">
        <v>267</v>
      </c>
      <c r="B247">
        <f>HYPERLINK("https://www.suredividend.com/sure-analysis-SIEGY/","Siemens AG")</f>
        <v>0</v>
      </c>
      <c r="C247">
        <v>84.75</v>
      </c>
      <c r="D247">
        <v>74</v>
      </c>
      <c r="E247">
        <v>1.14527027027027</v>
      </c>
      <c r="F247">
        <v>0.02489675516224189</v>
      </c>
      <c r="G247">
        <v>-0.02676346785681882</v>
      </c>
      <c r="H247">
        <v>0.05</v>
      </c>
      <c r="I247">
        <v>0.04781201372692734</v>
      </c>
      <c r="J247" t="s">
        <v>781</v>
      </c>
      <c r="K247" t="s">
        <v>352</v>
      </c>
      <c r="L247">
        <v>4.6</v>
      </c>
      <c r="M247">
        <v>2.11</v>
      </c>
      <c r="N247">
        <v>0.4586956521739131</v>
      </c>
      <c r="O247">
        <v>0</v>
      </c>
      <c r="P247">
        <v>0.0597253677135221</v>
      </c>
      <c r="Q247">
        <v>0.213886900501073</v>
      </c>
      <c r="R247" t="s">
        <v>784</v>
      </c>
      <c r="S247" t="s">
        <v>791</v>
      </c>
      <c r="T247">
        <v>144143</v>
      </c>
      <c r="U247" s="2">
        <v>44513</v>
      </c>
      <c r="V247" t="s">
        <v>802</v>
      </c>
    </row>
    <row r="248" spans="1:22">
      <c r="A248" s="1" t="s">
        <v>268</v>
      </c>
      <c r="B248">
        <f>HYPERLINK("https://www.suredividend.com/sure-analysis-WABC/","Westamerica Bancorporation")</f>
        <v>0</v>
      </c>
      <c r="C248">
        <v>57.31</v>
      </c>
      <c r="D248">
        <v>57</v>
      </c>
      <c r="E248">
        <v>1.005438596491228</v>
      </c>
      <c r="F248">
        <v>0.02931425580177979</v>
      </c>
      <c r="G248">
        <v>-0.001084183993204757</v>
      </c>
      <c r="H248">
        <v>0.02</v>
      </c>
      <c r="I248">
        <v>0.04621853492974037</v>
      </c>
      <c r="J248" t="s">
        <v>781</v>
      </c>
      <c r="K248" t="s">
        <v>781</v>
      </c>
      <c r="L248">
        <v>3.15</v>
      </c>
      <c r="M248">
        <v>1.68</v>
      </c>
      <c r="N248">
        <v>0.5333333333333333</v>
      </c>
      <c r="O248">
        <v>29</v>
      </c>
      <c r="P248">
        <v>0.01946539682289394</v>
      </c>
      <c r="Q248">
        <v>0.061719730760786</v>
      </c>
      <c r="R248" t="s">
        <v>784</v>
      </c>
      <c r="S248" t="s">
        <v>793</v>
      </c>
      <c r="T248">
        <v>1520.084391</v>
      </c>
      <c r="U248" s="2">
        <v>44490</v>
      </c>
      <c r="V248" t="s">
        <v>800</v>
      </c>
    </row>
    <row r="249" spans="1:22">
      <c r="A249" s="1" t="s">
        <v>269</v>
      </c>
      <c r="B249">
        <f>HYPERLINK("https://www.suredividend.com/sure-analysis-DTE/","DTE Energy Co.")</f>
        <v>0</v>
      </c>
      <c r="C249">
        <v>120.33</v>
      </c>
      <c r="D249">
        <v>102</v>
      </c>
      <c r="E249">
        <v>1.179705882352941</v>
      </c>
      <c r="F249">
        <v>0.02941909748192471</v>
      </c>
      <c r="G249">
        <v>-0.03251274861992948</v>
      </c>
      <c r="H249">
        <v>0.05</v>
      </c>
      <c r="I249">
        <v>0.04607370716800707</v>
      </c>
      <c r="J249" t="s">
        <v>781</v>
      </c>
      <c r="K249" t="s">
        <v>781</v>
      </c>
      <c r="L249">
        <v>6</v>
      </c>
      <c r="M249">
        <v>3.54</v>
      </c>
      <c r="N249">
        <v>0.59</v>
      </c>
      <c r="O249">
        <v>12</v>
      </c>
      <c r="P249">
        <v>0.05009123759249423</v>
      </c>
      <c r="Q249">
        <v>0.164673769618569</v>
      </c>
      <c r="R249" t="s">
        <v>784</v>
      </c>
      <c r="S249" t="s">
        <v>796</v>
      </c>
      <c r="T249">
        <v>23169.782449</v>
      </c>
      <c r="U249" s="2">
        <v>44498</v>
      </c>
      <c r="V249" t="s">
        <v>807</v>
      </c>
    </row>
    <row r="250" spans="1:22">
      <c r="A250" s="1" t="s">
        <v>270</v>
      </c>
      <c r="B250">
        <f>HYPERLINK("https://www.suredividend.com/sure-analysis-SPTN/","SpartanNash Co")</f>
        <v>0</v>
      </c>
      <c r="C250">
        <v>25.05</v>
      </c>
      <c r="D250">
        <v>21</v>
      </c>
      <c r="E250">
        <v>1.192857142857143</v>
      </c>
      <c r="F250">
        <v>0.03193612774451098</v>
      </c>
      <c r="G250">
        <v>-0.03465553034029767</v>
      </c>
      <c r="H250">
        <v>0.05</v>
      </c>
      <c r="I250">
        <v>0.0455481628423906</v>
      </c>
      <c r="J250" t="s">
        <v>781</v>
      </c>
      <c r="K250" t="s">
        <v>781</v>
      </c>
      <c r="L250">
        <v>1.78</v>
      </c>
      <c r="M250">
        <v>0.8</v>
      </c>
      <c r="N250">
        <v>0.4494382022471911</v>
      </c>
      <c r="O250">
        <v>10</v>
      </c>
      <c r="P250">
        <v>0.03928904495613805</v>
      </c>
      <c r="Q250">
        <v>0.475612543292643</v>
      </c>
      <c r="R250" t="s">
        <v>784</v>
      </c>
      <c r="S250" t="s">
        <v>795</v>
      </c>
      <c r="T250">
        <v>905.078934</v>
      </c>
      <c r="U250" s="2">
        <v>44513</v>
      </c>
      <c r="V250" t="s">
        <v>806</v>
      </c>
    </row>
    <row r="251" spans="1:22">
      <c r="A251" s="1" t="s">
        <v>271</v>
      </c>
      <c r="B251">
        <f>HYPERLINK("https://www.suredividend.com/sure-analysis-DE/","Deere &amp; Co.")</f>
        <v>0</v>
      </c>
      <c r="C251">
        <v>348.29</v>
      </c>
      <c r="D251">
        <v>370</v>
      </c>
      <c r="E251">
        <v>0.9413243243243243</v>
      </c>
      <c r="F251">
        <v>0.01205891642022452</v>
      </c>
      <c r="G251">
        <v>0.01216693005736436</v>
      </c>
      <c r="H251">
        <v>0.02</v>
      </c>
      <c r="I251">
        <v>0.04515358144512915</v>
      </c>
      <c r="J251" t="s">
        <v>781</v>
      </c>
      <c r="K251" t="s">
        <v>352</v>
      </c>
      <c r="L251">
        <v>21.75</v>
      </c>
      <c r="M251">
        <v>4.2</v>
      </c>
      <c r="N251">
        <v>0.1931034482758621</v>
      </c>
      <c r="O251">
        <v>1</v>
      </c>
      <c r="P251">
        <v>0.06997394153840619</v>
      </c>
      <c r="Q251">
        <v>0.327137913683944</v>
      </c>
      <c r="R251" t="s">
        <v>784</v>
      </c>
      <c r="S251" t="s">
        <v>791</v>
      </c>
      <c r="T251">
        <v>106642.544743</v>
      </c>
      <c r="U251" s="2">
        <v>44525</v>
      </c>
      <c r="V251" t="s">
        <v>803</v>
      </c>
    </row>
    <row r="252" spans="1:22">
      <c r="A252" s="1" t="s">
        <v>272</v>
      </c>
      <c r="B252">
        <f>HYPERLINK("https://www.suredividend.com/sure-analysis-KMB/","Kimberly-Clark Corp.")</f>
        <v>0</v>
      </c>
      <c r="C252">
        <v>141.82</v>
      </c>
      <c r="D252">
        <v>112</v>
      </c>
      <c r="E252">
        <v>1.26625</v>
      </c>
      <c r="F252">
        <v>0.03215343393033423</v>
      </c>
      <c r="G252">
        <v>-0.04611480487592023</v>
      </c>
      <c r="H252">
        <v>0.06</v>
      </c>
      <c r="I252">
        <v>0.04355678107730077</v>
      </c>
      <c r="J252" t="s">
        <v>781</v>
      </c>
      <c r="K252" t="s">
        <v>781</v>
      </c>
      <c r="L252">
        <v>6.2</v>
      </c>
      <c r="M252">
        <v>4.56</v>
      </c>
      <c r="N252">
        <v>0.7354838709677418</v>
      </c>
      <c r="O252">
        <v>49</v>
      </c>
      <c r="P252">
        <v>0.03932663634209943</v>
      </c>
      <c r="Q252">
        <v>0.053456640318824</v>
      </c>
      <c r="R252" t="s">
        <v>784</v>
      </c>
      <c r="S252" t="s">
        <v>795</v>
      </c>
      <c r="T252">
        <v>46567.922653</v>
      </c>
      <c r="U252" s="2">
        <v>44499</v>
      </c>
      <c r="V252" t="s">
        <v>804</v>
      </c>
    </row>
    <row r="253" spans="1:22">
      <c r="A253" s="1" t="s">
        <v>273</v>
      </c>
      <c r="B253">
        <f>HYPERLINK("https://www.suredividend.com/sure-analysis-AMX/","America Movil S.A.B.DE C.V.")</f>
        <v>0</v>
      </c>
      <c r="C253">
        <v>19.6</v>
      </c>
      <c r="D253">
        <v>18</v>
      </c>
      <c r="E253">
        <v>1.088888888888889</v>
      </c>
      <c r="F253">
        <v>0.02040816326530612</v>
      </c>
      <c r="G253">
        <v>-0.01688734453005281</v>
      </c>
      <c r="H253">
        <v>0.04</v>
      </c>
      <c r="I253">
        <v>0.04298714256805014</v>
      </c>
      <c r="J253" t="s">
        <v>781</v>
      </c>
      <c r="K253" t="s">
        <v>352</v>
      </c>
      <c r="L253">
        <v>1.35</v>
      </c>
      <c r="M253">
        <v>0.4</v>
      </c>
      <c r="N253">
        <v>0.2962962962962963</v>
      </c>
      <c r="O253">
        <v>0</v>
      </c>
      <c r="P253">
        <v>0.04563955259127317</v>
      </c>
      <c r="Q253">
        <v>0.3883024781914851</v>
      </c>
      <c r="R253" t="s">
        <v>784</v>
      </c>
      <c r="S253" t="s">
        <v>788</v>
      </c>
      <c r="T253">
        <v>43010.670729</v>
      </c>
      <c r="U253" s="2">
        <v>44494</v>
      </c>
      <c r="V253" t="s">
        <v>807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36.97</v>
      </c>
      <c r="D254">
        <v>31</v>
      </c>
      <c r="E254">
        <v>1.19258064516129</v>
      </c>
      <c r="F254">
        <v>0.02596700027048959</v>
      </c>
      <c r="G254">
        <v>-0.03461077181222072</v>
      </c>
      <c r="H254">
        <v>0.05</v>
      </c>
      <c r="I254">
        <v>0.04077726076169252</v>
      </c>
      <c r="J254" t="s">
        <v>781</v>
      </c>
      <c r="K254" t="s">
        <v>781</v>
      </c>
      <c r="L254">
        <v>2.05</v>
      </c>
      <c r="M254">
        <v>0.96</v>
      </c>
      <c r="N254">
        <v>0.4682926829268293</v>
      </c>
      <c r="O254">
        <v>19</v>
      </c>
      <c r="P254">
        <v>0.05081623913789235</v>
      </c>
      <c r="Q254">
        <v>-0.230424071048197</v>
      </c>
      <c r="R254" t="s">
        <v>784</v>
      </c>
      <c r="S254" t="s">
        <v>789</v>
      </c>
      <c r="T254">
        <v>4864.018313</v>
      </c>
      <c r="U254" s="2">
        <v>44510</v>
      </c>
      <c r="V254" t="s">
        <v>800</v>
      </c>
    </row>
    <row r="255" spans="1:22">
      <c r="A255" s="1" t="s">
        <v>275</v>
      </c>
      <c r="B255">
        <f>HYPERLINK("https://www.suredividend.com/sure-analysis-CONE/","CyrusOne Inc")</f>
        <v>0</v>
      </c>
      <c r="C255">
        <v>89.58</v>
      </c>
      <c r="D255">
        <v>73</v>
      </c>
      <c r="E255">
        <v>1.227123287671233</v>
      </c>
      <c r="F255">
        <v>0.02321946863139094</v>
      </c>
      <c r="G255">
        <v>-0.04010802599128116</v>
      </c>
      <c r="H255">
        <v>0.06</v>
      </c>
      <c r="I255">
        <v>0.04046888006211002</v>
      </c>
      <c r="J255" t="s">
        <v>781</v>
      </c>
      <c r="K255" t="s">
        <v>352</v>
      </c>
      <c r="L255">
        <v>4.06</v>
      </c>
      <c r="M255">
        <v>2.08</v>
      </c>
      <c r="N255">
        <v>0.5123152709359606</v>
      </c>
      <c r="O255">
        <v>8</v>
      </c>
      <c r="P255">
        <v>0.03496752704080697</v>
      </c>
      <c r="Q255">
        <v>0.353937429482425</v>
      </c>
      <c r="R255" t="s">
        <v>786</v>
      </c>
      <c r="S255" t="s">
        <v>798</v>
      </c>
      <c r="T255">
        <v>11376.415972</v>
      </c>
      <c r="U255" s="2">
        <v>44500</v>
      </c>
      <c r="V255" t="s">
        <v>799</v>
      </c>
    </row>
    <row r="256" spans="1:22">
      <c r="A256" s="1" t="s">
        <v>276</v>
      </c>
      <c r="B256">
        <f>HYPERLINK("https://www.suredividend.com/sure-analysis-CVS/","CVS Health Corp")</f>
        <v>0</v>
      </c>
      <c r="C256">
        <v>101.22</v>
      </c>
      <c r="D256">
        <v>87</v>
      </c>
      <c r="E256">
        <v>1.163448275862069</v>
      </c>
      <c r="F256">
        <v>0.02173483501284331</v>
      </c>
      <c r="G256">
        <v>-0.02982387269513231</v>
      </c>
      <c r="H256">
        <v>0.05</v>
      </c>
      <c r="I256">
        <v>0.03985847023047828</v>
      </c>
      <c r="J256" t="s">
        <v>781</v>
      </c>
      <c r="K256" t="s">
        <v>352</v>
      </c>
      <c r="L256">
        <v>7.95</v>
      </c>
      <c r="M256">
        <v>2.2</v>
      </c>
      <c r="N256">
        <v>0.2767295597484277</v>
      </c>
      <c r="O256">
        <v>1</v>
      </c>
      <c r="P256">
        <v>0.02996744995959233</v>
      </c>
      <c r="Q256">
        <v>0.475166442200763</v>
      </c>
      <c r="R256" t="s">
        <v>784</v>
      </c>
      <c r="S256" t="s">
        <v>789</v>
      </c>
      <c r="T256">
        <v>132731.897961</v>
      </c>
      <c r="U256" s="2">
        <v>44503</v>
      </c>
      <c r="V256" t="s">
        <v>800</v>
      </c>
    </row>
    <row r="257" spans="1:22">
      <c r="A257" s="1" t="s">
        <v>277</v>
      </c>
      <c r="B257">
        <f>HYPERLINK("https://www.suredividend.com/sure-analysis-NEP/","NextEra Energy Partners LP")</f>
        <v>0</v>
      </c>
      <c r="C257">
        <v>86.84</v>
      </c>
      <c r="D257">
        <v>72.8</v>
      </c>
      <c r="E257">
        <v>1.192857142857143</v>
      </c>
      <c r="F257">
        <v>0.03155228005527407</v>
      </c>
      <c r="G257">
        <v>-0.03465553034029767</v>
      </c>
      <c r="H257">
        <v>0.039</v>
      </c>
      <c r="I257">
        <v>0.03957238966864085</v>
      </c>
      <c r="J257" t="s">
        <v>781</v>
      </c>
      <c r="K257" t="s">
        <v>781</v>
      </c>
      <c r="L257">
        <v>6.62</v>
      </c>
      <c r="M257">
        <v>2.74</v>
      </c>
      <c r="N257">
        <v>0.4138972809667674</v>
      </c>
      <c r="O257">
        <v>7</v>
      </c>
      <c r="P257">
        <v>0.07860365022909654</v>
      </c>
      <c r="Q257">
        <v>0.387790574143034</v>
      </c>
      <c r="R257" t="s">
        <v>785</v>
      </c>
      <c r="S257" t="s">
        <v>796</v>
      </c>
      <c r="T257">
        <v>6655.927539</v>
      </c>
      <c r="U257" s="2">
        <v>44494</v>
      </c>
      <c r="V257" t="s">
        <v>808</v>
      </c>
    </row>
    <row r="258" spans="1:22">
      <c r="A258" s="1" t="s">
        <v>278</v>
      </c>
      <c r="B258">
        <f>HYPERLINK("https://www.suredividend.com/sure-analysis-RSG/","Republic Services, Inc.")</f>
        <v>0</v>
      </c>
      <c r="C258">
        <v>139.09</v>
      </c>
      <c r="D258">
        <v>107</v>
      </c>
      <c r="E258">
        <v>1.299906542056075</v>
      </c>
      <c r="F258">
        <v>0.01322884463297146</v>
      </c>
      <c r="G258">
        <v>-0.05110627622114405</v>
      </c>
      <c r="H258">
        <v>0.08</v>
      </c>
      <c r="I258">
        <v>0.03895122175084897</v>
      </c>
      <c r="J258" t="s">
        <v>781</v>
      </c>
      <c r="K258" t="s">
        <v>529</v>
      </c>
      <c r="L258">
        <v>4.12</v>
      </c>
      <c r="M258">
        <v>1.84</v>
      </c>
      <c r="N258">
        <v>0.4466019417475728</v>
      </c>
      <c r="O258">
        <v>17</v>
      </c>
      <c r="P258">
        <v>0.0649189212487713</v>
      </c>
      <c r="Q258">
        <v>0.4491574493983591</v>
      </c>
      <c r="R258" t="s">
        <v>784</v>
      </c>
      <c r="S258" t="s">
        <v>791</v>
      </c>
      <c r="T258">
        <v>43489.551134</v>
      </c>
      <c r="U258" s="2">
        <v>44502</v>
      </c>
      <c r="V258" t="s">
        <v>799</v>
      </c>
    </row>
    <row r="259" spans="1:22">
      <c r="A259" s="1" t="s">
        <v>279</v>
      </c>
      <c r="B259">
        <f>HYPERLINK("https://www.suredividend.com/sure-analysis-OTTR/","Otter Tail Corporation")</f>
        <v>0</v>
      </c>
      <c r="C259">
        <v>68.2</v>
      </c>
      <c r="D259">
        <v>72</v>
      </c>
      <c r="E259">
        <v>0.9472222222222223</v>
      </c>
      <c r="F259">
        <v>0.02287390029325513</v>
      </c>
      <c r="G259">
        <v>0.0109033234963607</v>
      </c>
      <c r="H259">
        <v>0.005</v>
      </c>
      <c r="I259">
        <v>0.03850755424401076</v>
      </c>
      <c r="J259" t="s">
        <v>781</v>
      </c>
      <c r="K259" t="s">
        <v>352</v>
      </c>
      <c r="L259">
        <v>3.61</v>
      </c>
      <c r="M259">
        <v>1.56</v>
      </c>
      <c r="N259">
        <v>0.4321329639889197</v>
      </c>
      <c r="O259">
        <v>8</v>
      </c>
      <c r="P259">
        <v>0.03131030647754507</v>
      </c>
      <c r="Q259">
        <v>0.636990437964266</v>
      </c>
      <c r="R259" t="s">
        <v>784</v>
      </c>
      <c r="S259" t="s">
        <v>796</v>
      </c>
      <c r="T259">
        <v>2893.675285</v>
      </c>
      <c r="U259" s="2">
        <v>44506</v>
      </c>
      <c r="V259" t="s">
        <v>808</v>
      </c>
    </row>
    <row r="260" spans="1:22">
      <c r="A260" s="1" t="s">
        <v>280</v>
      </c>
      <c r="B260">
        <f>HYPERLINK("https://www.suredividend.com/sure-analysis-MTB/","M &amp; T Bank Corp")</f>
        <v>0</v>
      </c>
      <c r="C260">
        <v>153.18</v>
      </c>
      <c r="D260">
        <v>120</v>
      </c>
      <c r="E260">
        <v>1.2765</v>
      </c>
      <c r="F260">
        <v>0.03133568350959655</v>
      </c>
      <c r="G260">
        <v>-0.04765164455685578</v>
      </c>
      <c r="H260">
        <v>0.057</v>
      </c>
      <c r="I260">
        <v>0.0381407237365321</v>
      </c>
      <c r="J260" t="s">
        <v>781</v>
      </c>
      <c r="K260" t="s">
        <v>781</v>
      </c>
      <c r="L260">
        <v>12.02</v>
      </c>
      <c r="M260">
        <v>4.8</v>
      </c>
      <c r="N260">
        <v>0.3993344425956739</v>
      </c>
      <c r="O260">
        <v>5</v>
      </c>
      <c r="P260">
        <v>0.03167836877916708</v>
      </c>
      <c r="Q260">
        <v>0.225016957644115</v>
      </c>
      <c r="R260" t="s">
        <v>784</v>
      </c>
      <c r="S260" t="s">
        <v>793</v>
      </c>
      <c r="T260">
        <v>19382.469482</v>
      </c>
      <c r="U260" s="2">
        <v>44490</v>
      </c>
      <c r="V260" t="s">
        <v>800</v>
      </c>
    </row>
    <row r="261" spans="1:22">
      <c r="A261" s="1" t="s">
        <v>281</v>
      </c>
      <c r="B261">
        <f>HYPERLINK("https://www.suredividend.com/sure-analysis-CTSH/","Cognizant Technology Solutions Corp.")</f>
        <v>0</v>
      </c>
      <c r="C261">
        <v>84.68000000000001</v>
      </c>
      <c r="D261">
        <v>65</v>
      </c>
      <c r="E261">
        <v>1.302769230769231</v>
      </c>
      <c r="F261">
        <v>0.01133679735474728</v>
      </c>
      <c r="G261">
        <v>-0.0515236606701629</v>
      </c>
      <c r="H261">
        <v>0.08</v>
      </c>
      <c r="I261">
        <v>0.03679967086735036</v>
      </c>
      <c r="J261" t="s">
        <v>781</v>
      </c>
      <c r="K261" t="s">
        <v>529</v>
      </c>
      <c r="L261">
        <v>4.05</v>
      </c>
      <c r="M261">
        <v>0.96</v>
      </c>
      <c r="N261">
        <v>0.237037037037037</v>
      </c>
      <c r="O261">
        <v>2</v>
      </c>
      <c r="P261">
        <v>0.07214502590085092</v>
      </c>
      <c r="Q261">
        <v>0.042533872919019</v>
      </c>
      <c r="R261" t="s">
        <v>784</v>
      </c>
      <c r="S261" t="s">
        <v>790</v>
      </c>
      <c r="T261">
        <v>43543.368749</v>
      </c>
      <c r="U261" s="2">
        <v>44504</v>
      </c>
      <c r="V261" t="s">
        <v>807</v>
      </c>
    </row>
    <row r="262" spans="1:22">
      <c r="A262" s="1" t="s">
        <v>282</v>
      </c>
      <c r="B262">
        <f>HYPERLINK("https://www.suredividend.com/sure-analysis-AAP/","Advance Auto Parts Inc")</f>
        <v>0</v>
      </c>
      <c r="C262">
        <v>239.16</v>
      </c>
      <c r="D262">
        <v>204</v>
      </c>
      <c r="E262">
        <v>1.172352941176471</v>
      </c>
      <c r="F262">
        <v>0.01672520488375983</v>
      </c>
      <c r="G262">
        <v>-0.03130217519781142</v>
      </c>
      <c r="H262">
        <v>0.05</v>
      </c>
      <c r="I262">
        <v>0.03541384324638353</v>
      </c>
      <c r="J262" t="s">
        <v>781</v>
      </c>
      <c r="K262" t="s">
        <v>352</v>
      </c>
      <c r="L262">
        <v>12</v>
      </c>
      <c r="M262">
        <v>4</v>
      </c>
      <c r="N262">
        <v>0.3333333333333333</v>
      </c>
      <c r="O262">
        <v>2</v>
      </c>
      <c r="P262">
        <v>0.06498652656427617</v>
      </c>
      <c r="Q262">
        <v>0.5155131037089781</v>
      </c>
      <c r="R262" t="s">
        <v>784</v>
      </c>
      <c r="S262" t="s">
        <v>792</v>
      </c>
      <c r="T262">
        <v>14849.261851</v>
      </c>
      <c r="U262" s="2">
        <v>44517</v>
      </c>
      <c r="V262" t="s">
        <v>803</v>
      </c>
    </row>
    <row r="263" spans="1:22">
      <c r="A263" s="1" t="s">
        <v>283</v>
      </c>
      <c r="B263">
        <f>HYPERLINK("https://www.suredividend.com/sure-analysis-SJM/","J.M. Smucker Co.")</f>
        <v>0</v>
      </c>
      <c r="C263">
        <v>138.91</v>
      </c>
      <c r="D263">
        <v>112</v>
      </c>
      <c r="E263">
        <v>1.240267857142857</v>
      </c>
      <c r="F263">
        <v>0.02850766683464113</v>
      </c>
      <c r="G263">
        <v>-0.04215132619203665</v>
      </c>
      <c r="H263">
        <v>0.05</v>
      </c>
      <c r="I263">
        <v>0.0353441437726234</v>
      </c>
      <c r="J263" t="s">
        <v>781</v>
      </c>
      <c r="K263" t="s">
        <v>781</v>
      </c>
      <c r="L263">
        <v>7</v>
      </c>
      <c r="M263">
        <v>3.96</v>
      </c>
      <c r="N263">
        <v>0.5657142857142857</v>
      </c>
      <c r="O263">
        <v>24</v>
      </c>
      <c r="P263">
        <v>0.04008868188296377</v>
      </c>
      <c r="Q263">
        <v>0.223385708370562</v>
      </c>
      <c r="R263" t="s">
        <v>784</v>
      </c>
      <c r="S263" t="s">
        <v>795</v>
      </c>
      <c r="T263">
        <v>14599.776092</v>
      </c>
      <c r="U263" s="2">
        <v>44525</v>
      </c>
      <c r="V263" t="s">
        <v>803</v>
      </c>
    </row>
    <row r="264" spans="1:22">
      <c r="A264" s="1" t="s">
        <v>284</v>
      </c>
      <c r="B264">
        <f>HYPERLINK("https://www.suredividend.com/sure-analysis-ETR/","Entergy Corp.")</f>
        <v>0</v>
      </c>
      <c r="C264">
        <v>110.67</v>
      </c>
      <c r="D264">
        <v>90</v>
      </c>
      <c r="E264">
        <v>1.229666666666667</v>
      </c>
      <c r="F264">
        <v>0.03650492455046535</v>
      </c>
      <c r="G264">
        <v>-0.04050543311009736</v>
      </c>
      <c r="H264">
        <v>0.04</v>
      </c>
      <c r="I264">
        <v>0.03471856607686985</v>
      </c>
      <c r="J264" t="s">
        <v>781</v>
      </c>
      <c r="K264" t="s">
        <v>781</v>
      </c>
      <c r="L264">
        <v>6</v>
      </c>
      <c r="M264">
        <v>4.04</v>
      </c>
      <c r="N264">
        <v>0.6733333333333333</v>
      </c>
      <c r="O264">
        <v>28</v>
      </c>
      <c r="P264">
        <v>0.02496011802205444</v>
      </c>
      <c r="Q264">
        <v>0.11158221104175</v>
      </c>
      <c r="R264" t="s">
        <v>784</v>
      </c>
      <c r="S264" t="s">
        <v>796</v>
      </c>
      <c r="T264">
        <v>22077.795585</v>
      </c>
      <c r="U264" s="2">
        <v>44510</v>
      </c>
      <c r="V264" t="s">
        <v>802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470.08</v>
      </c>
      <c r="D265">
        <v>400</v>
      </c>
      <c r="E265">
        <v>1.1752</v>
      </c>
      <c r="F265">
        <v>0.01106194690265487</v>
      </c>
      <c r="G265">
        <v>-0.03177198734090259</v>
      </c>
      <c r="H265">
        <v>0.055</v>
      </c>
      <c r="I265">
        <v>0.03301092264280636</v>
      </c>
      <c r="J265" t="s">
        <v>781</v>
      </c>
      <c r="K265" t="s">
        <v>529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0.302977471464763</v>
      </c>
      <c r="R265" t="s">
        <v>784</v>
      </c>
      <c r="S265" t="s">
        <v>795</v>
      </c>
      <c r="T265">
        <v>266740.264598</v>
      </c>
      <c r="U265" s="2">
        <v>44505</v>
      </c>
      <c r="V265" t="s">
        <v>799</v>
      </c>
    </row>
    <row r="266" spans="1:22">
      <c r="A266" s="1" t="s">
        <v>286</v>
      </c>
      <c r="B266">
        <f>HYPERLINK("https://www.suredividend.com/sure-analysis-MGRC/","McGrath Rentcorp")</f>
        <v>0</v>
      </c>
      <c r="C266">
        <v>74.75</v>
      </c>
      <c r="D266">
        <v>65</v>
      </c>
      <c r="E266">
        <v>1.15</v>
      </c>
      <c r="F266">
        <v>0.02327759197324415</v>
      </c>
      <c r="G266">
        <v>-0.02756533520359794</v>
      </c>
      <c r="H266">
        <v>0.03</v>
      </c>
      <c r="I266">
        <v>0.02573424128407087</v>
      </c>
      <c r="J266" t="s">
        <v>781</v>
      </c>
      <c r="K266" t="s">
        <v>781</v>
      </c>
      <c r="L266">
        <v>3.69</v>
      </c>
      <c r="M266">
        <v>1.74</v>
      </c>
      <c r="N266">
        <v>0.4715447154471545</v>
      </c>
      <c r="O266">
        <v>30</v>
      </c>
      <c r="P266">
        <v>0.0302922291651091</v>
      </c>
      <c r="Q266">
        <v>0.201274546509217</v>
      </c>
      <c r="R266" t="s">
        <v>784</v>
      </c>
      <c r="S266" t="s">
        <v>791</v>
      </c>
      <c r="T266">
        <v>1812.673424</v>
      </c>
      <c r="U266" s="2">
        <v>44498</v>
      </c>
      <c r="V266" t="s">
        <v>800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65.61</v>
      </c>
      <c r="D267">
        <v>54</v>
      </c>
      <c r="E267">
        <v>1.215</v>
      </c>
      <c r="F267">
        <v>0.03109282121627801</v>
      </c>
      <c r="G267">
        <v>-0.03820006272852428</v>
      </c>
      <c r="H267">
        <v>0.03</v>
      </c>
      <c r="I267">
        <v>0.02459857513725638</v>
      </c>
      <c r="J267" t="s">
        <v>781</v>
      </c>
      <c r="K267" t="s">
        <v>781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0.163042398262622</v>
      </c>
      <c r="R267" t="s">
        <v>784</v>
      </c>
      <c r="S267" t="s">
        <v>796</v>
      </c>
      <c r="T267">
        <v>33140.57707</v>
      </c>
      <c r="U267" s="2">
        <v>44513</v>
      </c>
      <c r="V267" t="s">
        <v>801</v>
      </c>
    </row>
    <row r="268" spans="1:22">
      <c r="A268" s="1" t="s">
        <v>288</v>
      </c>
      <c r="B268">
        <f>HYPERLINK("https://www.suredividend.com/sure-analysis-HON/","Honeywell International Inc")</f>
        <v>0</v>
      </c>
      <c r="C268">
        <v>209.61</v>
      </c>
      <c r="D268">
        <v>137</v>
      </c>
      <c r="E268">
        <v>1.53</v>
      </c>
      <c r="F268">
        <v>0.0187013978340728</v>
      </c>
      <c r="G268">
        <v>-0.08153689793331753</v>
      </c>
      <c r="H268">
        <v>0.09</v>
      </c>
      <c r="I268">
        <v>0.0243116033111046</v>
      </c>
      <c r="J268" t="s">
        <v>781</v>
      </c>
      <c r="K268" t="s">
        <v>352</v>
      </c>
      <c r="L268">
        <v>8.050000000000001</v>
      </c>
      <c r="M268">
        <v>3.92</v>
      </c>
      <c r="N268">
        <v>0.4869565217391304</v>
      </c>
      <c r="O268">
        <v>12</v>
      </c>
      <c r="P268">
        <v>0.08994918009420316</v>
      </c>
      <c r="Q268">
        <v>-0.003855217080349</v>
      </c>
      <c r="R268" t="s">
        <v>784</v>
      </c>
      <c r="S268" t="s">
        <v>791</v>
      </c>
      <c r="T268">
        <v>144403.603236</v>
      </c>
      <c r="U268" s="2">
        <v>44491</v>
      </c>
      <c r="V268" t="s">
        <v>800</v>
      </c>
    </row>
    <row r="269" spans="1:22">
      <c r="A269" s="1" t="s">
        <v>289</v>
      </c>
      <c r="B269">
        <f>HYPERLINK("https://www.suredividend.com/sure-analysis-SBAC/","SBA Communications Corp")</f>
        <v>0</v>
      </c>
      <c r="C269">
        <v>370.5</v>
      </c>
      <c r="D269">
        <v>244</v>
      </c>
      <c r="E269">
        <v>1.51844262295082</v>
      </c>
      <c r="F269">
        <v>0.006261808367071525</v>
      </c>
      <c r="G269">
        <v>-0.08014298904053885</v>
      </c>
      <c r="H269">
        <v>0.1</v>
      </c>
      <c r="I269">
        <v>0.02229016421083441</v>
      </c>
      <c r="J269" t="s">
        <v>781</v>
      </c>
      <c r="K269" t="s">
        <v>529</v>
      </c>
      <c r="L269">
        <v>10.6</v>
      </c>
      <c r="M269">
        <v>2.32</v>
      </c>
      <c r="N269">
        <v>0.2188679245283019</v>
      </c>
      <c r="O269">
        <v>2</v>
      </c>
      <c r="P269">
        <v>0.1998793126786198</v>
      </c>
      <c r="Q269">
        <v>0.350182714903839</v>
      </c>
      <c r="R269" t="s">
        <v>784</v>
      </c>
      <c r="S269" t="s">
        <v>790</v>
      </c>
      <c r="T269">
        <v>40554.496861</v>
      </c>
      <c r="U269" s="2">
        <v>44502</v>
      </c>
      <c r="V269" t="s">
        <v>799</v>
      </c>
    </row>
    <row r="270" spans="1:22">
      <c r="A270" s="1" t="s">
        <v>290</v>
      </c>
      <c r="B270">
        <f>HYPERLINK("https://www.suredividend.com/sure-analysis-ED/","Consolidated Edison, Inc.")</f>
        <v>0</v>
      </c>
      <c r="C270">
        <v>84.69</v>
      </c>
      <c r="D270">
        <v>65</v>
      </c>
      <c r="E270">
        <v>1.302923076923077</v>
      </c>
      <c r="F270">
        <v>0.03660408548825127</v>
      </c>
      <c r="G270">
        <v>-0.0515460605081618</v>
      </c>
      <c r="H270">
        <v>0.035</v>
      </c>
      <c r="I270">
        <v>0.02194570972032261</v>
      </c>
      <c r="J270" t="s">
        <v>781</v>
      </c>
      <c r="K270" t="s">
        <v>780</v>
      </c>
      <c r="L270">
        <v>4.25</v>
      </c>
      <c r="M270">
        <v>3.1</v>
      </c>
      <c r="N270">
        <v>0.7294117647058824</v>
      </c>
      <c r="O270">
        <v>47</v>
      </c>
      <c r="P270">
        <v>0.03489723107282572</v>
      </c>
      <c r="Q270">
        <v>0.192750919400406</v>
      </c>
      <c r="R270" t="s">
        <v>784</v>
      </c>
      <c r="S270" t="s">
        <v>796</v>
      </c>
      <c r="T270">
        <v>29867.830412</v>
      </c>
      <c r="U270" s="2">
        <v>44507</v>
      </c>
      <c r="V270" t="s">
        <v>800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290.41</v>
      </c>
      <c r="D271">
        <v>216</v>
      </c>
      <c r="E271">
        <v>1.344490740740741</v>
      </c>
      <c r="F271">
        <v>0.0150132571192452</v>
      </c>
      <c r="G271">
        <v>-0.05748463931811065</v>
      </c>
      <c r="H271">
        <v>0.065</v>
      </c>
      <c r="I271">
        <v>0.02186207050275879</v>
      </c>
      <c r="J271" t="s">
        <v>781</v>
      </c>
      <c r="K271" t="s">
        <v>529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0.271917223943531</v>
      </c>
      <c r="R271" t="s">
        <v>784</v>
      </c>
      <c r="S271" t="s">
        <v>791</v>
      </c>
      <c r="T271">
        <v>73089.26114800001</v>
      </c>
      <c r="U271" s="2">
        <v>44503</v>
      </c>
      <c r="V271" t="s">
        <v>802</v>
      </c>
    </row>
    <row r="272" spans="1:22">
      <c r="A272" s="1" t="s">
        <v>292</v>
      </c>
      <c r="B272">
        <f>HYPERLINK("https://www.suredividend.com/sure-analysis-AMT/","American Tower Corp.")</f>
        <v>0</v>
      </c>
      <c r="C272">
        <v>279.47</v>
      </c>
      <c r="D272">
        <v>209</v>
      </c>
      <c r="E272">
        <v>1.337177033492823</v>
      </c>
      <c r="F272">
        <v>0.01874977636240025</v>
      </c>
      <c r="G272">
        <v>-0.05645586759999888</v>
      </c>
      <c r="H272">
        <v>0.06</v>
      </c>
      <c r="I272">
        <v>0.02160544210512527</v>
      </c>
      <c r="J272" t="s">
        <v>781</v>
      </c>
      <c r="K272" t="s">
        <v>529</v>
      </c>
      <c r="L272">
        <v>9.5</v>
      </c>
      <c r="M272">
        <v>5.24</v>
      </c>
      <c r="N272">
        <v>0.5515789473684211</v>
      </c>
      <c r="O272">
        <v>9</v>
      </c>
      <c r="P272">
        <v>0.0599303946492904</v>
      </c>
      <c r="Q272">
        <v>0.288576872874975</v>
      </c>
      <c r="R272" t="s">
        <v>786</v>
      </c>
      <c r="S272" t="s">
        <v>798</v>
      </c>
      <c r="T272">
        <v>124942.747772</v>
      </c>
      <c r="U272" s="2">
        <v>44502</v>
      </c>
      <c r="V272" t="s">
        <v>803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166.05</v>
      </c>
      <c r="D273">
        <v>136</v>
      </c>
      <c r="E273">
        <v>1.220955882352941</v>
      </c>
      <c r="F273">
        <v>0.01156278229448961</v>
      </c>
      <c r="G273">
        <v>-0.03914024041792097</v>
      </c>
      <c r="H273">
        <v>0.05</v>
      </c>
      <c r="I273">
        <v>0.02153102284655839</v>
      </c>
      <c r="J273" t="s">
        <v>781</v>
      </c>
      <c r="K273" t="s">
        <v>529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0.374180234793709</v>
      </c>
      <c r="R273" t="s">
        <v>784</v>
      </c>
      <c r="S273" t="s">
        <v>793</v>
      </c>
      <c r="T273">
        <v>34741.86558</v>
      </c>
      <c r="U273" s="2">
        <v>44518</v>
      </c>
      <c r="V273" t="s">
        <v>804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96.65000000000001</v>
      </c>
      <c r="D274">
        <v>79</v>
      </c>
      <c r="E274">
        <v>1.223417721518987</v>
      </c>
      <c r="F274">
        <v>0.02690118986032074</v>
      </c>
      <c r="G274">
        <v>-0.03952725270967827</v>
      </c>
      <c r="H274">
        <v>0.03</v>
      </c>
      <c r="I274">
        <v>0.01992908870477583</v>
      </c>
      <c r="J274" t="s">
        <v>781</v>
      </c>
      <c r="K274" t="s">
        <v>781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0.203195106738294</v>
      </c>
      <c r="R274" t="s">
        <v>784</v>
      </c>
      <c r="S274" t="s">
        <v>795</v>
      </c>
      <c r="T274">
        <v>6366.157974</v>
      </c>
      <c r="U274" s="2">
        <v>44509</v>
      </c>
      <c r="V274" t="s">
        <v>810</v>
      </c>
    </row>
    <row r="275" spans="1:22">
      <c r="A275" s="1" t="s">
        <v>295</v>
      </c>
      <c r="B275">
        <f>HYPERLINK("https://www.suredividend.com/sure-analysis-CLX/","Clorox Co.")</f>
        <v>0</v>
      </c>
      <c r="C275">
        <v>178.17</v>
      </c>
      <c r="D275">
        <v>127</v>
      </c>
      <c r="E275">
        <v>1.402913385826771</v>
      </c>
      <c r="F275">
        <v>0.02604254363809845</v>
      </c>
      <c r="G275">
        <v>-0.06546875050861978</v>
      </c>
      <c r="H275">
        <v>0.06</v>
      </c>
      <c r="I275">
        <v>0.01936772349671489</v>
      </c>
      <c r="J275" t="s">
        <v>781</v>
      </c>
      <c r="K275" t="s">
        <v>781</v>
      </c>
      <c r="L275">
        <v>5.5</v>
      </c>
      <c r="M275">
        <v>4.64</v>
      </c>
      <c r="N275">
        <v>0.8436363636363636</v>
      </c>
      <c r="O275">
        <v>44</v>
      </c>
      <c r="P275">
        <v>0.04017423812999366</v>
      </c>
      <c r="Q275">
        <v>-0.110947116673237</v>
      </c>
      <c r="R275" t="s">
        <v>784</v>
      </c>
      <c r="S275" t="s">
        <v>795</v>
      </c>
      <c r="T275">
        <v>21639.818976</v>
      </c>
      <c r="U275" s="2">
        <v>44519</v>
      </c>
      <c r="V275" t="s">
        <v>804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13.98</v>
      </c>
      <c r="D276">
        <v>11</v>
      </c>
      <c r="E276">
        <v>1.270909090909091</v>
      </c>
      <c r="F276">
        <v>0.01645207439198856</v>
      </c>
      <c r="G276">
        <v>-0.04681521203926875</v>
      </c>
      <c r="H276">
        <v>0.05</v>
      </c>
      <c r="I276">
        <v>0.01867643522057572</v>
      </c>
      <c r="J276" t="s">
        <v>781</v>
      </c>
      <c r="K276" t="s">
        <v>529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0.165131861240386</v>
      </c>
      <c r="R276" t="s">
        <v>784</v>
      </c>
      <c r="S276" t="s">
        <v>791</v>
      </c>
      <c r="T276">
        <v>2230.946402</v>
      </c>
      <c r="U276" s="2">
        <v>44511</v>
      </c>
      <c r="V276" t="s">
        <v>799</v>
      </c>
    </row>
    <row r="277" spans="1:22">
      <c r="A277" s="1" t="s">
        <v>297</v>
      </c>
      <c r="B277">
        <f>HYPERLINK("https://www.suredividend.com/sure-analysis-RMD/","Resmed Inc.")</f>
        <v>0</v>
      </c>
      <c r="C277">
        <v>253.77</v>
      </c>
      <c r="D277">
        <v>151</v>
      </c>
      <c r="E277">
        <v>1.680596026490066</v>
      </c>
      <c r="F277">
        <v>0.00662016786854238</v>
      </c>
      <c r="G277">
        <v>-0.0986212123138861</v>
      </c>
      <c r="H277">
        <v>0.12</v>
      </c>
      <c r="I277">
        <v>0.01797132192989492</v>
      </c>
      <c r="J277" t="s">
        <v>781</v>
      </c>
      <c r="K277" t="s">
        <v>529</v>
      </c>
      <c r="L277">
        <v>6.3</v>
      </c>
      <c r="M277">
        <v>1.68</v>
      </c>
      <c r="N277">
        <v>0.2666666666666667</v>
      </c>
      <c r="O277">
        <v>1</v>
      </c>
      <c r="P277">
        <v>0.1003529239440031</v>
      </c>
      <c r="Q277">
        <v>0.238318365975783</v>
      </c>
      <c r="R277" t="s">
        <v>784</v>
      </c>
      <c r="S277" t="s">
        <v>789</v>
      </c>
      <c r="T277">
        <v>37386.729312</v>
      </c>
      <c r="U277" s="2">
        <v>44508</v>
      </c>
      <c r="V277" t="s">
        <v>802</v>
      </c>
    </row>
    <row r="278" spans="1:22">
      <c r="A278" s="1" t="s">
        <v>298</v>
      </c>
      <c r="B278">
        <f>HYPERLINK("https://www.suredividend.com/sure-analysis-PEP/","PepsiCo Inc")</f>
        <v>0</v>
      </c>
      <c r="C278">
        <v>171.82</v>
      </c>
      <c r="D278">
        <v>124</v>
      </c>
      <c r="E278">
        <v>1.385645161290322</v>
      </c>
      <c r="F278">
        <v>0.02502619019904551</v>
      </c>
      <c r="G278">
        <v>-0.06315100747235836</v>
      </c>
      <c r="H278">
        <v>0.055</v>
      </c>
      <c r="I278">
        <v>0.01749144634080135</v>
      </c>
      <c r="J278" t="s">
        <v>781</v>
      </c>
      <c r="K278" t="s">
        <v>781</v>
      </c>
      <c r="L278">
        <v>6.2</v>
      </c>
      <c r="M278">
        <v>4.3</v>
      </c>
      <c r="N278">
        <v>0.6935483870967741</v>
      </c>
      <c r="O278">
        <v>49</v>
      </c>
      <c r="P278">
        <v>0.0550027021888726</v>
      </c>
      <c r="Q278">
        <v>0.219741946767012</v>
      </c>
      <c r="R278" t="s">
        <v>784</v>
      </c>
      <c r="S278" t="s">
        <v>795</v>
      </c>
      <c r="T278">
        <v>237221.765431</v>
      </c>
      <c r="U278" s="2">
        <v>44474</v>
      </c>
      <c r="V278" t="s">
        <v>800</v>
      </c>
    </row>
    <row r="279" spans="1:22">
      <c r="A279" s="1" t="s">
        <v>299</v>
      </c>
      <c r="B279">
        <f>HYPERLINK("https://www.suredividend.com/sure-analysis-XEL/","Xcel Energy, Inc.")</f>
        <v>0</v>
      </c>
      <c r="C279">
        <v>68.95</v>
      </c>
      <c r="D279">
        <v>53</v>
      </c>
      <c r="E279">
        <v>1.300943396226415</v>
      </c>
      <c r="F279">
        <v>0.02654097171863669</v>
      </c>
      <c r="G279">
        <v>-0.05125757845678414</v>
      </c>
      <c r="H279">
        <v>0.04</v>
      </c>
      <c r="I279">
        <v>0.01642332209528141</v>
      </c>
      <c r="J279" t="s">
        <v>781</v>
      </c>
      <c r="K279" t="s">
        <v>352</v>
      </c>
      <c r="L279">
        <v>2.96</v>
      </c>
      <c r="M279">
        <v>1.83</v>
      </c>
      <c r="N279">
        <v>0.6182432432432433</v>
      </c>
      <c r="O279">
        <v>18</v>
      </c>
      <c r="P279">
        <v>0.04032911905890546</v>
      </c>
      <c r="Q279">
        <v>0.071438579884604</v>
      </c>
      <c r="R279" t="s">
        <v>784</v>
      </c>
      <c r="S279" t="s">
        <v>796</v>
      </c>
      <c r="T279">
        <v>37071.652727</v>
      </c>
      <c r="U279" s="2">
        <v>44502</v>
      </c>
      <c r="V279" t="s">
        <v>803</v>
      </c>
    </row>
    <row r="280" spans="1:22">
      <c r="A280" s="1" t="s">
        <v>300</v>
      </c>
      <c r="B280">
        <f>HYPERLINK("https://www.suredividend.com/sure-analysis-RHHBY/","Roche Holding AG")</f>
        <v>0</v>
      </c>
      <c r="C280">
        <v>51.3</v>
      </c>
      <c r="D280">
        <v>42</v>
      </c>
      <c r="E280">
        <v>1.221428571428571</v>
      </c>
      <c r="F280">
        <v>0.02280701754385965</v>
      </c>
      <c r="G280">
        <v>-0.03921462188340308</v>
      </c>
      <c r="H280">
        <v>0.03</v>
      </c>
      <c r="I280">
        <v>0.0141744559370951</v>
      </c>
      <c r="J280" t="s">
        <v>781</v>
      </c>
      <c r="K280" t="s">
        <v>781</v>
      </c>
      <c r="L280">
        <v>2.3</v>
      </c>
      <c r="M280">
        <v>1.17</v>
      </c>
      <c r="N280">
        <v>0.5086956521739131</v>
      </c>
      <c r="O280">
        <v>34</v>
      </c>
      <c r="P280">
        <v>0.0275046295579735</v>
      </c>
      <c r="Q280">
        <v>0.2134840079972</v>
      </c>
      <c r="R280" t="s">
        <v>784</v>
      </c>
      <c r="S280" t="s">
        <v>789</v>
      </c>
      <c r="T280">
        <v>284509.790992</v>
      </c>
      <c r="U280" s="2">
        <v>44490</v>
      </c>
      <c r="V280" t="s">
        <v>810</v>
      </c>
    </row>
    <row r="281" spans="1:22">
      <c r="A281" s="1" t="s">
        <v>301</v>
      </c>
      <c r="B281">
        <f>HYPERLINK("https://www.suredividend.com/sure-analysis-IFF/","International Flavors &amp; Fragrances Inc.")</f>
        <v>0</v>
      </c>
      <c r="C281">
        <v>145.91</v>
      </c>
      <c r="D281">
        <v>113</v>
      </c>
      <c r="E281">
        <v>1.291238938053097</v>
      </c>
      <c r="F281">
        <v>0.02165718593653622</v>
      </c>
      <c r="G281">
        <v>-0.0498357693049023</v>
      </c>
      <c r="H281">
        <v>0.04</v>
      </c>
      <c r="I281">
        <v>0.01251118108213745</v>
      </c>
      <c r="J281" t="s">
        <v>781</v>
      </c>
      <c r="K281" t="s">
        <v>352</v>
      </c>
      <c r="L281">
        <v>5.63</v>
      </c>
      <c r="M281">
        <v>3.16</v>
      </c>
      <c r="N281">
        <v>0.5612788632326821</v>
      </c>
      <c r="O281">
        <v>19</v>
      </c>
      <c r="P281">
        <v>0.03974975894363819</v>
      </c>
      <c r="Q281">
        <v>0.338740857953695</v>
      </c>
      <c r="R281" t="s">
        <v>784</v>
      </c>
      <c r="S281" t="s">
        <v>794</v>
      </c>
      <c r="T281">
        <v>36911.8596</v>
      </c>
      <c r="U281" s="2">
        <v>44516</v>
      </c>
      <c r="V281" t="s">
        <v>805</v>
      </c>
    </row>
    <row r="282" spans="1:22">
      <c r="A282" s="1" t="s">
        <v>302</v>
      </c>
      <c r="B282">
        <f>HYPERLINK("https://www.suredividend.com/sure-analysis-AUY/","Yamana Gold Inc.")</f>
        <v>0</v>
      </c>
      <c r="C282">
        <v>4</v>
      </c>
      <c r="D282">
        <v>3.26</v>
      </c>
      <c r="E282">
        <v>1.226993865030675</v>
      </c>
      <c r="F282">
        <v>0.0275</v>
      </c>
      <c r="G282">
        <v>-0.04008777706971123</v>
      </c>
      <c r="H282">
        <v>0.02</v>
      </c>
      <c r="I282">
        <v>0.01155068282046923</v>
      </c>
      <c r="J282" t="s">
        <v>781</v>
      </c>
      <c r="K282" t="s">
        <v>352</v>
      </c>
      <c r="L282">
        <v>4.65</v>
      </c>
      <c r="M282">
        <v>0.11</v>
      </c>
      <c r="N282">
        <v>0.02365591397849462</v>
      </c>
      <c r="O282">
        <v>3</v>
      </c>
      <c r="P282">
        <v>0.04941452284458392</v>
      </c>
      <c r="Q282">
        <v>-0.294191942643808</v>
      </c>
      <c r="R282" t="s">
        <v>784</v>
      </c>
      <c r="S282" t="s">
        <v>794</v>
      </c>
      <c r="T282">
        <v>3659.997805</v>
      </c>
      <c r="U282" s="2">
        <v>44528</v>
      </c>
      <c r="V282" t="s">
        <v>801</v>
      </c>
    </row>
    <row r="283" spans="1:22">
      <c r="A283" s="1" t="s">
        <v>303</v>
      </c>
      <c r="B283">
        <f>HYPERLINK("https://www.suredividend.com/sure-analysis-UNP/","Union Pacific Corp.")</f>
        <v>0</v>
      </c>
      <c r="C283">
        <v>248.35</v>
      </c>
      <c r="D283">
        <v>169</v>
      </c>
      <c r="E283">
        <v>1.469526627218935</v>
      </c>
      <c r="F283">
        <v>0.01900543587678679</v>
      </c>
      <c r="G283">
        <v>-0.07409909613405441</v>
      </c>
      <c r="H283">
        <v>0.07000000000000001</v>
      </c>
      <c r="I283">
        <v>0.01138133058208357</v>
      </c>
      <c r="J283" t="s">
        <v>781</v>
      </c>
      <c r="K283" t="s">
        <v>352</v>
      </c>
      <c r="L283">
        <v>9.93</v>
      </c>
      <c r="M283">
        <v>4.72</v>
      </c>
      <c r="N283">
        <v>0.4753272910372608</v>
      </c>
      <c r="O283">
        <v>15</v>
      </c>
      <c r="P283">
        <v>0.02955636723032895</v>
      </c>
      <c r="Q283">
        <v>0.251443271821257</v>
      </c>
      <c r="R283" t="s">
        <v>784</v>
      </c>
      <c r="S283" t="s">
        <v>791</v>
      </c>
      <c r="T283">
        <v>158867.442984</v>
      </c>
      <c r="U283" s="2">
        <v>44490</v>
      </c>
      <c r="V283" t="s">
        <v>800</v>
      </c>
    </row>
    <row r="284" spans="1:22">
      <c r="A284" s="1" t="s">
        <v>304</v>
      </c>
      <c r="B284">
        <f>HYPERLINK("https://www.suredividend.com/sure-analysis-CARR/","Carrier Global Corp")</f>
        <v>0</v>
      </c>
      <c r="C284">
        <v>53.87</v>
      </c>
      <c r="D284">
        <v>40</v>
      </c>
      <c r="E284">
        <v>1.34675</v>
      </c>
      <c r="F284">
        <v>0.01113792463337665</v>
      </c>
      <c r="G284">
        <v>-0.05780107768727716</v>
      </c>
      <c r="H284">
        <v>0.06</v>
      </c>
      <c r="I284">
        <v>0.01133792519549393</v>
      </c>
      <c r="J284" t="s">
        <v>781</v>
      </c>
      <c r="K284" t="s">
        <v>529</v>
      </c>
      <c r="L284">
        <v>2.2</v>
      </c>
      <c r="M284">
        <v>0.6</v>
      </c>
      <c r="N284">
        <v>0.2727272727272727</v>
      </c>
      <c r="O284">
        <v>2</v>
      </c>
      <c r="P284">
        <v>0.04841317128472156</v>
      </c>
      <c r="Q284">
        <v>0.436858712918044</v>
      </c>
      <c r="R284" t="s">
        <v>784</v>
      </c>
      <c r="S284" t="s">
        <v>791</v>
      </c>
      <c r="T284">
        <v>46405.623109</v>
      </c>
      <c r="U284" s="2">
        <v>44502</v>
      </c>
      <c r="V284" t="s">
        <v>803</v>
      </c>
    </row>
    <row r="285" spans="1:22">
      <c r="A285" s="1" t="s">
        <v>305</v>
      </c>
      <c r="B285">
        <f>HYPERLINK("https://www.suredividend.com/sure-analysis-HSY/","Hershey Company")</f>
        <v>0</v>
      </c>
      <c r="C285">
        <v>192.13</v>
      </c>
      <c r="D285">
        <v>141</v>
      </c>
      <c r="E285">
        <v>1.362624113475177</v>
      </c>
      <c r="F285">
        <v>0.01873731327746838</v>
      </c>
      <c r="G285">
        <v>-0.06000663962425146</v>
      </c>
      <c r="H285">
        <v>0.05</v>
      </c>
      <c r="I285">
        <v>0.008896242588835257</v>
      </c>
      <c r="J285" t="s">
        <v>781</v>
      </c>
      <c r="K285" t="s">
        <v>352</v>
      </c>
      <c r="L285">
        <v>7.05</v>
      </c>
      <c r="M285">
        <v>3.6</v>
      </c>
      <c r="N285">
        <v>0.5106382978723405</v>
      </c>
      <c r="O285">
        <v>12</v>
      </c>
      <c r="P285">
        <v>0.04978904632428516</v>
      </c>
      <c r="Q285">
        <v>0.288812251220931</v>
      </c>
      <c r="R285" t="s">
        <v>784</v>
      </c>
      <c r="S285" t="s">
        <v>795</v>
      </c>
      <c r="T285">
        <v>39499.10734</v>
      </c>
      <c r="U285" s="2">
        <v>44500</v>
      </c>
      <c r="V285" t="s">
        <v>803</v>
      </c>
    </row>
    <row r="286" spans="1:22">
      <c r="A286" s="1" t="s">
        <v>306</v>
      </c>
      <c r="B286">
        <f>HYPERLINK("https://www.suredividend.com/sure-analysis-AWK/","American Water Works Co. Inc.")</f>
        <v>0</v>
      </c>
      <c r="C286">
        <v>182.93</v>
      </c>
      <c r="D286">
        <v>136</v>
      </c>
      <c r="E286">
        <v>1.345073529411765</v>
      </c>
      <c r="F286">
        <v>0.01317443830973596</v>
      </c>
      <c r="G286">
        <v>-0.05756632741686629</v>
      </c>
      <c r="H286">
        <v>0.05</v>
      </c>
      <c r="I286">
        <v>0.006870110995527146</v>
      </c>
      <c r="J286" t="s">
        <v>781</v>
      </c>
      <c r="K286" t="s">
        <v>529</v>
      </c>
      <c r="L286">
        <v>4.25</v>
      </c>
      <c r="M286">
        <v>2.41</v>
      </c>
      <c r="N286">
        <v>0.5670588235294118</v>
      </c>
      <c r="O286">
        <v>13</v>
      </c>
      <c r="P286">
        <v>0.0901126350638779</v>
      </c>
      <c r="Q286">
        <v>0.208523515386512</v>
      </c>
      <c r="R286" t="s">
        <v>784</v>
      </c>
      <c r="S286" t="s">
        <v>796</v>
      </c>
      <c r="T286">
        <v>33088.885328</v>
      </c>
      <c r="U286" s="2">
        <v>44504</v>
      </c>
      <c r="V286" t="s">
        <v>799</v>
      </c>
    </row>
    <row r="287" spans="1:22">
      <c r="A287" s="1" t="s">
        <v>307</v>
      </c>
      <c r="B287">
        <f>HYPERLINK("https://www.suredividend.com/sure-analysis-NEE/","NextEra Energy Inc")</f>
        <v>0</v>
      </c>
      <c r="C287">
        <v>92.23</v>
      </c>
      <c r="D287">
        <v>61</v>
      </c>
      <c r="E287">
        <v>1.511967213114754</v>
      </c>
      <c r="F287">
        <v>0.0166973869673642</v>
      </c>
      <c r="G287">
        <v>-0.07935642790610409</v>
      </c>
      <c r="H287">
        <v>0.07000000000000001</v>
      </c>
      <c r="I287">
        <v>0.006811172115491093</v>
      </c>
      <c r="J287" t="s">
        <v>781</v>
      </c>
      <c r="K287" t="s">
        <v>529</v>
      </c>
      <c r="L287">
        <v>2.47</v>
      </c>
      <c r="M287">
        <v>1.54</v>
      </c>
      <c r="N287">
        <v>0.6234817813765182</v>
      </c>
      <c r="O287">
        <v>25</v>
      </c>
      <c r="P287">
        <v>0.08353120449915608</v>
      </c>
      <c r="Q287">
        <v>0.245726278731254</v>
      </c>
      <c r="R287" t="s">
        <v>784</v>
      </c>
      <c r="S287" t="s">
        <v>796</v>
      </c>
      <c r="T287">
        <v>180234.435584</v>
      </c>
      <c r="U287" s="2">
        <v>44498</v>
      </c>
      <c r="V287" t="s">
        <v>809</v>
      </c>
    </row>
    <row r="288" spans="1:22">
      <c r="A288" s="1" t="s">
        <v>308</v>
      </c>
      <c r="B288">
        <f>HYPERLINK("https://www.suredividend.com/sure-analysis-APD/","Air Products &amp; Chemicals Inc.")</f>
        <v>0</v>
      </c>
      <c r="C288">
        <v>303.15</v>
      </c>
      <c r="D288">
        <v>200</v>
      </c>
      <c r="E288">
        <v>1.51575</v>
      </c>
      <c r="F288">
        <v>0.01979218208807521</v>
      </c>
      <c r="G288">
        <v>-0.07981640879860397</v>
      </c>
      <c r="H288">
        <v>0.06</v>
      </c>
      <c r="I288">
        <v>0.0009401795905441546</v>
      </c>
      <c r="J288" t="s">
        <v>781</v>
      </c>
      <c r="K288" t="s">
        <v>781</v>
      </c>
      <c r="L288">
        <v>10.5</v>
      </c>
      <c r="M288">
        <v>6</v>
      </c>
      <c r="N288">
        <v>0.5714285714285714</v>
      </c>
      <c r="O288">
        <v>39</v>
      </c>
      <c r="P288">
        <v>0.07011922960697747</v>
      </c>
      <c r="Q288">
        <v>0.154179512216529</v>
      </c>
      <c r="R288" t="s">
        <v>784</v>
      </c>
      <c r="S288" t="s">
        <v>794</v>
      </c>
      <c r="T288">
        <v>67563.13334099999</v>
      </c>
      <c r="U288" s="2">
        <v>44506</v>
      </c>
      <c r="V288" t="s">
        <v>802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191.61</v>
      </c>
      <c r="D289">
        <v>128</v>
      </c>
      <c r="E289">
        <v>1.496953125</v>
      </c>
      <c r="F289">
        <v>0.02317206826366056</v>
      </c>
      <c r="G289">
        <v>-0.07751702494657864</v>
      </c>
      <c r="H289">
        <v>0.055</v>
      </c>
      <c r="I289">
        <v>0.0003574415747331638</v>
      </c>
      <c r="J289" t="s">
        <v>781</v>
      </c>
      <c r="K289" t="s">
        <v>352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-0.171385960637324</v>
      </c>
      <c r="R289" t="s">
        <v>784</v>
      </c>
      <c r="S289" t="s">
        <v>793</v>
      </c>
      <c r="T289">
        <v>8999.939899999999</v>
      </c>
      <c r="U289" s="2">
        <v>44504</v>
      </c>
      <c r="V289" t="s">
        <v>802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128.87</v>
      </c>
      <c r="D290">
        <v>79</v>
      </c>
      <c r="E290">
        <v>1.63126582278481</v>
      </c>
      <c r="F290">
        <v>0.01544191821215178</v>
      </c>
      <c r="G290">
        <v>-0.09323436527143303</v>
      </c>
      <c r="H290">
        <v>0.07000000000000001</v>
      </c>
      <c r="I290">
        <v>-0.009210285457749601</v>
      </c>
      <c r="J290" t="s">
        <v>781</v>
      </c>
      <c r="K290" t="s">
        <v>352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0.169816912539515</v>
      </c>
      <c r="R290" t="s">
        <v>784</v>
      </c>
      <c r="S290" t="s">
        <v>791</v>
      </c>
      <c r="T290">
        <v>90167.720219</v>
      </c>
      <c r="U290" s="2">
        <v>44490</v>
      </c>
      <c r="V290" t="s">
        <v>800</v>
      </c>
    </row>
    <row r="291" spans="1:22">
      <c r="A291" s="1" t="s">
        <v>311</v>
      </c>
      <c r="B291">
        <f>HYPERLINK("https://www.suredividend.com/sure-analysis-FRT/","Federal Realty Investment Trust")</f>
        <v>0</v>
      </c>
      <c r="C291">
        <v>128.18</v>
      </c>
      <c r="D291">
        <v>78.2</v>
      </c>
      <c r="E291">
        <v>1.639130434782609</v>
      </c>
      <c r="F291">
        <v>0.03339054454673116</v>
      </c>
      <c r="G291">
        <v>-0.09410617948343358</v>
      </c>
      <c r="H291">
        <v>0.05</v>
      </c>
      <c r="I291">
        <v>-0.01006026463331477</v>
      </c>
      <c r="J291" t="s">
        <v>781</v>
      </c>
      <c r="K291" t="s">
        <v>781</v>
      </c>
      <c r="L291">
        <v>5.21</v>
      </c>
      <c r="M291">
        <v>4.28</v>
      </c>
      <c r="N291">
        <v>0.8214971209213052</v>
      </c>
      <c r="O291">
        <v>54</v>
      </c>
      <c r="P291">
        <v>0.0100752948556313</v>
      </c>
      <c r="Q291">
        <v>0.436163150454602</v>
      </c>
      <c r="R291" t="s">
        <v>786</v>
      </c>
      <c r="S291" t="s">
        <v>798</v>
      </c>
      <c r="T291">
        <v>10013.063282</v>
      </c>
      <c r="U291" s="2">
        <v>44509</v>
      </c>
      <c r="V291" t="s">
        <v>808</v>
      </c>
    </row>
    <row r="292" spans="1:22">
      <c r="A292" s="1" t="s">
        <v>312</v>
      </c>
      <c r="B292">
        <f>HYPERLINK("https://www.suredividend.com/sure-analysis-WTRG/","Essential Utilities Inc")</f>
        <v>0</v>
      </c>
      <c r="C292">
        <v>50.98</v>
      </c>
      <c r="D292">
        <v>30</v>
      </c>
      <c r="E292">
        <v>1.699333333333333</v>
      </c>
      <c r="F292">
        <v>0.02098862298940761</v>
      </c>
      <c r="G292">
        <v>-0.1006178068749044</v>
      </c>
      <c r="H292">
        <v>0.07000000000000001</v>
      </c>
      <c r="I292">
        <v>-0.01006789549700726</v>
      </c>
      <c r="J292" t="s">
        <v>781</v>
      </c>
      <c r="K292" t="s">
        <v>352</v>
      </c>
      <c r="L292">
        <v>1.68</v>
      </c>
      <c r="M292">
        <v>1.07</v>
      </c>
      <c r="N292">
        <v>0.636904761904762</v>
      </c>
      <c r="O292">
        <v>30</v>
      </c>
      <c r="P292">
        <v>0.05971834352437777</v>
      </c>
      <c r="Q292">
        <v>0.08235908383703701</v>
      </c>
      <c r="R292" t="s">
        <v>784</v>
      </c>
      <c r="S292" t="s">
        <v>796</v>
      </c>
      <c r="T292">
        <v>12993.511564</v>
      </c>
      <c r="U292" s="2">
        <v>44502</v>
      </c>
      <c r="V292" t="s">
        <v>807</v>
      </c>
    </row>
    <row r="293" spans="1:22">
      <c r="A293" s="1" t="s">
        <v>313</v>
      </c>
      <c r="B293">
        <f>HYPERLINK("https://www.suredividend.com/sure-analysis-NVO/","Novo Nordisk")</f>
        <v>0</v>
      </c>
      <c r="C293">
        <v>117.08</v>
      </c>
      <c r="D293">
        <v>75</v>
      </c>
      <c r="E293">
        <v>1.561066666666667</v>
      </c>
      <c r="F293">
        <v>0.01349504612230953</v>
      </c>
      <c r="G293">
        <v>-0.08522200325874096</v>
      </c>
      <c r="H293">
        <v>0.06</v>
      </c>
      <c r="I293">
        <v>-0.01221836886255934</v>
      </c>
      <c r="J293" t="s">
        <v>781</v>
      </c>
      <c r="K293" t="s">
        <v>529</v>
      </c>
      <c r="L293">
        <v>3.4</v>
      </c>
      <c r="M293">
        <v>1.58</v>
      </c>
      <c r="N293">
        <v>0.4647058823529412</v>
      </c>
      <c r="O293">
        <v>0</v>
      </c>
      <c r="P293">
        <v>0.0703829372933884</v>
      </c>
      <c r="Q293">
        <v>0.7093615653442571</v>
      </c>
      <c r="R293" t="s">
        <v>784</v>
      </c>
      <c r="S293" t="s">
        <v>789</v>
      </c>
      <c r="T293">
        <v>206432.80344</v>
      </c>
      <c r="U293" s="2">
        <v>44516</v>
      </c>
      <c r="V293" t="s">
        <v>805</v>
      </c>
    </row>
    <row r="294" spans="1:22">
      <c r="A294" s="1" t="s">
        <v>314</v>
      </c>
      <c r="B294">
        <f>HYPERLINK("https://www.suredividend.com/sure-analysis-UMBF/","UMB Financial Corp.")</f>
        <v>0</v>
      </c>
      <c r="C294">
        <v>104.35</v>
      </c>
      <c r="D294">
        <v>97</v>
      </c>
      <c r="E294">
        <v>1.075773195876289</v>
      </c>
      <c r="F294">
        <v>0.01418303785337805</v>
      </c>
      <c r="G294">
        <v>-0.01450175282313271</v>
      </c>
      <c r="H294">
        <v>-0.015</v>
      </c>
      <c r="I294">
        <v>-0.01238628425398158</v>
      </c>
      <c r="J294" t="s">
        <v>781</v>
      </c>
      <c r="K294" t="s">
        <v>529</v>
      </c>
      <c r="L294">
        <v>7.45</v>
      </c>
      <c r="M294">
        <v>1.48</v>
      </c>
      <c r="N294">
        <v>0.1986577181208053</v>
      </c>
      <c r="O294">
        <v>30</v>
      </c>
      <c r="P294">
        <v>0.03051269507716325</v>
      </c>
      <c r="Q294">
        <v>0.521266099143176</v>
      </c>
      <c r="R294" t="s">
        <v>784</v>
      </c>
      <c r="S294" t="s">
        <v>793</v>
      </c>
      <c r="T294">
        <v>5047.691231</v>
      </c>
      <c r="U294" s="2">
        <v>44512</v>
      </c>
      <c r="V294" t="s">
        <v>804</v>
      </c>
    </row>
    <row r="295" spans="1:22">
      <c r="A295" s="1" t="s">
        <v>315</v>
      </c>
      <c r="B295">
        <f>HYPERLINK("https://www.suredividend.com/sure-analysis-ROK/","Rockwell Automation Inc")</f>
        <v>0</v>
      </c>
      <c r="C295">
        <v>348.87</v>
      </c>
      <c r="D295">
        <v>216</v>
      </c>
      <c r="E295">
        <v>1.615138888888889</v>
      </c>
      <c r="F295">
        <v>0.01284145956946714</v>
      </c>
      <c r="G295">
        <v>-0.0914307690371422</v>
      </c>
      <c r="H295">
        <v>0.065</v>
      </c>
      <c r="I295">
        <v>-0.01498903823182751</v>
      </c>
      <c r="J295" t="s">
        <v>781</v>
      </c>
      <c r="K295" t="s">
        <v>529</v>
      </c>
      <c r="L295">
        <v>10.8</v>
      </c>
      <c r="M295">
        <v>4.48</v>
      </c>
      <c r="N295">
        <v>0.4148148148148148</v>
      </c>
      <c r="O295">
        <v>12</v>
      </c>
      <c r="P295">
        <v>0.06988309640706269</v>
      </c>
      <c r="Q295">
        <v>0.4429691446501101</v>
      </c>
      <c r="R295" t="s">
        <v>784</v>
      </c>
      <c r="S295" t="s">
        <v>791</v>
      </c>
      <c r="T295">
        <v>40750.235295</v>
      </c>
      <c r="U295" s="2">
        <v>44503</v>
      </c>
      <c r="V295" t="s">
        <v>802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342.16</v>
      </c>
      <c r="D296">
        <v>224</v>
      </c>
      <c r="E296">
        <v>1.5275</v>
      </c>
      <c r="F296">
        <v>0.02443301379471592</v>
      </c>
      <c r="G296">
        <v>-0.08123645197368479</v>
      </c>
      <c r="H296">
        <v>0.038</v>
      </c>
      <c r="I296">
        <v>-0.01726785020814448</v>
      </c>
      <c r="J296" t="s">
        <v>781</v>
      </c>
      <c r="K296" t="s">
        <v>352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0.496464998149758</v>
      </c>
      <c r="R296" t="s">
        <v>786</v>
      </c>
      <c r="S296" t="s">
        <v>798</v>
      </c>
      <c r="T296">
        <v>22925.886713</v>
      </c>
      <c r="U296" s="2">
        <v>44503</v>
      </c>
      <c r="V296" t="s">
        <v>808</v>
      </c>
    </row>
    <row r="297" spans="1:22">
      <c r="A297" s="1" t="s">
        <v>317</v>
      </c>
      <c r="B297">
        <f>HYPERLINK("https://www.suredividend.com/sure-analysis-OTIS/","Otis Worldwide Corp")</f>
        <v>0</v>
      </c>
      <c r="C297">
        <v>86.51000000000001</v>
      </c>
      <c r="D297">
        <v>52</v>
      </c>
      <c r="E297">
        <v>1.663653846153846</v>
      </c>
      <c r="F297">
        <v>0.01109698300774477</v>
      </c>
      <c r="G297">
        <v>-0.09679276802650605</v>
      </c>
      <c r="H297">
        <v>0.07000000000000001</v>
      </c>
      <c r="I297">
        <v>-0.01837265023535206</v>
      </c>
      <c r="J297" t="s">
        <v>781</v>
      </c>
      <c r="K297" t="s">
        <v>529</v>
      </c>
      <c r="L297">
        <v>2.95</v>
      </c>
      <c r="M297">
        <v>0.96</v>
      </c>
      <c r="N297">
        <v>0.3254237288135593</v>
      </c>
      <c r="O297">
        <v>1</v>
      </c>
      <c r="P297">
        <v>0.07056368416916192</v>
      </c>
      <c r="Q297">
        <v>0.32726280960218</v>
      </c>
      <c r="R297" t="s">
        <v>784</v>
      </c>
      <c r="S297" t="s">
        <v>791</v>
      </c>
      <c r="T297">
        <v>36071.380508</v>
      </c>
      <c r="U297" s="2">
        <v>44495</v>
      </c>
      <c r="V297" t="s">
        <v>803</v>
      </c>
    </row>
    <row r="298" spans="1:22">
      <c r="A298" s="1" t="s">
        <v>318</v>
      </c>
      <c r="B298">
        <f>HYPERLINK("https://www.suredividend.com/sure-analysis-CFR/","Cullen Frost Bankers Inc.")</f>
        <v>0</v>
      </c>
      <c r="C298">
        <v>128.28</v>
      </c>
      <c r="D298">
        <v>86</v>
      </c>
      <c r="E298">
        <v>1.491627906976744</v>
      </c>
      <c r="F298">
        <v>0.02338634237605238</v>
      </c>
      <c r="G298">
        <v>-0.07685929752662934</v>
      </c>
      <c r="H298">
        <v>0.03</v>
      </c>
      <c r="I298">
        <v>-0.01891779651682912</v>
      </c>
      <c r="J298" t="s">
        <v>781</v>
      </c>
      <c r="K298" t="s">
        <v>781</v>
      </c>
      <c r="L298">
        <v>6.6</v>
      </c>
      <c r="M298">
        <v>3</v>
      </c>
      <c r="N298">
        <v>0.4545454545454546</v>
      </c>
      <c r="O298">
        <v>28</v>
      </c>
      <c r="P298">
        <v>0.04000235313991807</v>
      </c>
      <c r="Q298">
        <v>0.49437102357648</v>
      </c>
      <c r="R298" t="s">
        <v>784</v>
      </c>
      <c r="S298" t="s">
        <v>793</v>
      </c>
      <c r="T298">
        <v>8160.618225</v>
      </c>
      <c r="U298" s="2">
        <v>44504</v>
      </c>
      <c r="V298" t="s">
        <v>803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202.16</v>
      </c>
      <c r="D299">
        <v>121</v>
      </c>
      <c r="E299">
        <v>1.670743801652893</v>
      </c>
      <c r="F299">
        <v>0.01167392164622082</v>
      </c>
      <c r="G299">
        <v>-0.09756064119878138</v>
      </c>
      <c r="H299">
        <v>0.06</v>
      </c>
      <c r="I299">
        <v>-0.02729916350653405</v>
      </c>
      <c r="J299" t="s">
        <v>781</v>
      </c>
      <c r="K299" t="s">
        <v>529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0.456364285946279</v>
      </c>
      <c r="R299" t="s">
        <v>784</v>
      </c>
      <c r="S299" t="s">
        <v>791</v>
      </c>
      <c r="T299">
        <v>47930.857117</v>
      </c>
      <c r="U299" s="2">
        <v>44511</v>
      </c>
      <c r="V299" t="s">
        <v>803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166.04</v>
      </c>
      <c r="D300">
        <v>98</v>
      </c>
      <c r="E300">
        <v>1.694285714285714</v>
      </c>
      <c r="F300">
        <v>0.01565887737894484</v>
      </c>
      <c r="G300">
        <v>-0.1000825561338953</v>
      </c>
      <c r="H300">
        <v>0.05</v>
      </c>
      <c r="I300">
        <v>-0.03481693307590938</v>
      </c>
      <c r="J300" t="s">
        <v>781</v>
      </c>
      <c r="K300" t="s">
        <v>529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0.4143571214747671</v>
      </c>
      <c r="R300" t="s">
        <v>784</v>
      </c>
      <c r="S300" t="s">
        <v>791</v>
      </c>
      <c r="T300">
        <v>67988.957503</v>
      </c>
      <c r="U300" s="2">
        <v>44496</v>
      </c>
      <c r="V300" t="s">
        <v>803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73.23999999999999</v>
      </c>
      <c r="D301">
        <v>55</v>
      </c>
      <c r="E301">
        <v>1.331636363636364</v>
      </c>
      <c r="F301">
        <v>0.02348443473511742</v>
      </c>
      <c r="G301">
        <v>-0.05567199183706595</v>
      </c>
      <c r="H301">
        <v>-0.02</v>
      </c>
      <c r="I301">
        <v>-0.0436742446630547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0.118369178699095</v>
      </c>
      <c r="R301" t="s">
        <v>784</v>
      </c>
      <c r="S301" t="s">
        <v>793</v>
      </c>
      <c r="T301">
        <v>3870.631746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118.64</v>
      </c>
      <c r="D302">
        <v>54</v>
      </c>
      <c r="E302">
        <v>2.197037037037037</v>
      </c>
      <c r="F302">
        <v>0.009440323668240054</v>
      </c>
      <c r="G302">
        <v>-0.1456564906134555</v>
      </c>
      <c r="H302">
        <v>0.09</v>
      </c>
      <c r="I302">
        <v>-0.05272894444042664</v>
      </c>
      <c r="J302" t="s">
        <v>781</v>
      </c>
      <c r="K302" t="s">
        <v>529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0.21171462425716</v>
      </c>
      <c r="R302" t="s">
        <v>784</v>
      </c>
      <c r="S302" t="s">
        <v>791</v>
      </c>
      <c r="T302">
        <v>21593.951322</v>
      </c>
      <c r="U302" s="2">
        <v>44507</v>
      </c>
      <c r="V302" t="s">
        <v>802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232.81</v>
      </c>
      <c r="D303">
        <v>92</v>
      </c>
      <c r="E303">
        <v>2.53054347826087</v>
      </c>
      <c r="F303">
        <v>0.005583952579356557</v>
      </c>
      <c r="G303">
        <v>-0.1694663380845043</v>
      </c>
      <c r="H303">
        <v>0.12</v>
      </c>
      <c r="I303">
        <v>-0.06024011658071482</v>
      </c>
      <c r="J303" t="s">
        <v>781</v>
      </c>
      <c r="K303" t="s">
        <v>529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0.4386125645525311</v>
      </c>
      <c r="R303" t="s">
        <v>784</v>
      </c>
      <c r="S303" t="s">
        <v>789</v>
      </c>
      <c r="T303">
        <v>109803.04077</v>
      </c>
      <c r="U303" s="2">
        <v>44509</v>
      </c>
      <c r="V303" t="s">
        <v>810</v>
      </c>
    </row>
    <row r="304" spans="1:22">
      <c r="A304" s="1" t="s">
        <v>324</v>
      </c>
      <c r="B304">
        <f>HYPERLINK("https://www.suredividend.com/sure-analysis-LLY/","Lilly(Eli) &amp; Co")</f>
        <v>0</v>
      </c>
      <c r="C304">
        <v>279.04</v>
      </c>
      <c r="D304">
        <v>140</v>
      </c>
      <c r="E304">
        <v>1.993142857142857</v>
      </c>
      <c r="F304">
        <v>0.01404816513761468</v>
      </c>
      <c r="G304">
        <v>-0.1288512566408433</v>
      </c>
      <c r="H304">
        <v>0.04</v>
      </c>
      <c r="I304">
        <v>-0.07225393677507508</v>
      </c>
      <c r="J304" t="s">
        <v>781</v>
      </c>
      <c r="K304" t="s">
        <v>529</v>
      </c>
      <c r="L304">
        <v>8</v>
      </c>
      <c r="M304">
        <v>3.92</v>
      </c>
      <c r="N304">
        <v>0.49</v>
      </c>
      <c r="O304">
        <v>8</v>
      </c>
      <c r="P304">
        <v>0.03025579475561258</v>
      </c>
      <c r="Q304">
        <v>0.6690676794575161</v>
      </c>
      <c r="R304" t="s">
        <v>784</v>
      </c>
      <c r="S304" t="s">
        <v>789</v>
      </c>
      <c r="T304">
        <v>263330.753945</v>
      </c>
      <c r="U304" s="2">
        <v>44496</v>
      </c>
      <c r="V304" t="s">
        <v>800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4.39</v>
      </c>
      <c r="D305">
        <v>12</v>
      </c>
      <c r="E305">
        <v>0.3658333333333333</v>
      </c>
      <c r="F305">
        <v>0.009111617312072894</v>
      </c>
      <c r="G305">
        <v>0.2227659742361097</v>
      </c>
      <c r="H305">
        <v>0</v>
      </c>
      <c r="I305">
        <v>0.2695821517636858</v>
      </c>
      <c r="J305" t="s">
        <v>352</v>
      </c>
      <c r="K305" t="s">
        <v>529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-0.683432230646362</v>
      </c>
      <c r="R305" t="s">
        <v>785</v>
      </c>
      <c r="S305" t="s">
        <v>797</v>
      </c>
      <c r="T305">
        <v>146.121364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4.38</v>
      </c>
      <c r="D306">
        <v>9.17</v>
      </c>
      <c r="E306">
        <v>0.4776444929116685</v>
      </c>
      <c r="F306">
        <v>0.0410958904109589</v>
      </c>
      <c r="G306">
        <v>0.1592551796409285</v>
      </c>
      <c r="H306">
        <v>0.04</v>
      </c>
      <c r="I306">
        <v>0.2268409400500686</v>
      </c>
      <c r="J306" t="s">
        <v>352</v>
      </c>
      <c r="K306" t="s">
        <v>781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-0.236760124610591</v>
      </c>
      <c r="R306" t="s">
        <v>784</v>
      </c>
      <c r="S306" t="s">
        <v>790</v>
      </c>
      <c r="T306">
        <v>1480.238762</v>
      </c>
      <c r="U306" s="2">
        <v>44384</v>
      </c>
      <c r="V306" t="s">
        <v>800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80.23999999999999</v>
      </c>
      <c r="D307">
        <v>130</v>
      </c>
      <c r="E307">
        <v>0.6172307692307691</v>
      </c>
      <c r="F307">
        <v>0.02193419740777667</v>
      </c>
      <c r="G307">
        <v>0.1013122918669001</v>
      </c>
      <c r="H307">
        <v>0.09</v>
      </c>
      <c r="I307">
        <v>0.2138187458336536</v>
      </c>
      <c r="J307" t="s">
        <v>352</v>
      </c>
      <c r="K307" t="s">
        <v>529</v>
      </c>
      <c r="L307">
        <v>7.2</v>
      </c>
      <c r="M307">
        <v>1.76</v>
      </c>
      <c r="N307">
        <v>0.2444444444444444</v>
      </c>
      <c r="O307">
        <v>1</v>
      </c>
      <c r="P307">
        <v>0.08773831161894674</v>
      </c>
      <c r="Q307">
        <v>-0.06372319125525301</v>
      </c>
      <c r="R307" t="s">
        <v>784</v>
      </c>
      <c r="S307" t="s">
        <v>792</v>
      </c>
      <c r="T307">
        <v>1745.159631</v>
      </c>
      <c r="U307" s="2">
        <v>44524</v>
      </c>
      <c r="V307" t="s">
        <v>807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99.91</v>
      </c>
      <c r="D308">
        <v>158.96</v>
      </c>
      <c r="E308">
        <v>0.628522898842476</v>
      </c>
      <c r="F308">
        <v>0.01751576418776899</v>
      </c>
      <c r="G308">
        <v>0.09732627679272876</v>
      </c>
      <c r="H308">
        <v>0.075</v>
      </c>
      <c r="I308">
        <v>0.1911914094941314</v>
      </c>
      <c r="J308" t="s">
        <v>352</v>
      </c>
      <c r="K308" t="s">
        <v>529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1.030696802097487</v>
      </c>
      <c r="R308" t="s">
        <v>784</v>
      </c>
      <c r="S308" t="s">
        <v>792</v>
      </c>
      <c r="T308">
        <v>6675.411509</v>
      </c>
      <c r="U308" s="2">
        <v>44439</v>
      </c>
      <c r="V308" t="s">
        <v>806</v>
      </c>
    </row>
    <row r="309" spans="1:22">
      <c r="A309" s="1" t="s">
        <v>329</v>
      </c>
      <c r="B309">
        <f>HYPERLINK("https://www.suredividend.com/sure-analysis-VTRS/","Viatris Inc")</f>
        <v>0</v>
      </c>
      <c r="C309">
        <v>13.02</v>
      </c>
      <c r="D309">
        <v>26.6</v>
      </c>
      <c r="E309">
        <v>0.4894736842105263</v>
      </c>
      <c r="F309">
        <v>0.01689708141321045</v>
      </c>
      <c r="G309">
        <v>0.1535970332363585</v>
      </c>
      <c r="H309">
        <v>0.02</v>
      </c>
      <c r="I309">
        <v>0.1858153191496679</v>
      </c>
      <c r="J309" t="s">
        <v>352</v>
      </c>
      <c r="K309" t="s">
        <v>529</v>
      </c>
      <c r="L309">
        <v>3.8</v>
      </c>
      <c r="M309">
        <v>0.22</v>
      </c>
      <c r="N309">
        <v>0.05789473684210526</v>
      </c>
      <c r="O309">
        <v>0</v>
      </c>
      <c r="P309">
        <v>0.01755457717558762</v>
      </c>
      <c r="Q309">
        <v>-0.267578970454978</v>
      </c>
      <c r="R309" t="s">
        <v>784</v>
      </c>
      <c r="S309" t="s">
        <v>789</v>
      </c>
      <c r="T309">
        <v>15347.202449</v>
      </c>
      <c r="U309" s="2">
        <v>44515</v>
      </c>
      <c r="V309" t="s">
        <v>810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55.93</v>
      </c>
      <c r="D310">
        <v>81</v>
      </c>
      <c r="E310">
        <v>0.6904938271604938</v>
      </c>
      <c r="F310">
        <v>0.0464866797782943</v>
      </c>
      <c r="G310">
        <v>0.07688180680595069</v>
      </c>
      <c r="H310">
        <v>0.05</v>
      </c>
      <c r="I310">
        <v>0.1637566268683417</v>
      </c>
      <c r="J310" t="s">
        <v>352</v>
      </c>
      <c r="K310" t="s">
        <v>781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0.201199919777767</v>
      </c>
      <c r="R310" t="s">
        <v>784</v>
      </c>
      <c r="S310" t="s">
        <v>791</v>
      </c>
      <c r="T310">
        <v>3759.233311</v>
      </c>
      <c r="U310" s="2">
        <v>44497</v>
      </c>
      <c r="V310" t="s">
        <v>799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45.14</v>
      </c>
      <c r="D311">
        <v>60</v>
      </c>
      <c r="E311">
        <v>0.7523333333333333</v>
      </c>
      <c r="F311">
        <v>0.09193619849357555</v>
      </c>
      <c r="G311">
        <v>0.05856599590561218</v>
      </c>
      <c r="H311">
        <v>0.03</v>
      </c>
      <c r="I311">
        <v>0.1517654612220811</v>
      </c>
      <c r="J311" t="s">
        <v>352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0.07320012430523101</v>
      </c>
      <c r="R311" t="s">
        <v>785</v>
      </c>
      <c r="S311" t="s">
        <v>797</v>
      </c>
      <c r="T311">
        <v>9656.262567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HYPERLINK("https://www.suredividend.com/sure-analysis-FL/","Foot Locker Inc")</f>
        <v>0</v>
      </c>
      <c r="C312">
        <v>42.15</v>
      </c>
      <c r="D312">
        <v>84</v>
      </c>
      <c r="E312">
        <v>0.5017857142857143</v>
      </c>
      <c r="F312">
        <v>0.02846975088967971</v>
      </c>
      <c r="G312">
        <v>0.147879609792082</v>
      </c>
      <c r="H312">
        <v>-0.02</v>
      </c>
      <c r="I312">
        <v>0.1512073210098841</v>
      </c>
      <c r="J312" t="s">
        <v>352</v>
      </c>
      <c r="K312" t="s">
        <v>352</v>
      </c>
      <c r="L312">
        <v>7.6</v>
      </c>
      <c r="M312">
        <v>1.2</v>
      </c>
      <c r="N312">
        <v>0.1578947368421053</v>
      </c>
      <c r="O312">
        <v>1</v>
      </c>
      <c r="P312">
        <v>0.1496540121887568</v>
      </c>
      <c r="Q312">
        <v>0.030679400147963</v>
      </c>
      <c r="R312" t="s">
        <v>784</v>
      </c>
      <c r="S312" t="s">
        <v>792</v>
      </c>
      <c r="T312">
        <v>4292.75912</v>
      </c>
      <c r="U312" s="2">
        <v>44535</v>
      </c>
      <c r="V312" t="s">
        <v>804</v>
      </c>
    </row>
    <row r="313" spans="1:22">
      <c r="A313" s="1" t="s">
        <v>333</v>
      </c>
      <c r="B313">
        <f>HYPERLINK("https://www.suredividend.com/sure-analysis-MDC/","M.D.C. Holdings, Inc.")</f>
        <v>0</v>
      </c>
      <c r="C313">
        <v>54.19</v>
      </c>
      <c r="D313">
        <v>65</v>
      </c>
      <c r="E313">
        <v>0.8336923076923076</v>
      </c>
      <c r="F313">
        <v>0.03690717844620779</v>
      </c>
      <c r="G313">
        <v>0.03704795905729785</v>
      </c>
      <c r="H313">
        <v>0.08</v>
      </c>
      <c r="I313">
        <v>0.1482779907754985</v>
      </c>
      <c r="J313" t="s">
        <v>352</v>
      </c>
      <c r="K313" t="s">
        <v>781</v>
      </c>
      <c r="L313">
        <v>8.09</v>
      </c>
      <c r="M313">
        <v>2</v>
      </c>
      <c r="N313">
        <v>0.2472187886279357</v>
      </c>
      <c r="O313">
        <v>6</v>
      </c>
      <c r="P313">
        <v>0.08009875865888949</v>
      </c>
      <c r="Q313">
        <v>0.253801455414358</v>
      </c>
      <c r="R313" t="s">
        <v>784</v>
      </c>
      <c r="S313" t="s">
        <v>793</v>
      </c>
      <c r="T313">
        <v>3916.344889</v>
      </c>
      <c r="U313" s="2">
        <v>44502</v>
      </c>
      <c r="V313" t="s">
        <v>799</v>
      </c>
    </row>
    <row r="314" spans="1:22">
      <c r="A314" s="1" t="s">
        <v>334</v>
      </c>
      <c r="B314">
        <f>HYPERLINK("https://www.suredividend.com/sure-analysis-THO/","Thor Industries, Inc.")</f>
        <v>0</v>
      </c>
      <c r="C314">
        <v>98.68000000000001</v>
      </c>
      <c r="D314">
        <v>144</v>
      </c>
      <c r="E314">
        <v>0.6852777777777779</v>
      </c>
      <c r="F314">
        <v>0.01743007701661937</v>
      </c>
      <c r="G314">
        <v>0.07851619351423311</v>
      </c>
      <c r="H314">
        <v>0.05</v>
      </c>
      <c r="I314">
        <v>0.1439597638025321</v>
      </c>
      <c r="J314" t="s">
        <v>352</v>
      </c>
      <c r="K314" t="s">
        <v>529</v>
      </c>
      <c r="L314">
        <v>12.5</v>
      </c>
      <c r="M314">
        <v>1.72</v>
      </c>
      <c r="N314">
        <v>0.1376</v>
      </c>
      <c r="O314">
        <v>11</v>
      </c>
      <c r="P314">
        <v>0.03471404488278096</v>
      </c>
      <c r="Q314">
        <v>0.05983483553945401</v>
      </c>
      <c r="R314" t="s">
        <v>784</v>
      </c>
      <c r="S314" t="s">
        <v>792</v>
      </c>
      <c r="T314">
        <v>5652.513135</v>
      </c>
      <c r="U314" s="2">
        <v>44491</v>
      </c>
      <c r="V314" t="s">
        <v>806</v>
      </c>
    </row>
    <row r="315" spans="1:22">
      <c r="A315" s="1" t="s">
        <v>335</v>
      </c>
      <c r="B315">
        <f>HYPERLINK("https://www.suredividend.com/sure-analysis-LYB/","LyondellBasell Industries NV")</f>
        <v>0</v>
      </c>
      <c r="C315">
        <v>89.11</v>
      </c>
      <c r="D315">
        <v>190</v>
      </c>
      <c r="E315">
        <v>0.469</v>
      </c>
      <c r="F315">
        <v>0.0507238244865896</v>
      </c>
      <c r="G315">
        <v>0.1634974383795105</v>
      </c>
      <c r="H315">
        <v>-0.05</v>
      </c>
      <c r="I315">
        <v>0.1432458727094503</v>
      </c>
      <c r="J315" t="s">
        <v>352</v>
      </c>
      <c r="K315" t="s">
        <v>781</v>
      </c>
      <c r="L315">
        <v>19</v>
      </c>
      <c r="M315">
        <v>4.52</v>
      </c>
      <c r="N315">
        <v>0.2378947368421052</v>
      </c>
      <c r="O315">
        <v>10</v>
      </c>
      <c r="P315">
        <v>0.06004276922950136</v>
      </c>
      <c r="Q315">
        <v>0.008457884370293</v>
      </c>
      <c r="R315" t="s">
        <v>784</v>
      </c>
      <c r="S315" t="s">
        <v>794</v>
      </c>
      <c r="T315">
        <v>28965.514486</v>
      </c>
      <c r="U315" s="2">
        <v>44502</v>
      </c>
      <c r="V315" t="s">
        <v>799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47.36</v>
      </c>
      <c r="D316">
        <v>68</v>
      </c>
      <c r="E316">
        <v>0.6964705882352941</v>
      </c>
      <c r="F316">
        <v>0.02111486486486486</v>
      </c>
      <c r="G316">
        <v>0.07502717778452261</v>
      </c>
      <c r="H316">
        <v>0.04</v>
      </c>
      <c r="I316">
        <v>0.1356133197418392</v>
      </c>
      <c r="J316" t="s">
        <v>352</v>
      </c>
      <c r="K316" t="s">
        <v>529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0.412071677986263</v>
      </c>
      <c r="R316" t="s">
        <v>784</v>
      </c>
      <c r="S316" t="s">
        <v>793</v>
      </c>
      <c r="T316">
        <v>16573.88096</v>
      </c>
      <c r="U316" s="2">
        <v>44498</v>
      </c>
      <c r="V316" t="s">
        <v>802</v>
      </c>
    </row>
    <row r="317" spans="1:22">
      <c r="A317" s="1" t="s">
        <v>337</v>
      </c>
      <c r="B317">
        <f>HYPERLINK("https://www.suredividend.com/sure-analysis-SVC/","Service Properties Trust")</f>
        <v>0</v>
      </c>
      <c r="C317">
        <v>8.300000000000001</v>
      </c>
      <c r="D317">
        <v>14</v>
      </c>
      <c r="E317">
        <v>0.5928571428571429</v>
      </c>
      <c r="F317">
        <v>0.004819277108433734</v>
      </c>
      <c r="G317">
        <v>0.1102224081572418</v>
      </c>
      <c r="H317">
        <v>0.02</v>
      </c>
      <c r="I317">
        <v>0.1353423027585929</v>
      </c>
      <c r="J317" t="s">
        <v>352</v>
      </c>
      <c r="K317" t="s">
        <v>782</v>
      </c>
      <c r="L317">
        <v>0.3</v>
      </c>
      <c r="M317">
        <v>0.04</v>
      </c>
      <c r="N317">
        <v>0.1333333333333333</v>
      </c>
      <c r="O317">
        <v>0</v>
      </c>
      <c r="P317">
        <v>0</v>
      </c>
      <c r="Q317">
        <v>-0.293271407253399</v>
      </c>
      <c r="R317" t="s">
        <v>786</v>
      </c>
      <c r="S317" t="s">
        <v>798</v>
      </c>
      <c r="T317">
        <v>1391.728367</v>
      </c>
      <c r="U317" s="2">
        <v>44512</v>
      </c>
      <c r="V317" t="s">
        <v>802</v>
      </c>
    </row>
    <row r="318" spans="1:22">
      <c r="A318" s="1" t="s">
        <v>338</v>
      </c>
      <c r="B318">
        <f>HYPERLINK("https://www.suredividend.com/sure-analysis-RLJ/","RLJ Lodging Trust")</f>
        <v>0</v>
      </c>
      <c r="C318">
        <v>12.41</v>
      </c>
      <c r="D318">
        <v>18.7</v>
      </c>
      <c r="E318">
        <v>0.6636363636363637</v>
      </c>
      <c r="F318">
        <v>0.0032232070910556</v>
      </c>
      <c r="G318">
        <v>0.08546035239433936</v>
      </c>
      <c r="H318">
        <v>0.01</v>
      </c>
      <c r="I318">
        <v>0.122683099733303</v>
      </c>
      <c r="J318" t="s">
        <v>352</v>
      </c>
      <c r="K318" t="s">
        <v>782</v>
      </c>
      <c r="L318">
        <v>0.2</v>
      </c>
      <c r="M318">
        <v>0.04</v>
      </c>
      <c r="N318">
        <v>0.2</v>
      </c>
      <c r="O318">
        <v>0</v>
      </c>
      <c r="P318">
        <v>1</v>
      </c>
      <c r="Q318">
        <v>-0.096003688016826</v>
      </c>
      <c r="R318" t="s">
        <v>786</v>
      </c>
      <c r="S318" t="s">
        <v>798</v>
      </c>
      <c r="T318">
        <v>2090.576264</v>
      </c>
      <c r="U318" s="2">
        <v>44526</v>
      </c>
      <c r="V318" t="s">
        <v>807</v>
      </c>
    </row>
    <row r="319" spans="1:22">
      <c r="A319" s="1" t="s">
        <v>339</v>
      </c>
      <c r="B319">
        <f>HYPERLINK("https://www.suredividend.com/sure-analysis-TFC/","Truist Financial Corporation")</f>
        <v>0</v>
      </c>
      <c r="C319">
        <v>59.18</v>
      </c>
      <c r="D319">
        <v>70</v>
      </c>
      <c r="E319">
        <v>0.8454285714285714</v>
      </c>
      <c r="F319">
        <v>0.03244339303818858</v>
      </c>
      <c r="G319">
        <v>0.03415257064389832</v>
      </c>
      <c r="H319">
        <v>0.06</v>
      </c>
      <c r="I319">
        <v>0.1211120082376842</v>
      </c>
      <c r="J319" t="s">
        <v>352</v>
      </c>
      <c r="K319" t="s">
        <v>352</v>
      </c>
      <c r="L319">
        <v>5.38</v>
      </c>
      <c r="M319">
        <v>1.92</v>
      </c>
      <c r="N319">
        <v>0.3568773234200743</v>
      </c>
      <c r="O319">
        <v>10</v>
      </c>
      <c r="P319">
        <v>0.04996052445273014</v>
      </c>
      <c r="Q319">
        <v>0.293912843692147</v>
      </c>
      <c r="R319" t="s">
        <v>784</v>
      </c>
      <c r="S319" t="s">
        <v>793</v>
      </c>
      <c r="T319">
        <v>78184.596678</v>
      </c>
      <c r="U319" s="2">
        <v>44493</v>
      </c>
      <c r="V319" t="s">
        <v>806</v>
      </c>
    </row>
    <row r="320" spans="1:22">
      <c r="A320" s="1" t="s">
        <v>340</v>
      </c>
      <c r="B320">
        <f>HYPERLINK("https://www.suredividend.com/sure-analysis-MCHP/","Microchip Technology, Inc.")</f>
        <v>0</v>
      </c>
      <c r="C320">
        <v>84.53</v>
      </c>
      <c r="D320">
        <v>81</v>
      </c>
      <c r="E320">
        <v>1.04358024691358</v>
      </c>
      <c r="F320">
        <v>0.01100201112031232</v>
      </c>
      <c r="G320">
        <v>-0.008495179544708353</v>
      </c>
      <c r="H320">
        <v>0.12</v>
      </c>
      <c r="I320">
        <v>0.1205988975796399</v>
      </c>
      <c r="J320" t="s">
        <v>352</v>
      </c>
      <c r="K320" t="s">
        <v>529</v>
      </c>
      <c r="L320">
        <v>4.5</v>
      </c>
      <c r="M320">
        <v>0.93</v>
      </c>
      <c r="N320">
        <v>0.2066666666666667</v>
      </c>
      <c r="O320">
        <v>19</v>
      </c>
      <c r="P320">
        <v>0.1201396745310872</v>
      </c>
      <c r="Q320">
        <v>1.519886298512252</v>
      </c>
      <c r="R320" t="s">
        <v>784</v>
      </c>
      <c r="S320" t="s">
        <v>790</v>
      </c>
      <c r="T320">
        <v>48795.330413</v>
      </c>
      <c r="U320" s="2">
        <v>44513</v>
      </c>
      <c r="V320" t="s">
        <v>799</v>
      </c>
    </row>
    <row r="321" spans="1:22">
      <c r="A321" s="1" t="s">
        <v>341</v>
      </c>
      <c r="B321">
        <f>HYPERLINK("https://www.suredividend.com/sure-analysis-DHI/","D.R. Horton Inc.")</f>
        <v>0</v>
      </c>
      <c r="C321">
        <v>104.47</v>
      </c>
      <c r="D321">
        <v>127</v>
      </c>
      <c r="E321">
        <v>0.8225984251968503</v>
      </c>
      <c r="F321">
        <v>0.00861491337225998</v>
      </c>
      <c r="G321">
        <v>0.03983019680688393</v>
      </c>
      <c r="H321">
        <v>0.07000000000000001</v>
      </c>
      <c r="I321">
        <v>0.1200702191318728</v>
      </c>
      <c r="J321" t="s">
        <v>352</v>
      </c>
      <c r="K321" t="s">
        <v>529</v>
      </c>
      <c r="L321">
        <v>13.35</v>
      </c>
      <c r="M321">
        <v>0.9</v>
      </c>
      <c r="N321">
        <v>0.06741573033707865</v>
      </c>
      <c r="O321">
        <v>7</v>
      </c>
      <c r="P321">
        <v>0.100082101138866</v>
      </c>
      <c r="Q321">
        <v>0.522849119223896</v>
      </c>
      <c r="R321" t="s">
        <v>784</v>
      </c>
      <c r="S321" t="s">
        <v>792</v>
      </c>
      <c r="T321">
        <v>38280.573167</v>
      </c>
      <c r="U321" s="2">
        <v>44513</v>
      </c>
      <c r="V321" t="s">
        <v>806</v>
      </c>
    </row>
    <row r="322" spans="1:22">
      <c r="A322" s="1" t="s">
        <v>342</v>
      </c>
      <c r="B322">
        <f>HYPERLINK("https://www.suredividend.com/sure-analysis-TYCB/","Calvin b. Taylor Bankshares, Inc.")</f>
        <v>0</v>
      </c>
      <c r="C322">
        <v>37</v>
      </c>
      <c r="D322">
        <v>43</v>
      </c>
      <c r="E322">
        <v>0.8604651162790697</v>
      </c>
      <c r="F322">
        <v>0.03135135135135135</v>
      </c>
      <c r="G322">
        <v>0.03051269507716325</v>
      </c>
      <c r="H322">
        <v>0.06</v>
      </c>
      <c r="I322">
        <v>0.1182191388746834</v>
      </c>
      <c r="J322" t="s">
        <v>352</v>
      </c>
      <c r="K322" t="s">
        <v>781</v>
      </c>
      <c r="L322">
        <v>3.45</v>
      </c>
      <c r="M322">
        <v>1.16</v>
      </c>
      <c r="N322">
        <v>0.336231884057971</v>
      </c>
      <c r="O322">
        <v>30</v>
      </c>
      <c r="P322">
        <v>0.07039956279333892</v>
      </c>
      <c r="Q322">
        <v>0.05906733378367501</v>
      </c>
      <c r="R322" t="s">
        <v>784</v>
      </c>
      <c r="S322" t="s">
        <v>793</v>
      </c>
      <c r="T322">
        <v>102.14812</v>
      </c>
      <c r="U322" s="2">
        <v>44529</v>
      </c>
      <c r="V322" t="s">
        <v>802</v>
      </c>
    </row>
    <row r="323" spans="1:22">
      <c r="A323" s="1" t="s">
        <v>343</v>
      </c>
      <c r="B323">
        <f>HYPERLINK("https://www.suredividend.com/sure-analysis-BTI/","British American Tobacco Plc")</f>
        <v>0</v>
      </c>
      <c r="C323">
        <v>37.11</v>
      </c>
      <c r="D323">
        <v>42</v>
      </c>
      <c r="E323">
        <v>0.8835714285714286</v>
      </c>
      <c r="F323">
        <v>0.07814605227701428</v>
      </c>
      <c r="G323">
        <v>0.02506561855339395</v>
      </c>
      <c r="H323">
        <v>0.03</v>
      </c>
      <c r="I323">
        <v>0.1162425963103555</v>
      </c>
      <c r="J323" t="s">
        <v>352</v>
      </c>
      <c r="K323" t="s">
        <v>780</v>
      </c>
      <c r="L323">
        <v>4.4</v>
      </c>
      <c r="M323">
        <v>2.9</v>
      </c>
      <c r="N323">
        <v>0.6590909090909091</v>
      </c>
      <c r="O323">
        <v>2</v>
      </c>
      <c r="P323">
        <v>0.02493227484012395</v>
      </c>
      <c r="Q323">
        <v>0.010354088429207</v>
      </c>
      <c r="R323" t="s">
        <v>784</v>
      </c>
      <c r="S323" t="s">
        <v>795</v>
      </c>
      <c r="T323">
        <v>82354.18582</v>
      </c>
      <c r="U323" s="2">
        <v>44462</v>
      </c>
      <c r="V323" t="s">
        <v>802</v>
      </c>
    </row>
    <row r="324" spans="1:22">
      <c r="A324" s="1" t="s">
        <v>344</v>
      </c>
      <c r="B324">
        <f>HYPERLINK("https://www.suredividend.com/sure-analysis-FNF/","Fidelity National Financial Inc")</f>
        <v>0</v>
      </c>
      <c r="C324">
        <v>50.93</v>
      </c>
      <c r="D324">
        <v>75</v>
      </c>
      <c r="E324">
        <v>0.6790666666666667</v>
      </c>
      <c r="F324">
        <v>0.03455723542116631</v>
      </c>
      <c r="G324">
        <v>0.08048195316770324</v>
      </c>
      <c r="H324">
        <v>0.01</v>
      </c>
      <c r="I324">
        <v>0.1159849647785804</v>
      </c>
      <c r="J324" t="s">
        <v>352</v>
      </c>
      <c r="K324" t="s">
        <v>781</v>
      </c>
      <c r="L324">
        <v>7.5</v>
      </c>
      <c r="M324">
        <v>1.76</v>
      </c>
      <c r="N324">
        <v>0.2346666666666667</v>
      </c>
      <c r="O324">
        <v>11</v>
      </c>
      <c r="P324">
        <v>0.01966570441215199</v>
      </c>
      <c r="Q324">
        <v>0.377667682926829</v>
      </c>
      <c r="R324" t="s">
        <v>784</v>
      </c>
      <c r="S324" t="s">
        <v>793</v>
      </c>
      <c r="T324">
        <v>14400.15121</v>
      </c>
      <c r="U324" s="2">
        <v>44511</v>
      </c>
      <c r="V324" t="s">
        <v>803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49.29</v>
      </c>
      <c r="D325">
        <v>61</v>
      </c>
      <c r="E325">
        <v>0.8080327868852459</v>
      </c>
      <c r="F325">
        <v>0.03915601541894908</v>
      </c>
      <c r="G325">
        <v>0.04355226099501097</v>
      </c>
      <c r="H325">
        <v>0.04</v>
      </c>
      <c r="I325">
        <v>0.1153900590139574</v>
      </c>
      <c r="J325" t="s">
        <v>352</v>
      </c>
      <c r="K325" t="s">
        <v>781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0.105371252275764</v>
      </c>
      <c r="R325" t="s">
        <v>784</v>
      </c>
      <c r="S325" t="s">
        <v>789</v>
      </c>
      <c r="T325">
        <v>124574.495279</v>
      </c>
      <c r="U325" s="2">
        <v>44501</v>
      </c>
      <c r="V325" t="s">
        <v>800</v>
      </c>
    </row>
    <row r="326" spans="1:22">
      <c r="A326" s="1" t="s">
        <v>346</v>
      </c>
      <c r="B326">
        <f>HYPERLINK("https://www.suredividend.com/sure-analysis-M/","Macy`s Inc")</f>
        <v>0</v>
      </c>
      <c r="C326">
        <v>24.27</v>
      </c>
      <c r="D326">
        <v>37</v>
      </c>
      <c r="E326">
        <v>0.6559459459459459</v>
      </c>
      <c r="F326">
        <v>0.02472187886279357</v>
      </c>
      <c r="G326">
        <v>0.08799372241847281</v>
      </c>
      <c r="H326">
        <v>0.01</v>
      </c>
      <c r="I326">
        <v>0.1153281592115472</v>
      </c>
      <c r="J326" t="s">
        <v>352</v>
      </c>
      <c r="K326" t="s">
        <v>352</v>
      </c>
      <c r="L326">
        <v>4.65</v>
      </c>
      <c r="M326">
        <v>0.6</v>
      </c>
      <c r="N326">
        <v>0.1290322580645161</v>
      </c>
      <c r="O326">
        <v>0</v>
      </c>
      <c r="P326">
        <v>0</v>
      </c>
      <c r="Q326">
        <v>1.359545261568941</v>
      </c>
      <c r="R326" t="s">
        <v>784</v>
      </c>
      <c r="S326" t="s">
        <v>792</v>
      </c>
      <c r="T326">
        <v>7484.728094</v>
      </c>
      <c r="U326" s="2">
        <v>44519</v>
      </c>
      <c r="V326" t="s">
        <v>802</v>
      </c>
    </row>
    <row r="327" spans="1:22">
      <c r="A327" s="1" t="s">
        <v>347</v>
      </c>
      <c r="B327">
        <f>HYPERLINK("https://www.suredividend.com/sure-analysis-GWLIF/","Great-West Lifeco, Inc.")</f>
        <v>0</v>
      </c>
      <c r="C327">
        <v>29.74</v>
      </c>
      <c r="D327">
        <v>34</v>
      </c>
      <c r="E327">
        <v>0.8747058823529411</v>
      </c>
      <c r="F327">
        <v>0.05279085406859449</v>
      </c>
      <c r="G327">
        <v>0.02713514747775791</v>
      </c>
      <c r="H327">
        <v>0.045</v>
      </c>
      <c r="I327">
        <v>0.113704248561987</v>
      </c>
      <c r="J327" t="s">
        <v>352</v>
      </c>
      <c r="K327" t="s">
        <v>780</v>
      </c>
      <c r="L327">
        <v>2.8</v>
      </c>
      <c r="M327">
        <v>1.57</v>
      </c>
      <c r="N327">
        <v>0.5607142857142857</v>
      </c>
      <c r="O327">
        <v>6</v>
      </c>
      <c r="P327">
        <v>0.02999317534988744</v>
      </c>
      <c r="Q327">
        <v>0.264604810996563</v>
      </c>
      <c r="R327" t="s">
        <v>784</v>
      </c>
      <c r="S327" t="s">
        <v>793</v>
      </c>
      <c r="T327">
        <v>27393.477988</v>
      </c>
      <c r="U327" s="2">
        <v>44514</v>
      </c>
      <c r="V327" t="s">
        <v>806</v>
      </c>
    </row>
    <row r="328" spans="1:22">
      <c r="A328" s="1" t="s">
        <v>348</v>
      </c>
      <c r="B328">
        <f>HYPERLINK("https://www.suredividend.com/sure-analysis-TX/","Ternium S.A.")</f>
        <v>0</v>
      </c>
      <c r="C328">
        <v>43.31</v>
      </c>
      <c r="D328">
        <v>135</v>
      </c>
      <c r="E328">
        <v>0.3208148148148148</v>
      </c>
      <c r="F328">
        <v>0.04848764719464327</v>
      </c>
      <c r="G328">
        <v>0.2553045903898763</v>
      </c>
      <c r="H328">
        <v>-0.15</v>
      </c>
      <c r="I328">
        <v>0.1118686392816355</v>
      </c>
      <c r="J328" t="s">
        <v>352</v>
      </c>
      <c r="K328" t="s">
        <v>781</v>
      </c>
      <c r="L328">
        <v>18</v>
      </c>
      <c r="M328">
        <v>2.1</v>
      </c>
      <c r="N328">
        <v>0.1166666666666667</v>
      </c>
      <c r="O328">
        <v>1</v>
      </c>
      <c r="P328">
        <v>0.08992507843838271</v>
      </c>
      <c r="Q328">
        <v>0.49536647009267</v>
      </c>
      <c r="R328" t="s">
        <v>784</v>
      </c>
      <c r="S328" t="s">
        <v>794</v>
      </c>
      <c r="T328">
        <v>8540.207054</v>
      </c>
      <c r="U328" s="2">
        <v>44513</v>
      </c>
      <c r="V328" t="s">
        <v>806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68.3</v>
      </c>
      <c r="D329">
        <v>88</v>
      </c>
      <c r="E329">
        <v>0.7761363636363636</v>
      </c>
      <c r="F329">
        <v>0.05007320644216691</v>
      </c>
      <c r="G329">
        <v>0.0519918946497675</v>
      </c>
      <c r="H329">
        <v>0.02</v>
      </c>
      <c r="I329">
        <v>0.1104533710533024</v>
      </c>
      <c r="J329" t="s">
        <v>352</v>
      </c>
      <c r="K329" t="s">
        <v>780</v>
      </c>
      <c r="L329">
        <v>5.06</v>
      </c>
      <c r="M329">
        <v>3.42</v>
      </c>
      <c r="N329">
        <v>0.6758893280632411</v>
      </c>
      <c r="O329">
        <v>10</v>
      </c>
      <c r="P329">
        <v>0.02021836907521135</v>
      </c>
      <c r="Q329">
        <v>-0.117697346696651</v>
      </c>
      <c r="R329" t="s">
        <v>784</v>
      </c>
      <c r="S329" t="s">
        <v>796</v>
      </c>
      <c r="T329">
        <v>7624.305749</v>
      </c>
      <c r="U329" s="2">
        <v>44513</v>
      </c>
      <c r="V329" t="s">
        <v>801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4.69</v>
      </c>
      <c r="D330">
        <v>5.6</v>
      </c>
      <c r="E330">
        <v>0.8375000000000001</v>
      </c>
      <c r="F330">
        <v>0.03624733475479744</v>
      </c>
      <c r="G330">
        <v>0.03610325209611243</v>
      </c>
      <c r="H330">
        <v>0.04</v>
      </c>
      <c r="I330">
        <v>0.1096633799024975</v>
      </c>
      <c r="J330" t="s">
        <v>352</v>
      </c>
      <c r="K330" t="s">
        <v>352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0.299358758015524</v>
      </c>
      <c r="R330" t="s">
        <v>784</v>
      </c>
      <c r="S330" t="s">
        <v>793</v>
      </c>
      <c r="T330">
        <v>9725.741649</v>
      </c>
      <c r="U330" s="2">
        <v>44517</v>
      </c>
      <c r="V330" t="s">
        <v>807</v>
      </c>
    </row>
    <row r="331" spans="1:22">
      <c r="A331" s="1" t="s">
        <v>351</v>
      </c>
      <c r="B331">
        <f>HYPERLINK("https://www.suredividend.com/sure-analysis-LNC/","Lincoln National Corp.")</f>
        <v>0</v>
      </c>
      <c r="C331">
        <v>67.17</v>
      </c>
      <c r="D331">
        <v>76</v>
      </c>
      <c r="E331">
        <v>0.8838157894736842</v>
      </c>
      <c r="F331">
        <v>0.02679767753461367</v>
      </c>
      <c r="G331">
        <v>0.02500892944031352</v>
      </c>
      <c r="H331">
        <v>0.06</v>
      </c>
      <c r="I331">
        <v>0.1091810388040384</v>
      </c>
      <c r="J331" t="s">
        <v>352</v>
      </c>
      <c r="K331" t="s">
        <v>352</v>
      </c>
      <c r="L331">
        <v>8.960000000000001</v>
      </c>
      <c r="M331">
        <v>1.8</v>
      </c>
      <c r="N331">
        <v>0.2008928571428571</v>
      </c>
      <c r="O331">
        <v>11</v>
      </c>
      <c r="P331">
        <v>0.06961037572506878</v>
      </c>
      <c r="Q331">
        <v>0.369379226998899</v>
      </c>
      <c r="R331" t="s">
        <v>784</v>
      </c>
      <c r="S331" t="s">
        <v>793</v>
      </c>
      <c r="T331">
        <v>12121.938724</v>
      </c>
      <c r="U331" s="2">
        <v>44505</v>
      </c>
      <c r="V331" t="s">
        <v>806</v>
      </c>
    </row>
    <row r="332" spans="1:22">
      <c r="A332" s="1" t="s">
        <v>352</v>
      </c>
      <c r="B332">
        <f>HYPERLINK("https://www.suredividend.com/sure-analysis-C/","Citigroup Inc")</f>
        <v>0</v>
      </c>
      <c r="C332">
        <v>61.07</v>
      </c>
      <c r="D332">
        <v>105</v>
      </c>
      <c r="E332">
        <v>0.5816190476190476</v>
      </c>
      <c r="F332">
        <v>0.03340429015883412</v>
      </c>
      <c r="G332">
        <v>0.1144799912721322</v>
      </c>
      <c r="H332">
        <v>-0.03</v>
      </c>
      <c r="I332">
        <v>0.1088115395664579</v>
      </c>
      <c r="J332" t="s">
        <v>352</v>
      </c>
      <c r="K332" t="s">
        <v>781</v>
      </c>
      <c r="L332">
        <v>10.5</v>
      </c>
      <c r="M332">
        <v>2.04</v>
      </c>
      <c r="N332">
        <v>0.1942857142857143</v>
      </c>
      <c r="O332">
        <v>6</v>
      </c>
      <c r="P332">
        <v>0.06000153927394081</v>
      </c>
      <c r="Q332">
        <v>0.040380367483623</v>
      </c>
      <c r="R332" t="s">
        <v>784</v>
      </c>
      <c r="S332" t="s">
        <v>793</v>
      </c>
      <c r="T332">
        <v>122093.539424</v>
      </c>
      <c r="U332" s="2">
        <v>44485</v>
      </c>
      <c r="V332" t="s">
        <v>804</v>
      </c>
    </row>
    <row r="333" spans="1:22">
      <c r="A333" s="1" t="s">
        <v>353</v>
      </c>
      <c r="B333">
        <f>HYPERLINK("https://www.suredividend.com/sure-analysis-ALL/","Allstate Corp (The)")</f>
        <v>0</v>
      </c>
      <c r="C333">
        <v>115.82</v>
      </c>
      <c r="D333">
        <v>143</v>
      </c>
      <c r="E333">
        <v>0.8099300699300699</v>
      </c>
      <c r="F333">
        <v>0.02797444310136419</v>
      </c>
      <c r="G333">
        <v>0.04306289236990413</v>
      </c>
      <c r="H333">
        <v>0.04</v>
      </c>
      <c r="I333">
        <v>0.1072906582964572</v>
      </c>
      <c r="J333" t="s">
        <v>352</v>
      </c>
      <c r="K333" t="s">
        <v>352</v>
      </c>
      <c r="L333">
        <v>14.25</v>
      </c>
      <c r="M333">
        <v>3.24</v>
      </c>
      <c r="N333">
        <v>0.2273684210526316</v>
      </c>
      <c r="O333">
        <v>9</v>
      </c>
      <c r="P333">
        <v>0.05024607263868264</v>
      </c>
      <c r="Q333">
        <v>0.100212153312508</v>
      </c>
      <c r="R333" t="s">
        <v>784</v>
      </c>
      <c r="S333" t="s">
        <v>793</v>
      </c>
      <c r="T333">
        <v>32543.464174</v>
      </c>
      <c r="U333" s="2">
        <v>44505</v>
      </c>
      <c r="V333" t="s">
        <v>806</v>
      </c>
    </row>
    <row r="334" spans="1:22">
      <c r="A334" s="1" t="s">
        <v>354</v>
      </c>
      <c r="B334">
        <f>HYPERLINK("https://www.suredividend.com/sure-analysis-GLOP/","Gaslog Partners LP")</f>
        <v>0</v>
      </c>
      <c r="C334">
        <v>4.18</v>
      </c>
      <c r="D334">
        <v>5.25</v>
      </c>
      <c r="E334">
        <v>0.7961904761904761</v>
      </c>
      <c r="F334">
        <v>0.009569377990430623</v>
      </c>
      <c r="G334">
        <v>0.04663825503580488</v>
      </c>
      <c r="H334">
        <v>0.05</v>
      </c>
      <c r="I334">
        <v>0.107266566500714</v>
      </c>
      <c r="J334" t="s">
        <v>352</v>
      </c>
      <c r="K334" t="s">
        <v>529</v>
      </c>
      <c r="L334">
        <v>1.25</v>
      </c>
      <c r="M334">
        <v>0.04</v>
      </c>
      <c r="N334">
        <v>0.032</v>
      </c>
      <c r="O334">
        <v>0</v>
      </c>
      <c r="P334">
        <v>0.08447177119769855</v>
      </c>
      <c r="Q334">
        <v>0.22248678785063</v>
      </c>
      <c r="R334" t="s">
        <v>784</v>
      </c>
      <c r="S334" t="s">
        <v>797</v>
      </c>
      <c r="T334">
        <v>200.050039</v>
      </c>
      <c r="U334" s="2">
        <v>44498</v>
      </c>
      <c r="V334" t="s">
        <v>799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156.49</v>
      </c>
      <c r="D335">
        <v>174</v>
      </c>
      <c r="E335">
        <v>0.899367816091954</v>
      </c>
      <c r="F335">
        <v>0.01687008754553006</v>
      </c>
      <c r="G335">
        <v>0.02143922514478835</v>
      </c>
      <c r="H335">
        <v>0.07000000000000001</v>
      </c>
      <c r="I335">
        <v>0.1067106714602466</v>
      </c>
      <c r="J335" t="s">
        <v>352</v>
      </c>
      <c r="K335" t="s">
        <v>529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-0.168975952600378</v>
      </c>
      <c r="R335" t="s">
        <v>784</v>
      </c>
      <c r="S335" t="s">
        <v>794</v>
      </c>
      <c r="T335">
        <v>8624.053625</v>
      </c>
      <c r="U335" s="2">
        <v>44503</v>
      </c>
      <c r="V335" t="s">
        <v>799</v>
      </c>
    </row>
    <row r="336" spans="1:22">
      <c r="A336" s="1" t="s">
        <v>356</v>
      </c>
      <c r="B336">
        <f>HYPERLINK("https://www.suredividend.com/sure-analysis-DDAIF/","Daimler AG")</f>
        <v>0</v>
      </c>
      <c r="C336">
        <v>80.63</v>
      </c>
      <c r="D336">
        <v>113</v>
      </c>
      <c r="E336">
        <v>0.7135398230088495</v>
      </c>
      <c r="F336">
        <v>0.01971970730497334</v>
      </c>
      <c r="G336">
        <v>0.06983390344926899</v>
      </c>
      <c r="H336">
        <v>0.02</v>
      </c>
      <c r="I336">
        <v>0.1058257750219087</v>
      </c>
      <c r="J336" t="s">
        <v>352</v>
      </c>
      <c r="K336" t="s">
        <v>529</v>
      </c>
      <c r="L336">
        <v>14.1</v>
      </c>
      <c r="M336">
        <v>1.59</v>
      </c>
      <c r="N336">
        <v>0.1127659574468085</v>
      </c>
      <c r="O336">
        <v>1</v>
      </c>
      <c r="P336">
        <v>0.02512087219852699</v>
      </c>
      <c r="Q336">
        <v>0.147835926449787</v>
      </c>
      <c r="R336" t="s">
        <v>784</v>
      </c>
      <c r="S336" t="s">
        <v>792</v>
      </c>
      <c r="T336">
        <v>86819.44849900001</v>
      </c>
      <c r="U336" s="2">
        <v>44498</v>
      </c>
      <c r="V336" t="s">
        <v>802</v>
      </c>
    </row>
    <row r="337" spans="1:22">
      <c r="A337" s="1" t="s">
        <v>357</v>
      </c>
      <c r="B337">
        <f>HYPERLINK("https://www.suredividend.com/sure-analysis-DFS/","Discover Financial Services")</f>
        <v>0</v>
      </c>
      <c r="C337">
        <v>115.72</v>
      </c>
      <c r="D337">
        <v>154</v>
      </c>
      <c r="E337">
        <v>0.7514285714285714</v>
      </c>
      <c r="F337">
        <v>0.01728309713100588</v>
      </c>
      <c r="G337">
        <v>0.05882078772010413</v>
      </c>
      <c r="H337">
        <v>0.03</v>
      </c>
      <c r="I337">
        <v>0.104821627918555</v>
      </c>
      <c r="J337" t="s">
        <v>352</v>
      </c>
      <c r="K337" t="s">
        <v>529</v>
      </c>
      <c r="L337">
        <v>17.1</v>
      </c>
      <c r="M337">
        <v>2</v>
      </c>
      <c r="N337">
        <v>0.1169590643274854</v>
      </c>
      <c r="O337">
        <v>10</v>
      </c>
      <c r="P337">
        <v>0.0602809527753625</v>
      </c>
      <c r="Q337">
        <v>0.369601959058441</v>
      </c>
      <c r="R337" t="s">
        <v>784</v>
      </c>
      <c r="S337" t="s">
        <v>793</v>
      </c>
      <c r="T337">
        <v>33700.780952</v>
      </c>
      <c r="U337" s="2">
        <v>44499</v>
      </c>
      <c r="V337" t="s">
        <v>802</v>
      </c>
    </row>
    <row r="338" spans="1:22">
      <c r="A338" s="1" t="s">
        <v>358</v>
      </c>
      <c r="B338">
        <f>HYPERLINK("https://www.suredividend.com/sure-analysis-SYF/","Synchrony Financial")</f>
        <v>0</v>
      </c>
      <c r="C338">
        <v>47.62</v>
      </c>
      <c r="D338">
        <v>63</v>
      </c>
      <c r="E338">
        <v>0.7558730158730158</v>
      </c>
      <c r="F338">
        <v>0.01847963040739185</v>
      </c>
      <c r="G338">
        <v>0.05757270047201568</v>
      </c>
      <c r="H338">
        <v>0.03</v>
      </c>
      <c r="I338">
        <v>0.1045706393899348</v>
      </c>
      <c r="J338" t="s">
        <v>352</v>
      </c>
      <c r="K338" t="s">
        <v>529</v>
      </c>
      <c r="L338">
        <v>7</v>
      </c>
      <c r="M338">
        <v>0.88</v>
      </c>
      <c r="N338">
        <v>0.1257142857142857</v>
      </c>
      <c r="O338">
        <v>4</v>
      </c>
      <c r="P338">
        <v>0.06042477819475911</v>
      </c>
      <c r="Q338">
        <v>0.456772338786875</v>
      </c>
      <c r="R338" t="s">
        <v>784</v>
      </c>
      <c r="S338" t="s">
        <v>793</v>
      </c>
      <c r="T338">
        <v>25567.948749</v>
      </c>
      <c r="U338" s="2">
        <v>44500</v>
      </c>
      <c r="V338" t="s">
        <v>802</v>
      </c>
    </row>
    <row r="339" spans="1:22">
      <c r="A339" s="1" t="s">
        <v>359</v>
      </c>
      <c r="B339">
        <f>HYPERLINK("https://www.suredividend.com/sure-analysis-EQNR/","Equinor ASA")</f>
        <v>0</v>
      </c>
      <c r="C339">
        <v>26.7</v>
      </c>
      <c r="D339">
        <v>34.8</v>
      </c>
      <c r="E339">
        <v>0.7672413793103449</v>
      </c>
      <c r="F339">
        <v>0.02696629213483146</v>
      </c>
      <c r="G339">
        <v>0.05441990674192887</v>
      </c>
      <c r="H339">
        <v>0.02</v>
      </c>
      <c r="I339">
        <v>0.1035715068370295</v>
      </c>
      <c r="J339" t="s">
        <v>352</v>
      </c>
      <c r="K339" t="s">
        <v>529</v>
      </c>
      <c r="L339">
        <v>2.9</v>
      </c>
      <c r="M339">
        <v>0.72</v>
      </c>
      <c r="N339">
        <v>0.2482758620689655</v>
      </c>
      <c r="O339">
        <v>0</v>
      </c>
      <c r="P339">
        <v>0.1305865872992673</v>
      </c>
      <c r="Q339">
        <v>0.5834938635069481</v>
      </c>
      <c r="R339" t="s">
        <v>784</v>
      </c>
      <c r="S339" t="s">
        <v>797</v>
      </c>
      <c r="T339">
        <v>85155.956661</v>
      </c>
      <c r="U339" s="2">
        <v>44502</v>
      </c>
      <c r="V339" t="s">
        <v>799</v>
      </c>
    </row>
    <row r="340" spans="1:22">
      <c r="A340" s="1" t="s">
        <v>360</v>
      </c>
      <c r="B340">
        <f>HYPERLINK("https://www.suredividend.com/sure-analysis-MPLX/","MPLX LP")</f>
        <v>0</v>
      </c>
      <c r="C340">
        <v>28.76</v>
      </c>
      <c r="D340">
        <v>29</v>
      </c>
      <c r="E340">
        <v>0.9917241379310345</v>
      </c>
      <c r="F340">
        <v>0.09805285118219749</v>
      </c>
      <c r="G340">
        <v>0.001663441413036315</v>
      </c>
      <c r="H340">
        <v>0.02</v>
      </c>
      <c r="I340">
        <v>0.1031111178690716</v>
      </c>
      <c r="J340" t="s">
        <v>352</v>
      </c>
      <c r="K340" t="s">
        <v>780</v>
      </c>
      <c r="L340">
        <v>4.1</v>
      </c>
      <c r="M340">
        <v>2.82</v>
      </c>
      <c r="N340">
        <v>0.6878048780487805</v>
      </c>
      <c r="O340">
        <v>9</v>
      </c>
      <c r="P340">
        <v>0.01977005769334617</v>
      </c>
      <c r="Q340">
        <v>0.351312717396483</v>
      </c>
      <c r="R340" t="s">
        <v>785</v>
      </c>
      <c r="S340" t="s">
        <v>797</v>
      </c>
      <c r="T340">
        <v>28923.332774</v>
      </c>
      <c r="U340" s="2">
        <v>44509</v>
      </c>
      <c r="V340" t="s">
        <v>803</v>
      </c>
    </row>
    <row r="341" spans="1:22">
      <c r="A341" s="1" t="s">
        <v>361</v>
      </c>
      <c r="B341">
        <f>HYPERLINK("https://www.suredividend.com/sure-analysis-BASFY/","Basf SE")</f>
        <v>0</v>
      </c>
      <c r="C341">
        <v>17.02</v>
      </c>
      <c r="D341">
        <v>19.6</v>
      </c>
      <c r="E341">
        <v>0.8683673469387754</v>
      </c>
      <c r="F341">
        <v>0.05522914218566392</v>
      </c>
      <c r="G341">
        <v>0.02863027652497507</v>
      </c>
      <c r="H341">
        <v>0.03</v>
      </c>
      <c r="I341">
        <v>0.1029150156619596</v>
      </c>
      <c r="J341" t="s">
        <v>352</v>
      </c>
      <c r="K341" t="s">
        <v>780</v>
      </c>
      <c r="L341">
        <v>1.51</v>
      </c>
      <c r="M341">
        <v>0.9399999999999999</v>
      </c>
      <c r="N341">
        <v>0.6225165562913907</v>
      </c>
      <c r="O341">
        <v>0</v>
      </c>
      <c r="P341">
        <v>0.02431988176177757</v>
      </c>
      <c r="Q341">
        <v>-0.103512701563677</v>
      </c>
      <c r="R341" t="s">
        <v>784</v>
      </c>
      <c r="S341" t="s">
        <v>794</v>
      </c>
      <c r="T341">
        <v>62052.420567</v>
      </c>
      <c r="U341" s="2">
        <v>44497</v>
      </c>
      <c r="V341" t="s">
        <v>810</v>
      </c>
    </row>
    <row r="342" spans="1:22">
      <c r="A342" s="1" t="s">
        <v>362</v>
      </c>
      <c r="B342">
        <f>HYPERLINK("https://www.suredividend.com/sure-analysis-GPS/","Gap, Inc.")</f>
        <v>0</v>
      </c>
      <c r="C342">
        <v>16.47</v>
      </c>
      <c r="D342">
        <v>20</v>
      </c>
      <c r="E342">
        <v>0.8234999999999999</v>
      </c>
      <c r="F342">
        <v>0.02914389799635701</v>
      </c>
      <c r="G342">
        <v>0.03960241404516562</v>
      </c>
      <c r="H342">
        <v>0.04</v>
      </c>
      <c r="I342">
        <v>0.10171942924266</v>
      </c>
      <c r="J342" t="s">
        <v>352</v>
      </c>
      <c r="K342" t="s">
        <v>352</v>
      </c>
      <c r="L342">
        <v>2</v>
      </c>
      <c r="M342">
        <v>0.48</v>
      </c>
      <c r="N342">
        <v>0.24</v>
      </c>
      <c r="O342">
        <v>0</v>
      </c>
      <c r="P342">
        <v>0</v>
      </c>
      <c r="Q342">
        <v>-0.185646218861863</v>
      </c>
      <c r="R342" t="s">
        <v>784</v>
      </c>
      <c r="S342" t="s">
        <v>792</v>
      </c>
      <c r="T342">
        <v>6209.695948</v>
      </c>
      <c r="U342" s="2">
        <v>44528</v>
      </c>
      <c r="V342" t="s">
        <v>801</v>
      </c>
    </row>
    <row r="343" spans="1:22">
      <c r="A343" s="1" t="s">
        <v>363</v>
      </c>
      <c r="B343">
        <f>HYPERLINK("https://www.suredividend.com/sure-analysis-IVZ/","Invesco Ltd")</f>
        <v>0</v>
      </c>
      <c r="C343">
        <v>22.71</v>
      </c>
      <c r="D343">
        <v>30</v>
      </c>
      <c r="E343">
        <v>0.757</v>
      </c>
      <c r="F343">
        <v>0.02994275649493615</v>
      </c>
      <c r="G343">
        <v>0.05725762040896742</v>
      </c>
      <c r="H343">
        <v>0.02</v>
      </c>
      <c r="I343">
        <v>0.1012798473853214</v>
      </c>
      <c r="J343" t="s">
        <v>352</v>
      </c>
      <c r="K343" t="s">
        <v>352</v>
      </c>
      <c r="L343">
        <v>3</v>
      </c>
      <c r="M343">
        <v>0.68</v>
      </c>
      <c r="N343">
        <v>0.2266666666666667</v>
      </c>
      <c r="O343">
        <v>1</v>
      </c>
      <c r="P343">
        <v>0.02517111829582741</v>
      </c>
      <c r="Q343">
        <v>0.336297696782965</v>
      </c>
      <c r="R343" t="s">
        <v>784</v>
      </c>
      <c r="S343" t="s">
        <v>793</v>
      </c>
      <c r="T343">
        <v>10561.629239</v>
      </c>
      <c r="U343" s="2">
        <v>44505</v>
      </c>
      <c r="V343" t="s">
        <v>802</v>
      </c>
    </row>
    <row r="344" spans="1:22">
      <c r="A344" s="1" t="s">
        <v>364</v>
      </c>
      <c r="B344">
        <f>HYPERLINK("https://www.suredividend.com/sure-analysis-JBL/","Jabil Inc")</f>
        <v>0</v>
      </c>
      <c r="C344">
        <v>64.45</v>
      </c>
      <c r="D344">
        <v>73</v>
      </c>
      <c r="E344">
        <v>0.8828767123287672</v>
      </c>
      <c r="F344">
        <v>0.004965089216446858</v>
      </c>
      <c r="G344">
        <v>0.02522688811394413</v>
      </c>
      <c r="H344">
        <v>0.07000000000000001</v>
      </c>
      <c r="I344">
        <v>0.100952119488138</v>
      </c>
      <c r="J344" t="s">
        <v>352</v>
      </c>
      <c r="K344" t="s">
        <v>782</v>
      </c>
      <c r="L344">
        <v>6.35</v>
      </c>
      <c r="M344">
        <v>0.32</v>
      </c>
      <c r="N344">
        <v>0.05039370078740158</v>
      </c>
      <c r="O344">
        <v>0</v>
      </c>
      <c r="P344">
        <v>0.05081623913789235</v>
      </c>
      <c r="Q344">
        <v>0.546789284519011</v>
      </c>
      <c r="R344" t="s">
        <v>784</v>
      </c>
      <c r="S344" t="s">
        <v>790</v>
      </c>
      <c r="T344">
        <v>9141.904833000001</v>
      </c>
      <c r="U344" s="2">
        <v>44491</v>
      </c>
      <c r="V344" t="s">
        <v>806</v>
      </c>
    </row>
    <row r="345" spans="1:22">
      <c r="A345" s="1" t="s">
        <v>365</v>
      </c>
      <c r="B345">
        <f>HYPERLINK("https://www.suredividend.com/sure-analysis-NHI/","National Health Investors, Inc.")</f>
        <v>0</v>
      </c>
      <c r="C345">
        <v>55.71</v>
      </c>
      <c r="D345">
        <v>61</v>
      </c>
      <c r="E345">
        <v>0.9132786885245902</v>
      </c>
      <c r="F345">
        <v>0.06462035541195477</v>
      </c>
      <c r="G345">
        <v>0.018308421205393</v>
      </c>
      <c r="H345">
        <v>0.03</v>
      </c>
      <c r="I345">
        <v>0.09884683071321887</v>
      </c>
      <c r="J345" t="s">
        <v>352</v>
      </c>
      <c r="K345" t="s">
        <v>781</v>
      </c>
      <c r="L345">
        <v>4.78</v>
      </c>
      <c r="M345">
        <v>3.6</v>
      </c>
      <c r="N345">
        <v>0.7531380753138075</v>
      </c>
      <c r="O345">
        <v>0</v>
      </c>
      <c r="P345">
        <v>0.009805797673485328</v>
      </c>
      <c r="Q345">
        <v>-0.152603919593175</v>
      </c>
      <c r="R345" t="s">
        <v>786</v>
      </c>
      <c r="S345" t="s">
        <v>798</v>
      </c>
      <c r="T345">
        <v>2514.446849</v>
      </c>
      <c r="U345" s="2">
        <v>44513</v>
      </c>
      <c r="V345" t="s">
        <v>806</v>
      </c>
    </row>
    <row r="346" spans="1:22">
      <c r="A346" s="1" t="s">
        <v>366</v>
      </c>
      <c r="B346">
        <f>HYPERLINK("https://www.suredividend.com/sure-analysis-ROST/","Ross Stores, Inc.")</f>
        <v>0</v>
      </c>
      <c r="C346">
        <v>109.27</v>
      </c>
      <c r="D346">
        <v>90</v>
      </c>
      <c r="E346">
        <v>1.214111111111111</v>
      </c>
      <c r="F346">
        <v>0.01043287270064977</v>
      </c>
      <c r="G346">
        <v>-0.03805927116335805</v>
      </c>
      <c r="H346">
        <v>0.13</v>
      </c>
      <c r="I346">
        <v>0.09830115453517374</v>
      </c>
      <c r="J346" t="s">
        <v>352</v>
      </c>
      <c r="K346" t="s">
        <v>782</v>
      </c>
      <c r="L346">
        <v>4.8</v>
      </c>
      <c r="M346">
        <v>1.14</v>
      </c>
      <c r="N346">
        <v>0.2375</v>
      </c>
      <c r="O346">
        <v>0</v>
      </c>
      <c r="P346">
        <v>0.1486983549970351</v>
      </c>
      <c r="Q346">
        <v>-0.028334730738356</v>
      </c>
      <c r="R346" t="s">
        <v>784</v>
      </c>
      <c r="S346" t="s">
        <v>792</v>
      </c>
      <c r="T346">
        <v>38449.341763</v>
      </c>
      <c r="U346" s="2">
        <v>44522</v>
      </c>
      <c r="V346" t="s">
        <v>807</v>
      </c>
    </row>
    <row r="347" spans="1:22">
      <c r="A347" s="1" t="s">
        <v>367</v>
      </c>
      <c r="B347">
        <f>HYPERLINK("https://www.suredividend.com/sure-analysis-SJI/","South Jersey Industries Inc.")</f>
        <v>0</v>
      </c>
      <c r="C347">
        <v>25.19</v>
      </c>
      <c r="D347">
        <v>29</v>
      </c>
      <c r="E347">
        <v>0.8686206896551725</v>
      </c>
      <c r="F347">
        <v>0.04763795156808256</v>
      </c>
      <c r="G347">
        <v>0.0285702672714272</v>
      </c>
      <c r="H347">
        <v>0.03</v>
      </c>
      <c r="I347">
        <v>0.09802918130824567</v>
      </c>
      <c r="J347" t="s">
        <v>352</v>
      </c>
      <c r="K347" t="s">
        <v>780</v>
      </c>
      <c r="L347">
        <v>1.6</v>
      </c>
      <c r="M347">
        <v>1.2</v>
      </c>
      <c r="N347">
        <v>0.7499999999999999</v>
      </c>
      <c r="O347">
        <v>23</v>
      </c>
      <c r="P347">
        <v>0.03131030647754507</v>
      </c>
      <c r="Q347">
        <v>0.112074073418997</v>
      </c>
      <c r="R347" t="s">
        <v>784</v>
      </c>
      <c r="S347" t="s">
        <v>796</v>
      </c>
      <c r="T347">
        <v>2828.04454</v>
      </c>
      <c r="U347" s="2">
        <v>44517</v>
      </c>
      <c r="V347" t="s">
        <v>805</v>
      </c>
    </row>
    <row r="348" spans="1:22">
      <c r="A348" s="1" t="s">
        <v>368</v>
      </c>
      <c r="B348">
        <f>HYPERLINK("https://www.suredividend.com/sure-analysis-PHM/","PulteGroup Inc")</f>
        <v>0</v>
      </c>
      <c r="C348">
        <v>53.99</v>
      </c>
      <c r="D348">
        <v>61</v>
      </c>
      <c r="E348">
        <v>0.8850819672131148</v>
      </c>
      <c r="F348">
        <v>0.01111316910538989</v>
      </c>
      <c r="G348">
        <v>0.02471549067615286</v>
      </c>
      <c r="H348">
        <v>0.06</v>
      </c>
      <c r="I348">
        <v>0.09490002593526969</v>
      </c>
      <c r="J348" t="s">
        <v>352</v>
      </c>
      <c r="K348" t="s">
        <v>529</v>
      </c>
      <c r="L348">
        <v>7.13</v>
      </c>
      <c r="M348">
        <v>0.6</v>
      </c>
      <c r="N348">
        <v>0.08415147265077139</v>
      </c>
      <c r="O348">
        <v>4</v>
      </c>
      <c r="P348">
        <v>0.03424021252947318</v>
      </c>
      <c r="Q348">
        <v>0.318552452502794</v>
      </c>
      <c r="R348" t="s">
        <v>784</v>
      </c>
      <c r="S348" t="s">
        <v>792</v>
      </c>
      <c r="T348">
        <v>14006.231098</v>
      </c>
      <c r="U348" s="2">
        <v>44498</v>
      </c>
      <c r="V348" t="s">
        <v>806</v>
      </c>
    </row>
    <row r="349" spans="1:22">
      <c r="A349" s="1" t="s">
        <v>369</v>
      </c>
      <c r="B349">
        <f>HYPERLINK("https://www.suredividend.com/sure-analysis-UL/","Unilever plc")</f>
        <v>0</v>
      </c>
      <c r="C349">
        <v>53.3</v>
      </c>
      <c r="D349">
        <v>54</v>
      </c>
      <c r="E349">
        <v>0.9870370370370369</v>
      </c>
      <c r="F349">
        <v>0.03808630393996248</v>
      </c>
      <c r="G349">
        <v>0.002612950899675059</v>
      </c>
      <c r="H349">
        <v>0.06</v>
      </c>
      <c r="I349">
        <v>0.0939343078172743</v>
      </c>
      <c r="J349" t="s">
        <v>352</v>
      </c>
      <c r="K349" t="s">
        <v>781</v>
      </c>
      <c r="L349">
        <v>2.98</v>
      </c>
      <c r="M349">
        <v>2.03</v>
      </c>
      <c r="N349">
        <v>0.6812080536912751</v>
      </c>
      <c r="O349">
        <v>6</v>
      </c>
      <c r="P349">
        <v>0.03405357579605606</v>
      </c>
      <c r="Q349">
        <v>-0.06312776661748201</v>
      </c>
      <c r="R349" t="s">
        <v>784</v>
      </c>
      <c r="S349" t="s">
        <v>795</v>
      </c>
      <c r="T349">
        <v>135392.97319</v>
      </c>
      <c r="U349" s="2">
        <v>44516</v>
      </c>
      <c r="V349" t="s">
        <v>807</v>
      </c>
    </row>
    <row r="350" spans="1:22">
      <c r="A350" s="1" t="s">
        <v>370</v>
      </c>
      <c r="B350">
        <f>HYPERLINK("https://www.suredividend.com/sure-analysis-STN/","Stantec Inc")</f>
        <v>0</v>
      </c>
      <c r="C350">
        <v>54.94</v>
      </c>
      <c r="D350">
        <v>49</v>
      </c>
      <c r="E350">
        <v>1.121224489795918</v>
      </c>
      <c r="F350">
        <v>0.009646887513651257</v>
      </c>
      <c r="G350">
        <v>-0.02262441745875954</v>
      </c>
      <c r="H350">
        <v>0.11</v>
      </c>
      <c r="I350">
        <v>0.09308957449417243</v>
      </c>
      <c r="J350" t="s">
        <v>352</v>
      </c>
      <c r="K350" t="s">
        <v>782</v>
      </c>
      <c r="L350">
        <v>1.95</v>
      </c>
      <c r="M350">
        <v>0.53</v>
      </c>
      <c r="N350">
        <v>0.2717948717948718</v>
      </c>
      <c r="O350">
        <v>3</v>
      </c>
      <c r="P350">
        <v>0.06022122873100355</v>
      </c>
      <c r="Q350">
        <v>0.716308662043843</v>
      </c>
      <c r="R350" t="s">
        <v>784</v>
      </c>
      <c r="S350" t="s">
        <v>791</v>
      </c>
      <c r="T350">
        <v>6142.760931</v>
      </c>
      <c r="U350" s="2">
        <v>44511</v>
      </c>
      <c r="V350" t="s">
        <v>799</v>
      </c>
    </row>
    <row r="351" spans="1:22">
      <c r="A351" s="1" t="s">
        <v>371</v>
      </c>
      <c r="B351">
        <f>HYPERLINK("https://www.suredividend.com/sure-analysis-OGS/","ONE Gas Inc")</f>
        <v>0</v>
      </c>
      <c r="C351">
        <v>75.20999999999999</v>
      </c>
      <c r="D351">
        <v>77</v>
      </c>
      <c r="E351">
        <v>0.9767532467532467</v>
      </c>
      <c r="F351">
        <v>0.03084696184018083</v>
      </c>
      <c r="G351">
        <v>0.004715326531013142</v>
      </c>
      <c r="H351">
        <v>0.06</v>
      </c>
      <c r="I351">
        <v>0.09261573862107175</v>
      </c>
      <c r="J351" t="s">
        <v>352</v>
      </c>
      <c r="K351" t="s">
        <v>781</v>
      </c>
      <c r="L351">
        <v>3.85</v>
      </c>
      <c r="M351">
        <v>2.32</v>
      </c>
      <c r="N351">
        <v>0.6025974025974026</v>
      </c>
      <c r="O351">
        <v>7</v>
      </c>
      <c r="P351">
        <v>0.06509372738446295</v>
      </c>
      <c r="Q351">
        <v>-0.063321813253801</v>
      </c>
      <c r="R351" t="s">
        <v>784</v>
      </c>
      <c r="S351" t="s">
        <v>796</v>
      </c>
      <c r="T351">
        <v>3985.30297</v>
      </c>
      <c r="U351" s="2">
        <v>44502</v>
      </c>
      <c r="V351" t="s">
        <v>799</v>
      </c>
    </row>
    <row r="352" spans="1:22">
      <c r="A352" s="1" t="s">
        <v>372</v>
      </c>
      <c r="B352">
        <f>HYPERLINK("https://www.suredividend.com/sure-analysis-HPQ/","HP Inc")</f>
        <v>0</v>
      </c>
      <c r="C352">
        <v>36.7</v>
      </c>
      <c r="D352">
        <v>42</v>
      </c>
      <c r="E352">
        <v>0.8738095238095239</v>
      </c>
      <c r="F352">
        <v>0.02724795640326975</v>
      </c>
      <c r="G352">
        <v>0.02734578922426767</v>
      </c>
      <c r="H352">
        <v>0.04</v>
      </c>
      <c r="I352">
        <v>0.09235321129924956</v>
      </c>
      <c r="J352" t="s">
        <v>352</v>
      </c>
      <c r="K352" t="s">
        <v>352</v>
      </c>
      <c r="L352">
        <v>4.17</v>
      </c>
      <c r="M352">
        <v>1</v>
      </c>
      <c r="N352">
        <v>0.2398081534772182</v>
      </c>
      <c r="O352">
        <v>11</v>
      </c>
      <c r="P352">
        <v>0.0602809527753625</v>
      </c>
      <c r="Q352">
        <v>0.5595900162152621</v>
      </c>
      <c r="R352" t="s">
        <v>784</v>
      </c>
      <c r="S352" t="s">
        <v>790</v>
      </c>
      <c r="T352">
        <v>39259.519989</v>
      </c>
      <c r="U352" s="2">
        <v>44533</v>
      </c>
      <c r="V352" t="s">
        <v>802</v>
      </c>
    </row>
    <row r="353" spans="1:22">
      <c r="A353" s="1" t="s">
        <v>373</v>
      </c>
      <c r="B353">
        <f>HYPERLINK("https://www.suredividend.com/sure-analysis-SR/","Spire Inc.")</f>
        <v>0</v>
      </c>
      <c r="C353">
        <v>63.37</v>
      </c>
      <c r="D353">
        <v>63</v>
      </c>
      <c r="E353">
        <v>1.005873015873016</v>
      </c>
      <c r="F353">
        <v>0.04323812529588134</v>
      </c>
      <c r="G353">
        <v>-0.001170481839909199</v>
      </c>
      <c r="H353">
        <v>0.055</v>
      </c>
      <c r="I353">
        <v>0.09165293530431073</v>
      </c>
      <c r="J353" t="s">
        <v>352</v>
      </c>
      <c r="K353" t="s">
        <v>781</v>
      </c>
      <c r="L353">
        <v>3.96</v>
      </c>
      <c r="M353">
        <v>2.74</v>
      </c>
      <c r="N353">
        <v>0.6919191919191919</v>
      </c>
      <c r="O353">
        <v>19</v>
      </c>
      <c r="P353">
        <v>0.05017940304678881</v>
      </c>
      <c r="Q353">
        <v>-0.020809154116593</v>
      </c>
      <c r="R353" t="s">
        <v>784</v>
      </c>
      <c r="S353" t="s">
        <v>796</v>
      </c>
      <c r="T353">
        <v>3283.829678</v>
      </c>
      <c r="U353" s="2">
        <v>44527</v>
      </c>
      <c r="V353" t="s">
        <v>801</v>
      </c>
    </row>
    <row r="354" spans="1:22">
      <c r="A354" s="1" t="s">
        <v>374</v>
      </c>
      <c r="B354">
        <f>HYPERLINK("https://www.suredividend.com/sure-analysis-HPE/","Hewlett Packard Enterprise Co")</f>
        <v>0</v>
      </c>
      <c r="C354">
        <v>14.95</v>
      </c>
      <c r="D354">
        <v>15.23</v>
      </c>
      <c r="E354">
        <v>0.9816152330925804</v>
      </c>
      <c r="F354">
        <v>0.03210702341137124</v>
      </c>
      <c r="G354">
        <v>0.003718068344919168</v>
      </c>
      <c r="H354">
        <v>0.06</v>
      </c>
      <c r="I354">
        <v>0.09147725607713597</v>
      </c>
      <c r="J354" t="s">
        <v>352</v>
      </c>
      <c r="K354" t="s">
        <v>352</v>
      </c>
      <c r="L354">
        <v>2.03</v>
      </c>
      <c r="M354">
        <v>0.48</v>
      </c>
      <c r="N354">
        <v>0.2364532019704434</v>
      </c>
      <c r="O354">
        <v>0</v>
      </c>
      <c r="P354">
        <v>0.04910201101938982</v>
      </c>
      <c r="Q354">
        <v>0.25448484694267</v>
      </c>
      <c r="R354" t="s">
        <v>784</v>
      </c>
      <c r="S354" t="s">
        <v>790</v>
      </c>
      <c r="T354">
        <v>19129.976225</v>
      </c>
      <c r="U354" s="2">
        <v>44534</v>
      </c>
      <c r="V354" t="s">
        <v>799</v>
      </c>
    </row>
    <row r="355" spans="1:22">
      <c r="A355" s="1" t="s">
        <v>375</v>
      </c>
      <c r="B355">
        <f>HYPERLINK("https://www.suredividend.com/sure-analysis-PDCO/","Patterson Companies Inc.")</f>
        <v>0</v>
      </c>
      <c r="C355">
        <v>27.91</v>
      </c>
      <c r="D355">
        <v>31</v>
      </c>
      <c r="E355">
        <v>0.9003225806451612</v>
      </c>
      <c r="F355">
        <v>0.03726262988176281</v>
      </c>
      <c r="G355">
        <v>0.021222492179932</v>
      </c>
      <c r="H355">
        <v>0.04</v>
      </c>
      <c r="I355">
        <v>0.08986414644771012</v>
      </c>
      <c r="J355" t="s">
        <v>352</v>
      </c>
      <c r="K355" t="s">
        <v>781</v>
      </c>
      <c r="L355">
        <v>2.05</v>
      </c>
      <c r="M355">
        <v>1.04</v>
      </c>
      <c r="N355">
        <v>0.5073170731707317</v>
      </c>
      <c r="O355">
        <v>0</v>
      </c>
      <c r="P355">
        <v>0</v>
      </c>
      <c r="Q355">
        <v>-0.081354761996087</v>
      </c>
      <c r="R355" t="s">
        <v>784</v>
      </c>
      <c r="S355" t="s">
        <v>789</v>
      </c>
      <c r="T355">
        <v>2802.03504</v>
      </c>
      <c r="U355" s="2">
        <v>44545</v>
      </c>
      <c r="V355" t="s">
        <v>805</v>
      </c>
    </row>
    <row r="356" spans="1:22">
      <c r="A356" s="1" t="s">
        <v>376</v>
      </c>
      <c r="B356">
        <f>HYPERLINK("https://www.suredividend.com/sure-analysis-RCI/","Rogers Communications Inc.")</f>
        <v>0</v>
      </c>
      <c r="C356">
        <v>44.78</v>
      </c>
      <c r="D356">
        <v>47</v>
      </c>
      <c r="E356">
        <v>0.9527659574468086</v>
      </c>
      <c r="F356">
        <v>0.03573023671281823</v>
      </c>
      <c r="G356">
        <v>0.009724173597595032</v>
      </c>
      <c r="H356">
        <v>0.05</v>
      </c>
      <c r="I356">
        <v>0.08943349340804208</v>
      </c>
      <c r="J356" t="s">
        <v>352</v>
      </c>
      <c r="K356" t="s">
        <v>781</v>
      </c>
      <c r="L356">
        <v>3.1</v>
      </c>
      <c r="M356">
        <v>1.6</v>
      </c>
      <c r="N356">
        <v>0.5161290322580645</v>
      </c>
      <c r="O356">
        <v>0</v>
      </c>
      <c r="P356">
        <v>0.02946206823925857</v>
      </c>
      <c r="Q356">
        <v>-0.024962709484952</v>
      </c>
      <c r="R356" t="s">
        <v>784</v>
      </c>
      <c r="S356" t="s">
        <v>788</v>
      </c>
      <c r="T356">
        <v>17503.161266</v>
      </c>
      <c r="U356" s="2">
        <v>44496</v>
      </c>
      <c r="V356" t="s">
        <v>807</v>
      </c>
    </row>
    <row r="357" spans="1:22">
      <c r="A357" s="1" t="s">
        <v>377</v>
      </c>
      <c r="B357">
        <f>HYPERLINK("https://www.suredividend.com/sure-analysis-CC/","Chemours Company")</f>
        <v>0</v>
      </c>
      <c r="C357">
        <v>32.74</v>
      </c>
      <c r="D357">
        <v>39</v>
      </c>
      <c r="E357">
        <v>0.8394871794871795</v>
      </c>
      <c r="F357">
        <v>0.03054367745876603</v>
      </c>
      <c r="G357">
        <v>0.03561226773028547</v>
      </c>
      <c r="H357">
        <v>0.03</v>
      </c>
      <c r="I357">
        <v>0.08929429942186928</v>
      </c>
      <c r="J357" t="s">
        <v>352</v>
      </c>
      <c r="K357" t="s">
        <v>352</v>
      </c>
      <c r="L357">
        <v>3.93</v>
      </c>
      <c r="M357">
        <v>1</v>
      </c>
      <c r="N357">
        <v>0.2544529262086514</v>
      </c>
      <c r="O357">
        <v>0</v>
      </c>
      <c r="P357">
        <v>0</v>
      </c>
      <c r="Q357">
        <v>0.247722714677199</v>
      </c>
      <c r="R357" t="s">
        <v>784</v>
      </c>
      <c r="S357" t="s">
        <v>794</v>
      </c>
      <c r="T357">
        <v>5312.52358</v>
      </c>
      <c r="U357" s="2">
        <v>44505</v>
      </c>
      <c r="V357" t="s">
        <v>800</v>
      </c>
    </row>
    <row r="358" spans="1:22">
      <c r="A358" s="1" t="s">
        <v>378</v>
      </c>
      <c r="B358">
        <f>HYPERLINK("https://www.suredividend.com/sure-analysis-OGE/","Oge Energy Corp.")</f>
        <v>0</v>
      </c>
      <c r="C358">
        <v>37.04</v>
      </c>
      <c r="D358">
        <v>37</v>
      </c>
      <c r="E358">
        <v>1.001081081081081</v>
      </c>
      <c r="F358">
        <v>0.04427645788336933</v>
      </c>
      <c r="G358">
        <v>-0.000216076078951577</v>
      </c>
      <c r="H358">
        <v>0.05</v>
      </c>
      <c r="I358">
        <v>0.08921264963657394</v>
      </c>
      <c r="J358" t="s">
        <v>352</v>
      </c>
      <c r="K358" t="s">
        <v>781</v>
      </c>
      <c r="L358">
        <v>2.17</v>
      </c>
      <c r="M358">
        <v>1.64</v>
      </c>
      <c r="N358">
        <v>0.7557603686635944</v>
      </c>
      <c r="O358">
        <v>15</v>
      </c>
      <c r="P358">
        <v>0.05168994430952489</v>
      </c>
      <c r="Q358">
        <v>0.20343746446383</v>
      </c>
      <c r="R358" t="s">
        <v>784</v>
      </c>
      <c r="S358" t="s">
        <v>796</v>
      </c>
      <c r="T358">
        <v>7414.458331</v>
      </c>
      <c r="U358" s="2">
        <v>44508</v>
      </c>
      <c r="V358" t="s">
        <v>807</v>
      </c>
    </row>
    <row r="359" spans="1:22">
      <c r="A359" s="1" t="s">
        <v>379</v>
      </c>
      <c r="B359">
        <f>HYPERLINK("https://www.suredividend.com/sure-analysis-KSS/","Kohl`s Corp.")</f>
        <v>0</v>
      </c>
      <c r="C359">
        <v>46.83</v>
      </c>
      <c r="D359">
        <v>80</v>
      </c>
      <c r="E359">
        <v>0.585375</v>
      </c>
      <c r="F359">
        <v>0.02135383301302584</v>
      </c>
      <c r="G359">
        <v>0.1130461348086733</v>
      </c>
      <c r="H359">
        <v>-0.04</v>
      </c>
      <c r="I359">
        <v>0.08852504382996118</v>
      </c>
      <c r="J359" t="s">
        <v>352</v>
      </c>
      <c r="K359" t="s">
        <v>529</v>
      </c>
      <c r="L359">
        <v>7.3</v>
      </c>
      <c r="M359">
        <v>1</v>
      </c>
      <c r="N359">
        <v>0.136986301369863</v>
      </c>
      <c r="O359">
        <v>0</v>
      </c>
      <c r="P359">
        <v>0.08009875865888949</v>
      </c>
      <c r="Q359">
        <v>0.292075202034532</v>
      </c>
      <c r="R359" t="s">
        <v>784</v>
      </c>
      <c r="S359" t="s">
        <v>792</v>
      </c>
      <c r="T359">
        <v>6843.793538</v>
      </c>
      <c r="U359" s="2">
        <v>44535</v>
      </c>
      <c r="V359" t="s">
        <v>804</v>
      </c>
    </row>
    <row r="360" spans="1:22">
      <c r="A360" s="1" t="s">
        <v>380</v>
      </c>
      <c r="B360">
        <f>HYPERLINK("https://www.suredividend.com/sure-analysis-MKTX/","MarketAxess Holdings Inc.")</f>
        <v>0</v>
      </c>
      <c r="C360">
        <v>408.38</v>
      </c>
      <c r="D360">
        <v>300</v>
      </c>
      <c r="E360">
        <v>1.361266666666667</v>
      </c>
      <c r="F360">
        <v>0.006464567314755865</v>
      </c>
      <c r="G360">
        <v>-0.05981924322963805</v>
      </c>
      <c r="H360">
        <v>0.15</v>
      </c>
      <c r="I360">
        <v>0.08844606001867295</v>
      </c>
      <c r="J360" t="s">
        <v>352</v>
      </c>
      <c r="K360" t="s">
        <v>782</v>
      </c>
      <c r="L360">
        <v>7.15</v>
      </c>
      <c r="M360">
        <v>2.64</v>
      </c>
      <c r="N360">
        <v>0.3692307692307693</v>
      </c>
      <c r="O360">
        <v>11</v>
      </c>
      <c r="P360">
        <v>0.1500007374307972</v>
      </c>
      <c r="Q360">
        <v>-0.247804484734903</v>
      </c>
      <c r="R360" t="s">
        <v>784</v>
      </c>
      <c r="S360" t="s">
        <v>793</v>
      </c>
      <c r="T360">
        <v>15750.949523</v>
      </c>
      <c r="U360" s="2">
        <v>44494</v>
      </c>
      <c r="V360" t="s">
        <v>806</v>
      </c>
    </row>
    <row r="361" spans="1:22">
      <c r="A361" s="1" t="s">
        <v>381</v>
      </c>
      <c r="B361">
        <f>HYPERLINK("https://www.suredividend.com/sure-analysis-LRCX/","Lam Research Corp.")</f>
        <v>0</v>
      </c>
      <c r="C361">
        <v>671.28</v>
      </c>
      <c r="D361">
        <v>615</v>
      </c>
      <c r="E361">
        <v>1.091512195121951</v>
      </c>
      <c r="F361">
        <v>0.007746394946966989</v>
      </c>
      <c r="G361">
        <v>-0.01736035591190876</v>
      </c>
      <c r="H361">
        <v>0.1</v>
      </c>
      <c r="I361">
        <v>0.0882074805615134</v>
      </c>
      <c r="J361" t="s">
        <v>352</v>
      </c>
      <c r="K361" t="s">
        <v>782</v>
      </c>
      <c r="L361">
        <v>34.16</v>
      </c>
      <c r="M361">
        <v>5.2</v>
      </c>
      <c r="N361">
        <v>0.1522248243559719</v>
      </c>
      <c r="O361">
        <v>7</v>
      </c>
      <c r="P361">
        <v>0.08997698704834534</v>
      </c>
      <c r="Q361">
        <v>0.420595879780971</v>
      </c>
      <c r="R361" t="s">
        <v>784</v>
      </c>
      <c r="S361" t="s">
        <v>790</v>
      </c>
      <c r="T361">
        <v>98180.33940500001</v>
      </c>
      <c r="U361" s="2">
        <v>44499</v>
      </c>
      <c r="V361" t="s">
        <v>801</v>
      </c>
    </row>
    <row r="362" spans="1:22">
      <c r="A362" s="1" t="s">
        <v>382</v>
      </c>
      <c r="B362">
        <f>HYPERLINK("https://www.suredividend.com/sure-analysis-VIAC/","ViacomCBS Inc")</f>
        <v>0</v>
      </c>
      <c r="C362">
        <v>29.74</v>
      </c>
      <c r="D362">
        <v>36</v>
      </c>
      <c r="E362">
        <v>0.826111111111111</v>
      </c>
      <c r="F362">
        <v>0.03227975790181574</v>
      </c>
      <c r="G362">
        <v>0.03894440186268588</v>
      </c>
      <c r="H362">
        <v>0.02</v>
      </c>
      <c r="I362">
        <v>0.08795085734931418</v>
      </c>
      <c r="J362" t="s">
        <v>352</v>
      </c>
      <c r="K362" t="s">
        <v>352</v>
      </c>
      <c r="L362">
        <v>3.64</v>
      </c>
      <c r="M362">
        <v>0.96</v>
      </c>
      <c r="N362">
        <v>0.2637362637362637</v>
      </c>
      <c r="O362">
        <v>1</v>
      </c>
      <c r="P362">
        <v>0.05081623913789235</v>
      </c>
      <c r="Q362">
        <v>-0.139757409261285</v>
      </c>
      <c r="R362" t="s">
        <v>784</v>
      </c>
      <c r="S362" t="s">
        <v>788</v>
      </c>
      <c r="T362">
        <v>19263.339515</v>
      </c>
      <c r="U362" s="2">
        <v>44513</v>
      </c>
      <c r="V362" t="s">
        <v>801</v>
      </c>
    </row>
    <row r="363" spans="1:22">
      <c r="A363" s="1" t="s">
        <v>383</v>
      </c>
      <c r="B363">
        <f>HYPERLINK("https://www.suredividend.com/sure-analysis-FAF/","First American Financial Corp")</f>
        <v>0</v>
      </c>
      <c r="C363">
        <v>76.18000000000001</v>
      </c>
      <c r="D363">
        <v>82</v>
      </c>
      <c r="E363">
        <v>0.9290243902439025</v>
      </c>
      <c r="F363">
        <v>0.02546600157521659</v>
      </c>
      <c r="G363">
        <v>0.01483299016179318</v>
      </c>
      <c r="H363">
        <v>0.05</v>
      </c>
      <c r="I363">
        <v>0.08758962129218117</v>
      </c>
      <c r="J363" t="s">
        <v>352</v>
      </c>
      <c r="K363" t="s">
        <v>352</v>
      </c>
      <c r="L363">
        <v>7.48</v>
      </c>
      <c r="M363">
        <v>1.94</v>
      </c>
      <c r="N363">
        <v>0.2593582887700535</v>
      </c>
      <c r="O363">
        <v>10</v>
      </c>
      <c r="P363">
        <v>0.05034020601589084</v>
      </c>
      <c r="Q363">
        <v>0.490499421889192</v>
      </c>
      <c r="R363" t="s">
        <v>784</v>
      </c>
      <c r="S363" t="s">
        <v>793</v>
      </c>
      <c r="T363">
        <v>8447.667243</v>
      </c>
      <c r="U363" s="2">
        <v>44494</v>
      </c>
      <c r="V363" t="s">
        <v>806</v>
      </c>
    </row>
    <row r="364" spans="1:22">
      <c r="A364" s="1" t="s">
        <v>384</v>
      </c>
      <c r="B364">
        <f>HYPERLINK("https://www.suredividend.com/sure-analysis-CE/","Celanese Corp")</f>
        <v>0</v>
      </c>
      <c r="C364">
        <v>163.08</v>
      </c>
      <c r="D364">
        <v>197</v>
      </c>
      <c r="E364">
        <v>0.8278172588832488</v>
      </c>
      <c r="F364">
        <v>0.01667893058621536</v>
      </c>
      <c r="G364">
        <v>0.03851579136761663</v>
      </c>
      <c r="H364">
        <v>0.03</v>
      </c>
      <c r="I364">
        <v>0.08625859865719088</v>
      </c>
      <c r="J364" t="s">
        <v>352</v>
      </c>
      <c r="K364" t="s">
        <v>529</v>
      </c>
      <c r="L364">
        <v>17.12</v>
      </c>
      <c r="M364">
        <v>2.72</v>
      </c>
      <c r="N364">
        <v>0.1588785046728972</v>
      </c>
      <c r="O364">
        <v>11</v>
      </c>
      <c r="P364">
        <v>0.09997050830829379</v>
      </c>
      <c r="Q364">
        <v>0.244286104162989</v>
      </c>
      <c r="R364" t="s">
        <v>784</v>
      </c>
      <c r="S364" t="s">
        <v>791</v>
      </c>
      <c r="T364">
        <v>17422.601805</v>
      </c>
      <c r="U364" s="2">
        <v>44494</v>
      </c>
      <c r="V364" t="s">
        <v>806</v>
      </c>
    </row>
    <row r="365" spans="1:22">
      <c r="A365" s="1" t="s">
        <v>385</v>
      </c>
      <c r="B365">
        <f>HYPERLINK("https://www.suredividend.com/sure-analysis-PRU/","Prudential Financial Inc.")</f>
        <v>0</v>
      </c>
      <c r="C365">
        <v>108.05</v>
      </c>
      <c r="D365">
        <v>116</v>
      </c>
      <c r="E365">
        <v>0.9314655172413793</v>
      </c>
      <c r="F365">
        <v>0.04257288292457195</v>
      </c>
      <c r="G365">
        <v>0.0143005094129105</v>
      </c>
      <c r="H365">
        <v>0.03</v>
      </c>
      <c r="I365">
        <v>0.0822170735936012</v>
      </c>
      <c r="J365" t="s">
        <v>352</v>
      </c>
      <c r="K365" t="s">
        <v>781</v>
      </c>
      <c r="L365">
        <v>14.5</v>
      </c>
      <c r="M365">
        <v>4.6</v>
      </c>
      <c r="N365">
        <v>0.3172413793103448</v>
      </c>
      <c r="O365">
        <v>13</v>
      </c>
      <c r="P365">
        <v>0.04012620718096094</v>
      </c>
      <c r="Q365">
        <v>0.44036746679598</v>
      </c>
      <c r="R365" t="s">
        <v>784</v>
      </c>
      <c r="S365" t="s">
        <v>793</v>
      </c>
      <c r="T365">
        <v>40419.54</v>
      </c>
      <c r="U365" s="2">
        <v>44509</v>
      </c>
      <c r="V365" t="s">
        <v>803</v>
      </c>
    </row>
    <row r="366" spans="1:22">
      <c r="A366" s="1" t="s">
        <v>386</v>
      </c>
      <c r="B366">
        <f>HYPERLINK("https://www.suredividend.com/sure-analysis-PM/","Philip Morris International Inc")</f>
        <v>0</v>
      </c>
      <c r="C366">
        <v>94.38</v>
      </c>
      <c r="D366">
        <v>97</v>
      </c>
      <c r="E366">
        <v>0.9729896907216494</v>
      </c>
      <c r="F366">
        <v>0.05297732570459843</v>
      </c>
      <c r="G366">
        <v>0.00549138110255587</v>
      </c>
      <c r="H366">
        <v>0.03</v>
      </c>
      <c r="I366">
        <v>0.08174961665250779</v>
      </c>
      <c r="J366" t="s">
        <v>352</v>
      </c>
      <c r="K366" t="s">
        <v>781</v>
      </c>
      <c r="L366">
        <v>6.04</v>
      </c>
      <c r="M366">
        <v>5</v>
      </c>
      <c r="N366">
        <v>0.8278145695364238</v>
      </c>
      <c r="O366">
        <v>14</v>
      </c>
      <c r="P366">
        <v>0.03012896281839894</v>
      </c>
      <c r="Q366">
        <v>0.158890324709246</v>
      </c>
      <c r="R366" t="s">
        <v>784</v>
      </c>
      <c r="S366" t="s">
        <v>795</v>
      </c>
      <c r="T366">
        <v>144364.630766</v>
      </c>
      <c r="U366" s="2">
        <v>44488</v>
      </c>
      <c r="V366" t="s">
        <v>799</v>
      </c>
    </row>
    <row r="367" spans="1:22">
      <c r="A367" s="1" t="s">
        <v>387</v>
      </c>
      <c r="B367">
        <f>HYPERLINK("https://www.suredividend.com/sure-analysis-DGX/","Quest Diagnostics, Inc.")</f>
        <v>0</v>
      </c>
      <c r="C367">
        <v>171.89</v>
      </c>
      <c r="D367">
        <v>206</v>
      </c>
      <c r="E367">
        <v>0.8344174757281553</v>
      </c>
      <c r="F367">
        <v>0.01442783175286521</v>
      </c>
      <c r="G367">
        <v>0.03686764270050413</v>
      </c>
      <c r="H367">
        <v>0.03</v>
      </c>
      <c r="I367">
        <v>0.08129038023477819</v>
      </c>
      <c r="J367" t="s">
        <v>352</v>
      </c>
      <c r="K367" t="s">
        <v>529</v>
      </c>
      <c r="L367">
        <v>13.7</v>
      </c>
      <c r="M367">
        <v>2.48</v>
      </c>
      <c r="N367">
        <v>0.181021897810219</v>
      </c>
      <c r="O367">
        <v>10</v>
      </c>
      <c r="P367">
        <v>0.07010283006626494</v>
      </c>
      <c r="Q367">
        <v>0.365072906289743</v>
      </c>
      <c r="R367" t="s">
        <v>784</v>
      </c>
      <c r="S367" t="s">
        <v>789</v>
      </c>
      <c r="T367">
        <v>20659.658184</v>
      </c>
      <c r="U367" s="2">
        <v>44490</v>
      </c>
      <c r="V367" t="s">
        <v>801</v>
      </c>
    </row>
    <row r="368" spans="1:22">
      <c r="A368" s="1" t="s">
        <v>388</v>
      </c>
      <c r="B368">
        <f>HYPERLINK("https://www.suredividend.com/sure-analysis-OKE/","Oneok Inc.")</f>
        <v>0</v>
      </c>
      <c r="C368">
        <v>58.31</v>
      </c>
      <c r="D368">
        <v>57</v>
      </c>
      <c r="E368">
        <v>1.022982456140351</v>
      </c>
      <c r="F368">
        <v>0.0641399416909621</v>
      </c>
      <c r="G368">
        <v>-0.004534157012006657</v>
      </c>
      <c r="H368">
        <v>0.03</v>
      </c>
      <c r="I368">
        <v>0.08064622086958129</v>
      </c>
      <c r="J368" t="s">
        <v>352</v>
      </c>
      <c r="K368" t="s">
        <v>780</v>
      </c>
      <c r="L368">
        <v>5.15</v>
      </c>
      <c r="M368">
        <v>3.74</v>
      </c>
      <c r="N368">
        <v>0.7262135922330097</v>
      </c>
      <c r="O368">
        <v>18</v>
      </c>
      <c r="P368">
        <v>0.02003644710053942</v>
      </c>
      <c r="Q368">
        <v>0.550738787997136</v>
      </c>
      <c r="R368" t="s">
        <v>784</v>
      </c>
      <c r="S368" t="s">
        <v>797</v>
      </c>
      <c r="T368">
        <v>26559.990031</v>
      </c>
      <c r="U368" s="2">
        <v>44506</v>
      </c>
      <c r="V368" t="s">
        <v>802</v>
      </c>
    </row>
    <row r="369" spans="1:22">
      <c r="A369" s="1" t="s">
        <v>389</v>
      </c>
      <c r="B369">
        <f>HYPERLINK("https://www.suredividend.com/sure-analysis-PFG/","Principal Financial Group Inc")</f>
        <v>0</v>
      </c>
      <c r="C369">
        <v>73.17</v>
      </c>
      <c r="D369">
        <v>72</v>
      </c>
      <c r="E369">
        <v>1.01625</v>
      </c>
      <c r="F369">
        <v>0.03498701653683203</v>
      </c>
      <c r="G369">
        <v>-0.003218685266529575</v>
      </c>
      <c r="H369">
        <v>0.05</v>
      </c>
      <c r="I369">
        <v>0.07937621603169065</v>
      </c>
      <c r="J369" t="s">
        <v>352</v>
      </c>
      <c r="K369" t="s">
        <v>352</v>
      </c>
      <c r="L369">
        <v>6.55</v>
      </c>
      <c r="M369">
        <v>2.56</v>
      </c>
      <c r="N369">
        <v>0.3908396946564885</v>
      </c>
      <c r="O369">
        <v>15</v>
      </c>
      <c r="P369">
        <v>0.06025622492066018</v>
      </c>
      <c r="Q369">
        <v>0.5541315374670891</v>
      </c>
      <c r="R369" t="s">
        <v>784</v>
      </c>
      <c r="S369" t="s">
        <v>793</v>
      </c>
      <c r="T369">
        <v>19183.07407</v>
      </c>
      <c r="U369" s="2">
        <v>44505</v>
      </c>
      <c r="V369" t="s">
        <v>802</v>
      </c>
    </row>
    <row r="370" spans="1:22">
      <c r="A370" s="1" t="s">
        <v>390</v>
      </c>
      <c r="B370">
        <f>HYPERLINK("https://www.suredividend.com/sure-analysis-PGR/","Progressive Corp.")</f>
        <v>0</v>
      </c>
      <c r="C370">
        <v>103.02</v>
      </c>
      <c r="D370">
        <v>96</v>
      </c>
      <c r="E370">
        <v>1.073125</v>
      </c>
      <c r="F370">
        <v>0.0184430207726655</v>
      </c>
      <c r="G370">
        <v>-0.01401584110100396</v>
      </c>
      <c r="H370">
        <v>0.08</v>
      </c>
      <c r="I370">
        <v>0.07883496462239981</v>
      </c>
      <c r="J370" t="s">
        <v>352</v>
      </c>
      <c r="K370" t="s">
        <v>529</v>
      </c>
      <c r="L370">
        <v>7.7</v>
      </c>
      <c r="M370">
        <v>1.9</v>
      </c>
      <c r="N370">
        <v>0.2467532467532467</v>
      </c>
      <c r="O370">
        <v>4</v>
      </c>
      <c r="P370">
        <v>0</v>
      </c>
      <c r="Q370">
        <v>0.105558523692246</v>
      </c>
      <c r="R370" t="s">
        <v>784</v>
      </c>
      <c r="S370" t="s">
        <v>793</v>
      </c>
      <c r="T370">
        <v>59565.329087</v>
      </c>
      <c r="U370" s="2">
        <v>44494</v>
      </c>
      <c r="V370" t="s">
        <v>799</v>
      </c>
    </row>
    <row r="371" spans="1:22">
      <c r="A371" s="1" t="s">
        <v>391</v>
      </c>
      <c r="B371">
        <f>HYPERLINK("https://www.suredividend.com/sure-analysis-ALE/","Allete, Inc.")</f>
        <v>0</v>
      </c>
      <c r="C371">
        <v>64.70999999999999</v>
      </c>
      <c r="D371">
        <v>63</v>
      </c>
      <c r="E371">
        <v>1.027142857142857</v>
      </c>
      <c r="F371">
        <v>0.03894297635605008</v>
      </c>
      <c r="G371">
        <v>-0.005341885648384781</v>
      </c>
      <c r="H371">
        <v>0.05</v>
      </c>
      <c r="I371">
        <v>0.07795210138486364</v>
      </c>
      <c r="J371" t="s">
        <v>352</v>
      </c>
      <c r="K371" t="s">
        <v>781</v>
      </c>
      <c r="L371">
        <v>3.15</v>
      </c>
      <c r="M371">
        <v>2.52</v>
      </c>
      <c r="N371">
        <v>0.8</v>
      </c>
      <c r="O371">
        <v>10</v>
      </c>
      <c r="P371">
        <v>0.02990332946790675</v>
      </c>
      <c r="Q371">
        <v>0.098653829435058</v>
      </c>
      <c r="R371" t="s">
        <v>784</v>
      </c>
      <c r="S371" t="s">
        <v>796</v>
      </c>
      <c r="T371">
        <v>3388.295434</v>
      </c>
      <c r="U371" s="2">
        <v>44513</v>
      </c>
      <c r="V371" t="s">
        <v>806</v>
      </c>
    </row>
    <row r="372" spans="1:22">
      <c r="A372" s="1" t="s">
        <v>392</v>
      </c>
      <c r="B372">
        <f>HYPERLINK("https://www.suredividend.com/sure-analysis-APLE/","Apple Hospitality REIT Inc")</f>
        <v>0</v>
      </c>
      <c r="C372">
        <v>15.12</v>
      </c>
      <c r="D372">
        <v>18.3</v>
      </c>
      <c r="E372">
        <v>0.8262295081967213</v>
      </c>
      <c r="F372">
        <v>0.002645502645502646</v>
      </c>
      <c r="G372">
        <v>0.03891462441237703</v>
      </c>
      <c r="H372">
        <v>0.018</v>
      </c>
      <c r="I372">
        <v>0.07752850562583258</v>
      </c>
      <c r="J372" t="s">
        <v>352</v>
      </c>
      <c r="K372" t="s">
        <v>782</v>
      </c>
      <c r="L372">
        <v>0.87</v>
      </c>
      <c r="M372">
        <v>0.04</v>
      </c>
      <c r="N372">
        <v>0.04597701149425287</v>
      </c>
      <c r="O372">
        <v>0</v>
      </c>
      <c r="P372">
        <v>0.888175022589804</v>
      </c>
      <c r="Q372">
        <v>0.141687276313724</v>
      </c>
      <c r="R372" t="s">
        <v>786</v>
      </c>
      <c r="S372" t="s">
        <v>798</v>
      </c>
      <c r="T372">
        <v>3489.25239</v>
      </c>
      <c r="U372" s="2">
        <v>44509</v>
      </c>
      <c r="V372" t="s">
        <v>808</v>
      </c>
    </row>
    <row r="373" spans="1:22">
      <c r="A373" s="1" t="s">
        <v>393</v>
      </c>
      <c r="B373">
        <f>HYPERLINK("https://www.suredividend.com/sure-analysis-NLSN/","Nielsen Holdings plc")</f>
        <v>0</v>
      </c>
      <c r="C373">
        <v>20.31</v>
      </c>
      <c r="D373">
        <v>24</v>
      </c>
      <c r="E373">
        <v>0.8462499999999999</v>
      </c>
      <c r="F373">
        <v>0.01181683899556869</v>
      </c>
      <c r="G373">
        <v>0.03395172869708429</v>
      </c>
      <c r="H373">
        <v>0.03</v>
      </c>
      <c r="I373">
        <v>0.07529180620101061</v>
      </c>
      <c r="J373" t="s">
        <v>352</v>
      </c>
      <c r="K373" t="s">
        <v>782</v>
      </c>
      <c r="L373">
        <v>1.68</v>
      </c>
      <c r="M373">
        <v>0.24</v>
      </c>
      <c r="N373">
        <v>0.1428571428571428</v>
      </c>
      <c r="O373">
        <v>0</v>
      </c>
      <c r="P373">
        <v>0.04563955259127317</v>
      </c>
      <c r="Q373">
        <v>0.028027770635124</v>
      </c>
      <c r="R373" t="s">
        <v>784</v>
      </c>
      <c r="S373" t="s">
        <v>791</v>
      </c>
      <c r="T373">
        <v>7174.959566</v>
      </c>
      <c r="U373" s="2">
        <v>44504</v>
      </c>
      <c r="V373" t="s">
        <v>802</v>
      </c>
    </row>
    <row r="374" spans="1:22">
      <c r="A374" s="1" t="s">
        <v>394</v>
      </c>
      <c r="B374">
        <f>HYPERLINK("https://www.suredividend.com/sure-analysis-MGA/","Magna International Inc.")</f>
        <v>0</v>
      </c>
      <c r="C374">
        <v>77.56999999999999</v>
      </c>
      <c r="D374">
        <v>65</v>
      </c>
      <c r="E374">
        <v>1.193384615384615</v>
      </c>
      <c r="F374">
        <v>0.02217352069098879</v>
      </c>
      <c r="G374">
        <v>-0.03474088132090924</v>
      </c>
      <c r="H374">
        <v>0.09</v>
      </c>
      <c r="I374">
        <v>0.0738206249314215</v>
      </c>
      <c r="J374" t="s">
        <v>352</v>
      </c>
      <c r="K374" t="s">
        <v>529</v>
      </c>
      <c r="L374">
        <v>4.71</v>
      </c>
      <c r="M374">
        <v>1.72</v>
      </c>
      <c r="N374">
        <v>0.3651804670912951</v>
      </c>
      <c r="O374">
        <v>11</v>
      </c>
      <c r="P374">
        <v>0.0750624704770988</v>
      </c>
      <c r="Q374">
        <v>0.236430296838748</v>
      </c>
      <c r="R374" t="s">
        <v>784</v>
      </c>
      <c r="S374" t="s">
        <v>792</v>
      </c>
      <c r="T374">
        <v>23368.506235</v>
      </c>
      <c r="U374" s="2">
        <v>44520</v>
      </c>
      <c r="V374" t="s">
        <v>809</v>
      </c>
    </row>
    <row r="375" spans="1:22">
      <c r="A375" s="1" t="s">
        <v>395</v>
      </c>
      <c r="B375">
        <f>HYPERLINK("https://www.suredividend.com/sure-analysis-HUN/","Huntsman Corp")</f>
        <v>0</v>
      </c>
      <c r="C375">
        <v>32.64</v>
      </c>
      <c r="D375">
        <v>33</v>
      </c>
      <c r="E375">
        <v>0.9890909090909091</v>
      </c>
      <c r="F375">
        <v>0.02297794117647059</v>
      </c>
      <c r="G375">
        <v>0.002196214427784504</v>
      </c>
      <c r="H375">
        <v>0.05</v>
      </c>
      <c r="I375">
        <v>0.07375657421750015</v>
      </c>
      <c r="J375" t="s">
        <v>352</v>
      </c>
      <c r="K375" t="s">
        <v>529</v>
      </c>
      <c r="L375">
        <v>3.47</v>
      </c>
      <c r="M375">
        <v>0.75</v>
      </c>
      <c r="N375">
        <v>0.2161383285302594</v>
      </c>
      <c r="O375">
        <v>1</v>
      </c>
      <c r="P375">
        <v>0.05922384104881218</v>
      </c>
      <c r="Q375">
        <v>0.282889911712118</v>
      </c>
      <c r="R375" t="s">
        <v>784</v>
      </c>
      <c r="S375" t="s">
        <v>794</v>
      </c>
      <c r="T375">
        <v>7055.475199</v>
      </c>
      <c r="U375" s="2">
        <v>44503</v>
      </c>
      <c r="V375" t="s">
        <v>799</v>
      </c>
    </row>
    <row r="376" spans="1:22">
      <c r="A376" s="1" t="s">
        <v>396</v>
      </c>
      <c r="B376">
        <f>HYPERLINK("https://www.suredividend.com/sure-analysis-NAVI/","Navient Corp")</f>
        <v>0</v>
      </c>
      <c r="C376">
        <v>21.44</v>
      </c>
      <c r="D376">
        <v>26</v>
      </c>
      <c r="E376">
        <v>0.8246153846153846</v>
      </c>
      <c r="F376">
        <v>0.02985074626865672</v>
      </c>
      <c r="G376">
        <v>0.03932102603275811</v>
      </c>
      <c r="H376">
        <v>0.01</v>
      </c>
      <c r="I376">
        <v>0.07322249566861272</v>
      </c>
      <c r="J376" t="s">
        <v>352</v>
      </c>
      <c r="K376" t="s">
        <v>352</v>
      </c>
      <c r="L376">
        <v>4.35</v>
      </c>
      <c r="M376">
        <v>0.64</v>
      </c>
      <c r="N376">
        <v>0.1471264367816092</v>
      </c>
      <c r="O376">
        <v>0</v>
      </c>
      <c r="P376">
        <v>0</v>
      </c>
      <c r="Q376">
        <v>1.359433910715261</v>
      </c>
      <c r="R376" t="s">
        <v>784</v>
      </c>
      <c r="S376" t="s">
        <v>793</v>
      </c>
      <c r="T376">
        <v>3479.711511</v>
      </c>
      <c r="U376" s="2">
        <v>44505</v>
      </c>
      <c r="V376" t="s">
        <v>802</v>
      </c>
    </row>
    <row r="377" spans="1:22">
      <c r="A377" s="1" t="s">
        <v>397</v>
      </c>
      <c r="B377">
        <f>HYPERLINK("https://www.suredividend.com/sure-analysis-R/","Ryder System, Inc.")</f>
        <v>0</v>
      </c>
      <c r="C377">
        <v>79.41</v>
      </c>
      <c r="D377">
        <v>101</v>
      </c>
      <c r="E377">
        <v>0.7862376237623762</v>
      </c>
      <c r="F377">
        <v>0.0292154640473492</v>
      </c>
      <c r="G377">
        <v>0.04927478269133356</v>
      </c>
      <c r="H377">
        <v>0</v>
      </c>
      <c r="I377">
        <v>0.07302054208822439</v>
      </c>
      <c r="J377" t="s">
        <v>352</v>
      </c>
      <c r="K377" t="s">
        <v>352</v>
      </c>
      <c r="L377">
        <v>8.449999999999999</v>
      </c>
      <c r="M377">
        <v>2.32</v>
      </c>
      <c r="N377">
        <v>0.2745562130177515</v>
      </c>
      <c r="O377">
        <v>17</v>
      </c>
      <c r="P377">
        <v>0.01013720758985226</v>
      </c>
      <c r="Q377">
        <v>0.308839103869653</v>
      </c>
      <c r="R377" t="s">
        <v>784</v>
      </c>
      <c r="S377" t="s">
        <v>791</v>
      </c>
      <c r="T377">
        <v>4313.179817</v>
      </c>
      <c r="U377" s="2">
        <v>44497</v>
      </c>
      <c r="V377" t="s">
        <v>803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31.82</v>
      </c>
      <c r="D378">
        <v>30</v>
      </c>
      <c r="E378">
        <v>1.060666666666667</v>
      </c>
      <c r="F378">
        <v>0.02765556253928347</v>
      </c>
      <c r="G378">
        <v>-0.01171042122215493</v>
      </c>
      <c r="H378">
        <v>0.06</v>
      </c>
      <c r="I378">
        <v>0.0726621355967807</v>
      </c>
      <c r="J378" t="s">
        <v>352</v>
      </c>
      <c r="K378" t="s">
        <v>352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-0.056606548744936</v>
      </c>
      <c r="R378" t="s">
        <v>786</v>
      </c>
      <c r="S378" t="s">
        <v>798</v>
      </c>
      <c r="T378">
        <v>8555.296743000001</v>
      </c>
      <c r="U378" s="2">
        <v>44513</v>
      </c>
      <c r="V378" t="s">
        <v>799</v>
      </c>
    </row>
    <row r="379" spans="1:22">
      <c r="A379" s="1" t="s">
        <v>399</v>
      </c>
      <c r="B379">
        <f>HYPERLINK("https://www.suredividend.com/sure-analysis-SAXPY/","Sampo Plc")</f>
        <v>0</v>
      </c>
      <c r="C379">
        <v>24.7</v>
      </c>
      <c r="D379">
        <v>26</v>
      </c>
      <c r="E379">
        <v>0.95</v>
      </c>
      <c r="F379">
        <v>0.04170040485829959</v>
      </c>
      <c r="G379">
        <v>0.01031145931793609</v>
      </c>
      <c r="H379">
        <v>0.025</v>
      </c>
      <c r="I379">
        <v>0.07207032715840445</v>
      </c>
      <c r="J379" t="s">
        <v>352</v>
      </c>
      <c r="K379" t="s">
        <v>781</v>
      </c>
      <c r="L379">
        <v>23.99</v>
      </c>
      <c r="M379">
        <v>1.03</v>
      </c>
      <c r="N379">
        <v>0.0429345560650271</v>
      </c>
      <c r="O379">
        <v>0</v>
      </c>
      <c r="P379">
        <v>0.02581661126327583</v>
      </c>
      <c r="Q379">
        <v>0.16275764036958</v>
      </c>
      <c r="R379" t="s">
        <v>784</v>
      </c>
      <c r="S379" t="s">
        <v>793</v>
      </c>
      <c r="T379">
        <v>27197.772798</v>
      </c>
      <c r="U379" s="2">
        <v>44507</v>
      </c>
      <c r="V379" t="s">
        <v>800</v>
      </c>
    </row>
    <row r="380" spans="1:22">
      <c r="A380" s="1" t="s">
        <v>400</v>
      </c>
      <c r="B380">
        <f>HYPERLINK("https://www.suredividend.com/sure-analysis-WRK/","WestRock Co")</f>
        <v>0</v>
      </c>
      <c r="C380">
        <v>45.02</v>
      </c>
      <c r="D380">
        <v>52</v>
      </c>
      <c r="E380">
        <v>0.8657692307692308</v>
      </c>
      <c r="F380">
        <v>0.02221235006663705</v>
      </c>
      <c r="G380">
        <v>0.02924690705970456</v>
      </c>
      <c r="H380">
        <v>0.02</v>
      </c>
      <c r="I380">
        <v>0.07204960867001819</v>
      </c>
      <c r="J380" t="s">
        <v>352</v>
      </c>
      <c r="K380" t="s">
        <v>529</v>
      </c>
      <c r="L380">
        <v>4.7</v>
      </c>
      <c r="M380">
        <v>1</v>
      </c>
      <c r="N380">
        <v>0.2127659574468085</v>
      </c>
      <c r="O380">
        <v>1</v>
      </c>
      <c r="P380">
        <v>0.08009875865888949</v>
      </c>
      <c r="Q380">
        <v>-0.001810307293934</v>
      </c>
      <c r="R380" t="s">
        <v>784</v>
      </c>
      <c r="S380" t="s">
        <v>792</v>
      </c>
      <c r="T380">
        <v>11543.467213</v>
      </c>
      <c r="U380" s="2">
        <v>44524</v>
      </c>
      <c r="V380" t="s">
        <v>807</v>
      </c>
    </row>
    <row r="381" spans="1:22">
      <c r="A381" s="1" t="s">
        <v>401</v>
      </c>
      <c r="B381">
        <f>HYPERLINK("https://www.suredividend.com/sure-analysis-ASML/","ASML Holding NV")</f>
        <v>0</v>
      </c>
      <c r="C381">
        <v>755</v>
      </c>
      <c r="D381">
        <v>583</v>
      </c>
      <c r="E381">
        <v>1.295025728987993</v>
      </c>
      <c r="F381">
        <v>0.005536423841059603</v>
      </c>
      <c r="G381">
        <v>-0.05039209634472763</v>
      </c>
      <c r="H381">
        <v>0.12</v>
      </c>
      <c r="I381">
        <v>0.07018902126534088</v>
      </c>
      <c r="J381" t="s">
        <v>352</v>
      </c>
      <c r="K381" t="s">
        <v>782</v>
      </c>
      <c r="L381">
        <v>15.75</v>
      </c>
      <c r="M381">
        <v>4.18</v>
      </c>
      <c r="N381">
        <v>0.2653968253968254</v>
      </c>
      <c r="O381">
        <v>6</v>
      </c>
      <c r="P381">
        <v>0.1500691206588143</v>
      </c>
      <c r="Q381">
        <v>0.6974177489877781</v>
      </c>
      <c r="R381" t="s">
        <v>784</v>
      </c>
      <c r="S381" t="s">
        <v>790</v>
      </c>
      <c r="T381">
        <v>327447.652486</v>
      </c>
      <c r="U381" s="2">
        <v>44494</v>
      </c>
      <c r="V381" t="s">
        <v>804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67.67</v>
      </c>
      <c r="D382">
        <v>64</v>
      </c>
      <c r="E382">
        <v>1.05734375</v>
      </c>
      <c r="F382">
        <v>0.04359391162996897</v>
      </c>
      <c r="G382">
        <v>-0.01109002063410336</v>
      </c>
      <c r="H382">
        <v>0.04</v>
      </c>
      <c r="I382">
        <v>0.06845672830667437</v>
      </c>
      <c r="J382" t="s">
        <v>352</v>
      </c>
      <c r="K382" t="s">
        <v>781</v>
      </c>
      <c r="L382">
        <v>3.58</v>
      </c>
      <c r="M382">
        <v>2.95</v>
      </c>
      <c r="N382">
        <v>0.8240223463687151</v>
      </c>
      <c r="O382">
        <v>26</v>
      </c>
      <c r="P382">
        <v>0.03478281035457087</v>
      </c>
      <c r="Q382">
        <v>0.135898935073625</v>
      </c>
      <c r="R382" t="s">
        <v>786</v>
      </c>
      <c r="S382" t="s">
        <v>798</v>
      </c>
      <c r="T382">
        <v>27171.190062</v>
      </c>
      <c r="U382" s="2">
        <v>44507</v>
      </c>
      <c r="V382" t="s">
        <v>802</v>
      </c>
    </row>
    <row r="383" spans="1:22">
      <c r="A383" s="1" t="s">
        <v>403</v>
      </c>
      <c r="B383">
        <f>HYPERLINK("https://www.suredividend.com/sure-analysis-KLAC/","KLA Corp.")</f>
        <v>0</v>
      </c>
      <c r="C383">
        <v>397.31</v>
      </c>
      <c r="D383">
        <v>357</v>
      </c>
      <c r="E383">
        <v>1.112913165266106</v>
      </c>
      <c r="F383">
        <v>0.0105710905841786</v>
      </c>
      <c r="G383">
        <v>-0.02116893504815154</v>
      </c>
      <c r="H383">
        <v>0.08</v>
      </c>
      <c r="I383">
        <v>0.06826503235936943</v>
      </c>
      <c r="J383" t="s">
        <v>352</v>
      </c>
      <c r="K383" t="s">
        <v>529</v>
      </c>
      <c r="L383">
        <v>21</v>
      </c>
      <c r="M383">
        <v>4.2</v>
      </c>
      <c r="N383">
        <v>0.2</v>
      </c>
      <c r="O383">
        <v>12</v>
      </c>
      <c r="P383">
        <v>0.09986525071768737</v>
      </c>
      <c r="Q383">
        <v>0.5886635979349041</v>
      </c>
      <c r="R383" t="s">
        <v>784</v>
      </c>
      <c r="S383" t="s">
        <v>790</v>
      </c>
      <c r="T383">
        <v>62151.441655</v>
      </c>
      <c r="U383" s="2">
        <v>44508</v>
      </c>
      <c r="V383" t="s">
        <v>802</v>
      </c>
    </row>
    <row r="384" spans="1:22">
      <c r="A384" s="1" t="s">
        <v>404</v>
      </c>
      <c r="B384">
        <f>HYPERLINK("https://www.suredividend.com/sure-analysis-GE/","General Electric Co.")</f>
        <v>0</v>
      </c>
      <c r="C384">
        <v>92.53</v>
      </c>
      <c r="D384">
        <v>72</v>
      </c>
      <c r="E384">
        <v>1.285138888888889</v>
      </c>
      <c r="F384">
        <v>0.003458337836377391</v>
      </c>
      <c r="G384">
        <v>-0.04893546581510777</v>
      </c>
      <c r="H384">
        <v>0.12</v>
      </c>
      <c r="I384">
        <v>0.06786513608459632</v>
      </c>
      <c r="J384" t="s">
        <v>352</v>
      </c>
      <c r="K384" t="s">
        <v>782</v>
      </c>
      <c r="L384">
        <v>2</v>
      </c>
      <c r="M384">
        <v>0.32</v>
      </c>
      <c r="N384">
        <v>0.16</v>
      </c>
      <c r="O384">
        <v>0</v>
      </c>
      <c r="P384">
        <v>0</v>
      </c>
      <c r="Q384">
        <v>0.039318708978345</v>
      </c>
      <c r="R384" t="s">
        <v>784</v>
      </c>
      <c r="S384" t="s">
        <v>791</v>
      </c>
      <c r="T384">
        <v>101116.466746</v>
      </c>
      <c r="U384" s="2">
        <v>44500</v>
      </c>
      <c r="V384" t="s">
        <v>799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33.64</v>
      </c>
      <c r="D385">
        <v>35</v>
      </c>
      <c r="E385">
        <v>0.9611428571428572</v>
      </c>
      <c r="F385">
        <v>0.02288941736028537</v>
      </c>
      <c r="G385">
        <v>0.007957942710191679</v>
      </c>
      <c r="H385">
        <v>0.03</v>
      </c>
      <c r="I385">
        <v>0.06340383774983316</v>
      </c>
      <c r="J385" t="s">
        <v>352</v>
      </c>
      <c r="K385" t="s">
        <v>529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0.120161915826406</v>
      </c>
      <c r="R385" t="s">
        <v>784</v>
      </c>
      <c r="S385" t="s">
        <v>792</v>
      </c>
      <c r="T385">
        <v>60771.415036</v>
      </c>
      <c r="U385" s="2">
        <v>44518</v>
      </c>
      <c r="V385" t="s">
        <v>807</v>
      </c>
    </row>
    <row r="386" spans="1:22">
      <c r="A386" s="1" t="s">
        <v>406</v>
      </c>
      <c r="B386">
        <f>HYPERLINK("https://www.suredividend.com/sure-analysis-CFG/","Citizens Financial Group Inc")</f>
        <v>0</v>
      </c>
      <c r="C386">
        <v>47.12</v>
      </c>
      <c r="D386">
        <v>59</v>
      </c>
      <c r="E386">
        <v>0.7986440677966101</v>
      </c>
      <c r="F386">
        <v>0.03310696095076401</v>
      </c>
      <c r="G386">
        <v>0.04599436758731934</v>
      </c>
      <c r="H386">
        <v>-0.02</v>
      </c>
      <c r="I386">
        <v>0.06249001157522827</v>
      </c>
      <c r="J386" t="s">
        <v>352</v>
      </c>
      <c r="K386" t="s">
        <v>352</v>
      </c>
      <c r="L386">
        <v>5.15</v>
      </c>
      <c r="M386">
        <v>1.56</v>
      </c>
      <c r="N386">
        <v>0.3029126213592233</v>
      </c>
      <c r="O386">
        <v>6</v>
      </c>
      <c r="P386">
        <v>0.09979014724923641</v>
      </c>
      <c r="Q386">
        <v>0.385468884984044</v>
      </c>
      <c r="R386" t="s">
        <v>784</v>
      </c>
      <c r="S386" t="s">
        <v>793</v>
      </c>
      <c r="T386">
        <v>20095.310008</v>
      </c>
      <c r="U386" s="2">
        <v>44492</v>
      </c>
      <c r="V386" t="s">
        <v>804</v>
      </c>
    </row>
    <row r="387" spans="1:22">
      <c r="A387" s="1" t="s">
        <v>407</v>
      </c>
      <c r="B387">
        <f>HYPERLINK("https://www.suredividend.com/sure-analysis-CPB/","Campbell Soup Co.")</f>
        <v>0</v>
      </c>
      <c r="C387">
        <v>44.18</v>
      </c>
      <c r="D387">
        <v>46</v>
      </c>
      <c r="E387">
        <v>0.9604347826086956</v>
      </c>
      <c r="F387">
        <v>0.03349932095971028</v>
      </c>
      <c r="G387">
        <v>0.00810652103859244</v>
      </c>
      <c r="H387">
        <v>0.025</v>
      </c>
      <c r="I387">
        <v>0.06231635637436783</v>
      </c>
      <c r="J387" t="s">
        <v>352</v>
      </c>
      <c r="K387" t="s">
        <v>781</v>
      </c>
      <c r="L387">
        <v>2.8</v>
      </c>
      <c r="M387">
        <v>1.48</v>
      </c>
      <c r="N387">
        <v>0.5285714285714286</v>
      </c>
      <c r="O387">
        <v>0</v>
      </c>
      <c r="P387">
        <v>0.01444167341264735</v>
      </c>
      <c r="Q387">
        <v>-0.040866285865514</v>
      </c>
      <c r="R387" t="s">
        <v>784</v>
      </c>
      <c r="S387" t="s">
        <v>795</v>
      </c>
      <c r="T387">
        <v>13122.580314</v>
      </c>
      <c r="U387" s="2">
        <v>44453</v>
      </c>
      <c r="V387" t="s">
        <v>806</v>
      </c>
    </row>
    <row r="388" spans="1:22">
      <c r="A388" s="1" t="s">
        <v>408</v>
      </c>
      <c r="B388">
        <f>HYPERLINK("https://www.suredividend.com/sure-analysis-ESRT/","Empire State Realty Trust Inc")</f>
        <v>0</v>
      </c>
      <c r="C388">
        <v>8.890000000000001</v>
      </c>
      <c r="D388">
        <v>9.75</v>
      </c>
      <c r="E388">
        <v>0.9117948717948718</v>
      </c>
      <c r="F388">
        <v>0.01574803149606299</v>
      </c>
      <c r="G388">
        <v>0.01863963615585873</v>
      </c>
      <c r="H388">
        <v>0.02</v>
      </c>
      <c r="I388">
        <v>0.06216679125206515</v>
      </c>
      <c r="J388" t="s">
        <v>352</v>
      </c>
      <c r="K388" t="s">
        <v>529</v>
      </c>
      <c r="L388">
        <v>0.64</v>
      </c>
      <c r="M388">
        <v>0.14</v>
      </c>
      <c r="N388">
        <v>0.21875</v>
      </c>
      <c r="O388">
        <v>0</v>
      </c>
      <c r="P388">
        <v>0.2011244339814311</v>
      </c>
      <c r="Q388">
        <v>-0.09910822861775401</v>
      </c>
      <c r="R388" t="s">
        <v>786</v>
      </c>
      <c r="S388" t="s">
        <v>798</v>
      </c>
      <c r="T388">
        <v>1532.734652</v>
      </c>
      <c r="U388" s="2">
        <v>44500</v>
      </c>
      <c r="V388" t="s">
        <v>799</v>
      </c>
    </row>
    <row r="389" spans="1:22">
      <c r="A389" s="1" t="s">
        <v>409</v>
      </c>
      <c r="B389">
        <f>HYPERLINK("https://www.suredividend.com/sure-analysis-AEP/","American Electric Power Company Inc.")</f>
        <v>0</v>
      </c>
      <c r="C389">
        <v>88</v>
      </c>
      <c r="D389">
        <v>79.59999999999999</v>
      </c>
      <c r="E389">
        <v>1.105527638190955</v>
      </c>
      <c r="F389">
        <v>0.03545454545454545</v>
      </c>
      <c r="G389">
        <v>-0.01986459091384651</v>
      </c>
      <c r="H389">
        <v>0.049</v>
      </c>
      <c r="I389">
        <v>0.0597015283258413</v>
      </c>
      <c r="J389" t="s">
        <v>352</v>
      </c>
      <c r="K389" t="s">
        <v>781</v>
      </c>
      <c r="L389">
        <v>4.68</v>
      </c>
      <c r="M389">
        <v>3.12</v>
      </c>
      <c r="N389">
        <v>0.6666666666666667</v>
      </c>
      <c r="O389">
        <v>16</v>
      </c>
      <c r="P389">
        <v>0.01853111887485781</v>
      </c>
      <c r="Q389">
        <v>0.07203252352252901</v>
      </c>
      <c r="R389" t="s">
        <v>784</v>
      </c>
      <c r="S389" t="s">
        <v>796</v>
      </c>
      <c r="T389">
        <v>43933.535785</v>
      </c>
      <c r="U389" s="2">
        <v>44503</v>
      </c>
      <c r="V389" t="s">
        <v>808</v>
      </c>
    </row>
    <row r="390" spans="1:22">
      <c r="A390" s="1" t="s">
        <v>410</v>
      </c>
      <c r="B390">
        <f>HYPERLINK("https://www.suredividend.com/sure-analysis-WFC/","Wells Fargo &amp; Co.")</f>
        <v>0</v>
      </c>
      <c r="C390">
        <v>50.3</v>
      </c>
      <c r="D390">
        <v>50</v>
      </c>
      <c r="E390">
        <v>1.006</v>
      </c>
      <c r="F390">
        <v>0.01590457256461233</v>
      </c>
      <c r="G390">
        <v>-0.001195698917219046</v>
      </c>
      <c r="H390">
        <v>0.04</v>
      </c>
      <c r="I390">
        <v>0.05913310420406526</v>
      </c>
      <c r="J390" t="s">
        <v>352</v>
      </c>
      <c r="K390" t="s">
        <v>529</v>
      </c>
      <c r="L390">
        <v>4.35</v>
      </c>
      <c r="M390">
        <v>0.8</v>
      </c>
      <c r="N390">
        <v>0.1839080459770115</v>
      </c>
      <c r="O390">
        <v>0</v>
      </c>
      <c r="P390">
        <v>0.1501306516611158</v>
      </c>
      <c r="Q390">
        <v>0.6685816374193231</v>
      </c>
      <c r="R390" t="s">
        <v>784</v>
      </c>
      <c r="S390" t="s">
        <v>793</v>
      </c>
      <c r="T390">
        <v>200967.730506</v>
      </c>
      <c r="U390" s="2">
        <v>44485</v>
      </c>
      <c r="V390" t="s">
        <v>804</v>
      </c>
    </row>
    <row r="391" spans="1:22">
      <c r="A391" s="1" t="s">
        <v>411</v>
      </c>
      <c r="B391">
        <f>HYPERLINK("https://www.suredividend.com/sure-analysis-BK/","Bank Of New York Mellon Corp")</f>
        <v>0</v>
      </c>
      <c r="C391">
        <v>58.42</v>
      </c>
      <c r="D391">
        <v>52</v>
      </c>
      <c r="E391">
        <v>1.123461538461539</v>
      </c>
      <c r="F391">
        <v>0.02327969873331051</v>
      </c>
      <c r="G391">
        <v>-0.02301395999560918</v>
      </c>
      <c r="H391">
        <v>0.06</v>
      </c>
      <c r="I391">
        <v>0.05873620738525798</v>
      </c>
      <c r="J391" t="s">
        <v>352</v>
      </c>
      <c r="K391" t="s">
        <v>529</v>
      </c>
      <c r="L391">
        <v>4.15</v>
      </c>
      <c r="M391">
        <v>1.36</v>
      </c>
      <c r="N391">
        <v>0.327710843373494</v>
      </c>
      <c r="O391">
        <v>11</v>
      </c>
      <c r="P391">
        <v>0.06000153927394081</v>
      </c>
      <c r="Q391">
        <v>0.454049233238185</v>
      </c>
      <c r="R391" t="s">
        <v>784</v>
      </c>
      <c r="S391" t="s">
        <v>793</v>
      </c>
      <c r="T391">
        <v>46989.218485</v>
      </c>
      <c r="U391" s="2">
        <v>44491</v>
      </c>
      <c r="V391" t="s">
        <v>804</v>
      </c>
    </row>
    <row r="392" spans="1:22">
      <c r="A392" s="1" t="s">
        <v>412</v>
      </c>
      <c r="B392">
        <f>HYPERLINK("https://www.suredividend.com/sure-analysis-JPM/","JPMorgan Chase &amp; Co.")</f>
        <v>0</v>
      </c>
      <c r="C392">
        <v>160.41</v>
      </c>
      <c r="D392">
        <v>188</v>
      </c>
      <c r="E392">
        <v>0.8532446808510639</v>
      </c>
      <c r="F392">
        <v>0.02493610124057104</v>
      </c>
      <c r="G392">
        <v>0.03225092825760645</v>
      </c>
      <c r="H392">
        <v>0</v>
      </c>
      <c r="I392">
        <v>0.05769099460382998</v>
      </c>
      <c r="J392" t="s">
        <v>352</v>
      </c>
      <c r="K392" t="s">
        <v>352</v>
      </c>
      <c r="L392">
        <v>15</v>
      </c>
      <c r="M392">
        <v>4</v>
      </c>
      <c r="N392">
        <v>0.2666666666666667</v>
      </c>
      <c r="O392">
        <v>11</v>
      </c>
      <c r="P392">
        <v>0.06615002518126989</v>
      </c>
      <c r="Q392">
        <v>0.345630364864001</v>
      </c>
      <c r="R392" t="s">
        <v>784</v>
      </c>
      <c r="S392" t="s">
        <v>793</v>
      </c>
      <c r="T392">
        <v>466754.721674</v>
      </c>
      <c r="U392" s="2">
        <v>44485</v>
      </c>
      <c r="V392" t="s">
        <v>804</v>
      </c>
    </row>
    <row r="393" spans="1:22">
      <c r="A393" s="1" t="s">
        <v>413</v>
      </c>
      <c r="B393">
        <f>HYPERLINK("https://www.suredividend.com/sure-analysis-AON/","Aon plc.")</f>
        <v>0</v>
      </c>
      <c r="C393">
        <v>295.13</v>
      </c>
      <c r="D393">
        <v>233</v>
      </c>
      <c r="E393">
        <v>1.266652360515022</v>
      </c>
      <c r="F393">
        <v>0.006912208179446346</v>
      </c>
      <c r="G393">
        <v>-0.04617541416810145</v>
      </c>
      <c r="H393">
        <v>0.1</v>
      </c>
      <c r="I393">
        <v>0.05698070225020091</v>
      </c>
      <c r="J393" t="s">
        <v>352</v>
      </c>
      <c r="K393" t="s">
        <v>782</v>
      </c>
      <c r="L393">
        <v>11.65</v>
      </c>
      <c r="M393">
        <v>2.04</v>
      </c>
      <c r="N393">
        <v>0.1751072961373391</v>
      </c>
      <c r="O393">
        <v>10</v>
      </c>
      <c r="P393">
        <v>0.1101602038533911</v>
      </c>
      <c r="Q393">
        <v>0.433703738695853</v>
      </c>
      <c r="R393" t="s">
        <v>784</v>
      </c>
      <c r="S393" t="s">
        <v>793</v>
      </c>
      <c r="T393">
        <v>65198.562259</v>
      </c>
      <c r="U393" s="2">
        <v>44519</v>
      </c>
      <c r="V393" t="s">
        <v>804</v>
      </c>
    </row>
    <row r="394" spans="1:22">
      <c r="A394" s="1" t="s">
        <v>414</v>
      </c>
      <c r="B394">
        <f>HYPERLINK("https://www.suredividend.com/sure-analysis-HAL/","Halliburton Co.")</f>
        <v>0</v>
      </c>
      <c r="C394">
        <v>22.56</v>
      </c>
      <c r="D394">
        <v>14</v>
      </c>
      <c r="E394">
        <v>1.611428571428571</v>
      </c>
      <c r="F394">
        <v>0.007978723404255319</v>
      </c>
      <c r="G394">
        <v>-0.09101275736029746</v>
      </c>
      <c r="H394">
        <v>0.149</v>
      </c>
      <c r="I394">
        <v>0.05617256143805793</v>
      </c>
      <c r="J394" t="s">
        <v>352</v>
      </c>
      <c r="K394" t="s">
        <v>782</v>
      </c>
      <c r="L394">
        <v>1.1</v>
      </c>
      <c r="M394">
        <v>0.18</v>
      </c>
      <c r="N394">
        <v>0.1636363636363636</v>
      </c>
      <c r="O394">
        <v>0</v>
      </c>
      <c r="P394">
        <v>0.2011244339814313</v>
      </c>
      <c r="Q394">
        <v>0.116425033588</v>
      </c>
      <c r="R394" t="s">
        <v>784</v>
      </c>
      <c r="S394" t="s">
        <v>797</v>
      </c>
      <c r="T394">
        <v>19831.420792</v>
      </c>
      <c r="U394" s="2">
        <v>44491</v>
      </c>
      <c r="V394" t="s">
        <v>807</v>
      </c>
    </row>
    <row r="395" spans="1:22">
      <c r="A395" s="1" t="s">
        <v>415</v>
      </c>
      <c r="B395">
        <f>HYPERLINK("https://www.suredividend.com/sure-analysis-KEY/","Keycorp")</f>
        <v>0</v>
      </c>
      <c r="C395">
        <v>23.32</v>
      </c>
      <c r="D395">
        <v>26</v>
      </c>
      <c r="E395">
        <v>0.8969230769230769</v>
      </c>
      <c r="F395">
        <v>0.03344768439108062</v>
      </c>
      <c r="G395">
        <v>0.02199544549405297</v>
      </c>
      <c r="H395">
        <v>0</v>
      </c>
      <c r="I395">
        <v>0.05521926845298375</v>
      </c>
      <c r="J395" t="s">
        <v>352</v>
      </c>
      <c r="K395" t="s">
        <v>352</v>
      </c>
      <c r="L395">
        <v>2.4</v>
      </c>
      <c r="M395">
        <v>0.78</v>
      </c>
      <c r="N395">
        <v>0.325</v>
      </c>
      <c r="O395">
        <v>11</v>
      </c>
      <c r="P395">
        <v>0.0488372867840543</v>
      </c>
      <c r="Q395">
        <v>0.524858962092969</v>
      </c>
      <c r="R395" t="s">
        <v>784</v>
      </c>
      <c r="S395" t="s">
        <v>793</v>
      </c>
      <c r="T395">
        <v>21516.756966</v>
      </c>
      <c r="U395" s="2">
        <v>44490</v>
      </c>
      <c r="V395" t="s">
        <v>803</v>
      </c>
    </row>
    <row r="396" spans="1:22">
      <c r="A396" s="1" t="s">
        <v>416</v>
      </c>
      <c r="B396">
        <f>HYPERLINK("https://www.suredividend.com/sure-analysis-CUBE/","CubeSmart")</f>
        <v>0</v>
      </c>
      <c r="C396">
        <v>54.52</v>
      </c>
      <c r="D396">
        <v>42</v>
      </c>
      <c r="E396">
        <v>1.298095238095238</v>
      </c>
      <c r="F396">
        <v>0.03154805575935436</v>
      </c>
      <c r="G396">
        <v>-0.05084161513713126</v>
      </c>
      <c r="H396">
        <v>0.075</v>
      </c>
      <c r="I396">
        <v>0.05484082945367486</v>
      </c>
      <c r="J396" t="s">
        <v>352</v>
      </c>
      <c r="K396" t="s">
        <v>352</v>
      </c>
      <c r="L396">
        <v>2.1</v>
      </c>
      <c r="M396">
        <v>1.72</v>
      </c>
      <c r="N396">
        <v>0.819047619047619</v>
      </c>
      <c r="O396">
        <v>12</v>
      </c>
      <c r="P396">
        <v>0.08023542380212056</v>
      </c>
      <c r="Q396">
        <v>0.7212706851696701</v>
      </c>
      <c r="R396" t="s">
        <v>786</v>
      </c>
      <c r="S396" t="s">
        <v>798</v>
      </c>
      <c r="T396">
        <v>11958.006012</v>
      </c>
      <c r="U396" s="2">
        <v>44507</v>
      </c>
      <c r="V396" t="s">
        <v>799</v>
      </c>
    </row>
    <row r="397" spans="1:22">
      <c r="A397" s="1" t="s">
        <v>417</v>
      </c>
      <c r="B397">
        <f>HYPERLINK("https://www.suredividend.com/sure-analysis-MA/","Mastercard Incorporated")</f>
        <v>0</v>
      </c>
      <c r="C397">
        <v>352.92</v>
      </c>
      <c r="D397">
        <v>222</v>
      </c>
      <c r="E397">
        <v>1.58972972972973</v>
      </c>
      <c r="F397">
        <v>0.005553666553326533</v>
      </c>
      <c r="G397">
        <v>-0.08854477108122383</v>
      </c>
      <c r="H397">
        <v>0.15</v>
      </c>
      <c r="I397">
        <v>0.0547425987654182</v>
      </c>
      <c r="J397" t="s">
        <v>352</v>
      </c>
      <c r="K397" t="s">
        <v>782</v>
      </c>
      <c r="L397">
        <v>8.24</v>
      </c>
      <c r="M397">
        <v>1.96</v>
      </c>
      <c r="N397">
        <v>0.2378640776699029</v>
      </c>
      <c r="O397">
        <v>11</v>
      </c>
      <c r="P397">
        <v>0.1255102076739985</v>
      </c>
      <c r="Q397">
        <v>0.04192832700334601</v>
      </c>
      <c r="R397" t="s">
        <v>784</v>
      </c>
      <c r="S397" t="s">
        <v>793</v>
      </c>
      <c r="T397">
        <v>337590.497131</v>
      </c>
      <c r="U397" s="2">
        <v>44499</v>
      </c>
      <c r="V397" t="s">
        <v>800</v>
      </c>
    </row>
    <row r="398" spans="1:22">
      <c r="A398" s="1" t="s">
        <v>418</v>
      </c>
      <c r="B398">
        <f>HYPERLINK("https://www.suredividend.com/sure-analysis-GOLD/","Barrick Gold Corp.")</f>
        <v>0</v>
      </c>
      <c r="C398">
        <v>18.44</v>
      </c>
      <c r="D398">
        <v>22</v>
      </c>
      <c r="E398">
        <v>0.8381818181818183</v>
      </c>
      <c r="F398">
        <v>0.01952277657266811</v>
      </c>
      <c r="G398">
        <v>0.0359346337864157</v>
      </c>
      <c r="H398">
        <v>0</v>
      </c>
      <c r="I398">
        <v>0.054414867694633</v>
      </c>
      <c r="J398" t="s">
        <v>352</v>
      </c>
      <c r="K398" t="s">
        <v>529</v>
      </c>
      <c r="L398">
        <v>1.2</v>
      </c>
      <c r="M398">
        <v>0.36</v>
      </c>
      <c r="N398">
        <v>0.3</v>
      </c>
      <c r="O398">
        <v>5</v>
      </c>
      <c r="P398">
        <v>0.04095039696925684</v>
      </c>
      <c r="Q398">
        <v>-0.212731887257853</v>
      </c>
      <c r="R398" t="s">
        <v>784</v>
      </c>
      <c r="S398" t="s">
        <v>794</v>
      </c>
      <c r="T398">
        <v>31389.57363</v>
      </c>
      <c r="U398" s="2">
        <v>44527</v>
      </c>
      <c r="V398" t="s">
        <v>804</v>
      </c>
    </row>
    <row r="399" spans="1:22">
      <c r="A399" s="1" t="s">
        <v>419</v>
      </c>
      <c r="B399">
        <f>HYPERLINK("https://www.suredividend.com/sure-analysis-PKX/","Posco")</f>
        <v>0</v>
      </c>
      <c r="C399">
        <v>60.18</v>
      </c>
      <c r="D399">
        <v>90</v>
      </c>
      <c r="E399">
        <v>0.6686666666666666</v>
      </c>
      <c r="F399">
        <v>0.0290794283815221</v>
      </c>
      <c r="G399">
        <v>0.08382225679395661</v>
      </c>
      <c r="H399">
        <v>-0.05</v>
      </c>
      <c r="I399">
        <v>0.054294670881883</v>
      </c>
      <c r="J399" t="s">
        <v>352</v>
      </c>
      <c r="K399" t="s">
        <v>352</v>
      </c>
      <c r="L399">
        <v>9</v>
      </c>
      <c r="M399">
        <v>1.75</v>
      </c>
      <c r="N399">
        <v>0.1944444444444444</v>
      </c>
      <c r="O399">
        <v>0</v>
      </c>
      <c r="P399">
        <v>0</v>
      </c>
      <c r="Q399">
        <v>0.003403867543988</v>
      </c>
      <c r="R399" t="s">
        <v>784</v>
      </c>
      <c r="S399" t="s">
        <v>794</v>
      </c>
      <c r="T399">
        <v>20889.965666</v>
      </c>
      <c r="U399" s="2">
        <v>44509</v>
      </c>
      <c r="V399" t="s">
        <v>799</v>
      </c>
    </row>
    <row r="400" spans="1:22">
      <c r="A400" s="1" t="s">
        <v>420</v>
      </c>
      <c r="B400">
        <f>HYPERLINK("https://www.suredividend.com/sure-analysis-PFE/","Pfizer Inc.")</f>
        <v>0</v>
      </c>
      <c r="C400">
        <v>61.25</v>
      </c>
      <c r="D400">
        <v>56</v>
      </c>
      <c r="E400">
        <v>1.09375</v>
      </c>
      <c r="F400">
        <v>0.02612244897959184</v>
      </c>
      <c r="G400">
        <v>-0.01776278016252675</v>
      </c>
      <c r="H400">
        <v>0.05</v>
      </c>
      <c r="I400">
        <v>0.05378492169094939</v>
      </c>
      <c r="J400" t="s">
        <v>352</v>
      </c>
      <c r="K400" t="s">
        <v>529</v>
      </c>
      <c r="L400">
        <v>4.15</v>
      </c>
      <c r="M400">
        <v>1.6</v>
      </c>
      <c r="N400">
        <v>0.3855421686746988</v>
      </c>
      <c r="O400">
        <v>13</v>
      </c>
      <c r="P400">
        <v>0.004950737119488569</v>
      </c>
      <c r="Q400">
        <v>0.5784217929583061</v>
      </c>
      <c r="R400" t="s">
        <v>784</v>
      </c>
      <c r="S400" t="s">
        <v>789</v>
      </c>
      <c r="T400">
        <v>330036.555962</v>
      </c>
      <c r="U400" s="2">
        <v>44504</v>
      </c>
      <c r="V400" t="s">
        <v>805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44.22</v>
      </c>
      <c r="D401">
        <v>42</v>
      </c>
      <c r="E401">
        <v>1.052857142857143</v>
      </c>
      <c r="F401">
        <v>0.01537765716870195</v>
      </c>
      <c r="G401">
        <v>-0.01024863259340358</v>
      </c>
      <c r="H401">
        <v>0.05</v>
      </c>
      <c r="I401">
        <v>0.05210007832266195</v>
      </c>
      <c r="J401" t="s">
        <v>352</v>
      </c>
      <c r="K401" t="s">
        <v>529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0.202341146127793</v>
      </c>
      <c r="R401" t="s">
        <v>784</v>
      </c>
      <c r="S401" t="s">
        <v>791</v>
      </c>
      <c r="T401">
        <v>10708.185142</v>
      </c>
      <c r="U401" s="2">
        <v>44506</v>
      </c>
      <c r="V401" t="s">
        <v>800</v>
      </c>
    </row>
    <row r="402" spans="1:22">
      <c r="A402" s="1" t="s">
        <v>422</v>
      </c>
      <c r="B402">
        <f>HYPERLINK("https://www.suredividend.com/sure-analysis-PNC/","PNC Financial Services Group")</f>
        <v>0</v>
      </c>
      <c r="C402">
        <v>201.79</v>
      </c>
      <c r="D402">
        <v>180</v>
      </c>
      <c r="E402">
        <v>1.121055555555555</v>
      </c>
      <c r="F402">
        <v>0.02477823479855295</v>
      </c>
      <c r="G402">
        <v>-0.02259496267407479</v>
      </c>
      <c r="H402">
        <v>0.05</v>
      </c>
      <c r="I402">
        <v>0.05101868699051382</v>
      </c>
      <c r="J402" t="s">
        <v>352</v>
      </c>
      <c r="K402" t="s">
        <v>529</v>
      </c>
      <c r="L402">
        <v>14.3</v>
      </c>
      <c r="M402">
        <v>5</v>
      </c>
      <c r="N402">
        <v>0.3496503496503496</v>
      </c>
      <c r="O402">
        <v>11</v>
      </c>
      <c r="P402">
        <v>0.05061112176150684</v>
      </c>
      <c r="Q402">
        <v>0.4208154338658761</v>
      </c>
      <c r="R402" t="s">
        <v>784</v>
      </c>
      <c r="S402" t="s">
        <v>793</v>
      </c>
      <c r="T402">
        <v>83716.691051</v>
      </c>
      <c r="U402" s="2">
        <v>44490</v>
      </c>
      <c r="V402" t="s">
        <v>807</v>
      </c>
    </row>
    <row r="403" spans="1:22">
      <c r="A403" s="1" t="s">
        <v>423</v>
      </c>
      <c r="B403">
        <f>HYPERLINK("https://www.suredividend.com/sure-analysis-COP/","Conoco Phillips")</f>
        <v>0</v>
      </c>
      <c r="C403">
        <v>71.7</v>
      </c>
      <c r="D403">
        <v>74</v>
      </c>
      <c r="E403">
        <v>0.9689189189189189</v>
      </c>
      <c r="F403">
        <v>0.02566248256624826</v>
      </c>
      <c r="G403">
        <v>0.006334849942336351</v>
      </c>
      <c r="H403">
        <v>0.02</v>
      </c>
      <c r="I403">
        <v>0.05062912075695292</v>
      </c>
      <c r="J403" t="s">
        <v>352</v>
      </c>
      <c r="K403" t="s">
        <v>529</v>
      </c>
      <c r="L403">
        <v>5.8</v>
      </c>
      <c r="M403">
        <v>1.84</v>
      </c>
      <c r="N403">
        <v>0.3172413793103449</v>
      </c>
      <c r="O403">
        <v>6</v>
      </c>
      <c r="P403">
        <v>0.03066894385040531</v>
      </c>
      <c r="Q403">
        <v>0.703268512295763</v>
      </c>
      <c r="R403" t="s">
        <v>784</v>
      </c>
      <c r="S403" t="s">
        <v>797</v>
      </c>
      <c r="T403">
        <v>93262.732966</v>
      </c>
      <c r="U403" s="2">
        <v>44504</v>
      </c>
      <c r="V403" t="s">
        <v>807</v>
      </c>
    </row>
    <row r="404" spans="1:22">
      <c r="A404" s="1" t="s">
        <v>424</v>
      </c>
      <c r="B404">
        <f>HYPERLINK("https://www.suredividend.com/sure-analysis-PSB/","PS Business Parks, Inc.")</f>
        <v>0</v>
      </c>
      <c r="C404">
        <v>176.53</v>
      </c>
      <c r="D404">
        <v>161</v>
      </c>
      <c r="E404">
        <v>1.096459627329192</v>
      </c>
      <c r="F404">
        <v>0.02379199003002323</v>
      </c>
      <c r="G404">
        <v>-0.01824873177387076</v>
      </c>
      <c r="H404">
        <v>0.045</v>
      </c>
      <c r="I404">
        <v>0.05039874208194961</v>
      </c>
      <c r="J404" t="s">
        <v>352</v>
      </c>
      <c r="K404" t="s">
        <v>352</v>
      </c>
      <c r="L404">
        <v>6.98</v>
      </c>
      <c r="M404">
        <v>4.2</v>
      </c>
      <c r="N404">
        <v>0.6017191977077364</v>
      </c>
      <c r="O404">
        <v>0</v>
      </c>
      <c r="P404">
        <v>0.05997935097636264</v>
      </c>
      <c r="Q404">
        <v>0.322079172199801</v>
      </c>
      <c r="R404" t="s">
        <v>786</v>
      </c>
      <c r="S404" t="s">
        <v>798</v>
      </c>
      <c r="T404">
        <v>4775.344631</v>
      </c>
      <c r="U404" s="2">
        <v>44513</v>
      </c>
      <c r="V404" t="s">
        <v>799</v>
      </c>
    </row>
    <row r="405" spans="1:22">
      <c r="A405" s="1" t="s">
        <v>425</v>
      </c>
      <c r="B405">
        <f>HYPERLINK("https://www.suredividend.com/sure-analysis-AGM/","Federal Agricultural Mortgage Corp.")</f>
        <v>0</v>
      </c>
      <c r="C405">
        <v>118.35</v>
      </c>
      <c r="D405">
        <v>94</v>
      </c>
      <c r="E405">
        <v>1.259042553191489</v>
      </c>
      <c r="F405">
        <v>0.02974228981833545</v>
      </c>
      <c r="G405">
        <v>-0.04502518515384857</v>
      </c>
      <c r="H405">
        <v>0.065</v>
      </c>
      <c r="I405">
        <v>0.05005165700433212</v>
      </c>
      <c r="J405" t="s">
        <v>352</v>
      </c>
      <c r="K405" t="s">
        <v>352</v>
      </c>
      <c r="L405">
        <v>10.46</v>
      </c>
      <c r="M405">
        <v>3.52</v>
      </c>
      <c r="N405">
        <v>0.3365200764818355</v>
      </c>
      <c r="O405">
        <v>10</v>
      </c>
      <c r="P405">
        <v>0.0799150058822331</v>
      </c>
      <c r="Q405">
        <v>0.6536396839990271</v>
      </c>
      <c r="R405" t="s">
        <v>784</v>
      </c>
      <c r="S405" t="s">
        <v>793</v>
      </c>
      <c r="T405">
        <v>1211.381903</v>
      </c>
      <c r="U405" s="2">
        <v>44513</v>
      </c>
      <c r="V405" t="s">
        <v>806</v>
      </c>
    </row>
    <row r="406" spans="1:22">
      <c r="A406" s="1" t="s">
        <v>426</v>
      </c>
      <c r="B406">
        <f>HYPERLINK("https://www.suredividend.com/sure-analysis-SO/","Southern Company")</f>
        <v>0</v>
      </c>
      <c r="C406">
        <v>67.55</v>
      </c>
      <c r="D406">
        <v>56</v>
      </c>
      <c r="E406">
        <v>1.20625</v>
      </c>
      <c r="F406">
        <v>0.03908216136195411</v>
      </c>
      <c r="G406">
        <v>-0.03680873647972593</v>
      </c>
      <c r="H406">
        <v>0.05</v>
      </c>
      <c r="I406">
        <v>0.04925395206356553</v>
      </c>
      <c r="J406" t="s">
        <v>352</v>
      </c>
      <c r="K406" t="s">
        <v>781</v>
      </c>
      <c r="L406">
        <v>3.38</v>
      </c>
      <c r="M406">
        <v>2.64</v>
      </c>
      <c r="N406">
        <v>0.7810650887573966</v>
      </c>
      <c r="O406">
        <v>20</v>
      </c>
      <c r="P406">
        <v>0.02996744995959233</v>
      </c>
      <c r="Q406">
        <v>0.142916826475261</v>
      </c>
      <c r="R406" t="s">
        <v>784</v>
      </c>
      <c r="S406" t="s">
        <v>796</v>
      </c>
      <c r="T406">
        <v>70741.912394</v>
      </c>
      <c r="U406" s="2">
        <v>44512</v>
      </c>
      <c r="V406" t="s">
        <v>807</v>
      </c>
    </row>
    <row r="407" spans="1:22">
      <c r="A407" s="1" t="s">
        <v>427</v>
      </c>
      <c r="B407">
        <f>HYPERLINK("https://www.suredividend.com/sure-analysis-USB/","U.S. Bancorp.")</f>
        <v>0</v>
      </c>
      <c r="C407">
        <v>57.43</v>
      </c>
      <c r="D407">
        <v>62</v>
      </c>
      <c r="E407">
        <v>0.9262903225806451</v>
      </c>
      <c r="F407">
        <v>0.0320390040048755</v>
      </c>
      <c r="G407">
        <v>0.01543136670082479</v>
      </c>
      <c r="H407">
        <v>0</v>
      </c>
      <c r="I407">
        <v>0.04911387991691485</v>
      </c>
      <c r="J407" t="s">
        <v>352</v>
      </c>
      <c r="K407" t="s">
        <v>352</v>
      </c>
      <c r="L407">
        <v>5.15</v>
      </c>
      <c r="M407">
        <v>1.84</v>
      </c>
      <c r="N407">
        <v>0.3572815533980582</v>
      </c>
      <c r="O407">
        <v>10</v>
      </c>
      <c r="P407">
        <v>0.05979888147511248</v>
      </c>
      <c r="Q407">
        <v>0.296022622150246</v>
      </c>
      <c r="R407" t="s">
        <v>784</v>
      </c>
      <c r="S407" t="s">
        <v>793</v>
      </c>
      <c r="T407">
        <v>84133.940306</v>
      </c>
      <c r="U407" s="2">
        <v>44491</v>
      </c>
      <c r="V407" t="s">
        <v>804</v>
      </c>
    </row>
    <row r="408" spans="1:22">
      <c r="A408" s="1" t="s">
        <v>428</v>
      </c>
      <c r="B408">
        <f>HYPERLINK("https://www.suredividend.com/sure-analysis-BUD/","Anheuser-Busch In Bev SA/NV")</f>
        <v>0</v>
      </c>
      <c r="C408">
        <v>59.4</v>
      </c>
      <c r="D408">
        <v>62</v>
      </c>
      <c r="E408">
        <v>0.9580645161290322</v>
      </c>
      <c r="F408">
        <v>0.009595959595959595</v>
      </c>
      <c r="G408">
        <v>0.008604842375678379</v>
      </c>
      <c r="H408">
        <v>0.03</v>
      </c>
      <c r="I408">
        <v>0.04697397680712667</v>
      </c>
      <c r="J408" t="s">
        <v>352</v>
      </c>
      <c r="K408" t="s">
        <v>782</v>
      </c>
      <c r="L408">
        <v>3.08</v>
      </c>
      <c r="M408">
        <v>0.57</v>
      </c>
      <c r="N408">
        <v>0.185064935064935</v>
      </c>
      <c r="O408">
        <v>0</v>
      </c>
      <c r="P408">
        <v>0</v>
      </c>
      <c r="Q408">
        <v>-0.173782269675414</v>
      </c>
      <c r="R408" t="s">
        <v>784</v>
      </c>
      <c r="S408" t="s">
        <v>795</v>
      </c>
      <c r="T408">
        <v>100636.643868</v>
      </c>
      <c r="U408" s="2">
        <v>44530</v>
      </c>
      <c r="V408" t="s">
        <v>805</v>
      </c>
    </row>
    <row r="409" spans="1:22">
      <c r="A409" s="1" t="s">
        <v>429</v>
      </c>
      <c r="B409">
        <f>HYPERLINK("https://www.suredividend.com/sure-analysis-GIS/","General Mills, Inc.")</f>
        <v>0</v>
      </c>
      <c r="C409">
        <v>68.86</v>
      </c>
      <c r="D409">
        <v>65</v>
      </c>
      <c r="E409">
        <v>1.059384615384615</v>
      </c>
      <c r="F409">
        <v>0.03049665988963114</v>
      </c>
      <c r="G409">
        <v>-0.01147133430168767</v>
      </c>
      <c r="H409">
        <v>0.03</v>
      </c>
      <c r="I409">
        <v>0.04653826623025403</v>
      </c>
      <c r="J409" t="s">
        <v>352</v>
      </c>
      <c r="K409" t="s">
        <v>781</v>
      </c>
      <c r="L409">
        <v>3.8</v>
      </c>
      <c r="M409">
        <v>2.1</v>
      </c>
      <c r="N409">
        <v>0.5526315789473685</v>
      </c>
      <c r="O409">
        <v>1</v>
      </c>
      <c r="P409">
        <v>0.0183608813392091</v>
      </c>
      <c r="Q409">
        <v>0.169976735983821</v>
      </c>
      <c r="R409" t="s">
        <v>784</v>
      </c>
      <c r="S409" t="s">
        <v>795</v>
      </c>
      <c r="T409">
        <v>40787.329718</v>
      </c>
      <c r="U409" s="2">
        <v>44461</v>
      </c>
      <c r="V409" t="s">
        <v>807</v>
      </c>
    </row>
    <row r="410" spans="1:22">
      <c r="A410" s="1" t="s">
        <v>430</v>
      </c>
      <c r="B410">
        <f>HYPERLINK("https://www.suredividend.com/sure-analysis-WY/","Weyerhaeuser Co.")</f>
        <v>0</v>
      </c>
      <c r="C410">
        <v>39.63</v>
      </c>
      <c r="D410">
        <v>55.8</v>
      </c>
      <c r="E410">
        <v>0.710215053763441</v>
      </c>
      <c r="F410">
        <v>0.0171587181428211</v>
      </c>
      <c r="G410">
        <v>0.07083368765474707</v>
      </c>
      <c r="H410">
        <v>-0.053</v>
      </c>
      <c r="I410">
        <v>0.03799314753351957</v>
      </c>
      <c r="J410" t="s">
        <v>352</v>
      </c>
      <c r="K410" t="s">
        <v>529</v>
      </c>
      <c r="L410">
        <v>3.28</v>
      </c>
      <c r="M410">
        <v>0.68</v>
      </c>
      <c r="N410">
        <v>0.2073170731707317</v>
      </c>
      <c r="O410">
        <v>0</v>
      </c>
      <c r="P410">
        <v>0.1486983549970351</v>
      </c>
      <c r="Q410">
        <v>0.215426400034488</v>
      </c>
      <c r="R410" t="s">
        <v>786</v>
      </c>
      <c r="S410" t="s">
        <v>798</v>
      </c>
      <c r="T410">
        <v>29564.80615</v>
      </c>
      <c r="U410" s="2">
        <v>44506</v>
      </c>
      <c r="V410" t="s">
        <v>808</v>
      </c>
    </row>
    <row r="411" spans="1:22">
      <c r="A411" s="1" t="s">
        <v>431</v>
      </c>
      <c r="B411">
        <f>HYPERLINK("https://www.suredividend.com/sure-analysis-HOG/","Harley-Davidson, Inc.")</f>
        <v>0</v>
      </c>
      <c r="C411">
        <v>37.01</v>
      </c>
      <c r="D411">
        <v>47</v>
      </c>
      <c r="E411">
        <v>0.7874468085106383</v>
      </c>
      <c r="F411">
        <v>0.01621183463928668</v>
      </c>
      <c r="G411">
        <v>0.04895233625189155</v>
      </c>
      <c r="H411">
        <v>-0.036</v>
      </c>
      <c r="I411">
        <v>0.03755927929174985</v>
      </c>
      <c r="J411" t="s">
        <v>352</v>
      </c>
      <c r="K411" t="s">
        <v>529</v>
      </c>
      <c r="L411">
        <v>3.6</v>
      </c>
      <c r="M411">
        <v>0.6</v>
      </c>
      <c r="N411">
        <v>0.1666666666666667</v>
      </c>
      <c r="O411">
        <v>0</v>
      </c>
      <c r="P411">
        <v>0.2011244339814313</v>
      </c>
      <c r="Q411">
        <v>0.042436768088737</v>
      </c>
      <c r="R411" t="s">
        <v>784</v>
      </c>
      <c r="S411" t="s">
        <v>792</v>
      </c>
      <c r="T411">
        <v>5835.378514</v>
      </c>
      <c r="U411" s="2">
        <v>44503</v>
      </c>
      <c r="V411" t="s">
        <v>808</v>
      </c>
    </row>
    <row r="412" spans="1:22">
      <c r="A412" s="1" t="s">
        <v>432</v>
      </c>
      <c r="B412">
        <f>HYPERLINK("https://www.suredividend.com/sure-analysis-WPC/","W. P. Carey Inc")</f>
        <v>0</v>
      </c>
      <c r="C412">
        <v>80.16</v>
      </c>
      <c r="D412">
        <v>62</v>
      </c>
      <c r="E412">
        <v>1.292903225806451</v>
      </c>
      <c r="F412">
        <v>0.05264471057884231</v>
      </c>
      <c r="G412">
        <v>-0.05008051485509546</v>
      </c>
      <c r="H412">
        <v>0.035</v>
      </c>
      <c r="I412">
        <v>0.03674423562987039</v>
      </c>
      <c r="J412" t="s">
        <v>352</v>
      </c>
      <c r="K412" t="s">
        <v>780</v>
      </c>
      <c r="L412">
        <v>4.98</v>
      </c>
      <c r="M412">
        <v>4.22</v>
      </c>
      <c r="N412">
        <v>0.8473895582329316</v>
      </c>
      <c r="O412">
        <v>23</v>
      </c>
      <c r="P412">
        <v>0.01959594688439426</v>
      </c>
      <c r="Q412">
        <v>0.191763714693738</v>
      </c>
      <c r="R412" t="s">
        <v>786</v>
      </c>
      <c r="S412" t="s">
        <v>798</v>
      </c>
      <c r="T412">
        <v>14861.81371</v>
      </c>
      <c r="U412" s="2">
        <v>44533</v>
      </c>
      <c r="V412" t="s">
        <v>802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34.05</v>
      </c>
      <c r="D413">
        <v>26</v>
      </c>
      <c r="E413">
        <v>1.309615384615384</v>
      </c>
      <c r="F413">
        <v>0.01409691629955947</v>
      </c>
      <c r="G413">
        <v>-0.05251739299292535</v>
      </c>
      <c r="H413">
        <v>0.075</v>
      </c>
      <c r="I413">
        <v>0.03413015343765302</v>
      </c>
      <c r="J413" t="s">
        <v>352</v>
      </c>
      <c r="K413" t="s">
        <v>782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0.024821645392984</v>
      </c>
      <c r="R413" t="s">
        <v>784</v>
      </c>
      <c r="S413" t="s">
        <v>791</v>
      </c>
      <c r="T413">
        <v>8025.126348</v>
      </c>
      <c r="U413" s="2">
        <v>44493</v>
      </c>
      <c r="V413" t="s">
        <v>806</v>
      </c>
    </row>
    <row r="414" spans="1:22">
      <c r="A414" s="1" t="s">
        <v>434</v>
      </c>
      <c r="B414">
        <f>HYPERLINK("https://www.suredividend.com/sure-analysis-BAC/","Bank Of America Corp.")</f>
        <v>0</v>
      </c>
      <c r="C414">
        <v>45</v>
      </c>
      <c r="D414">
        <v>39</v>
      </c>
      <c r="E414">
        <v>1.153846153846154</v>
      </c>
      <c r="F414">
        <v>0.01866666666666666</v>
      </c>
      <c r="G414">
        <v>-0.0282144910993144</v>
      </c>
      <c r="H414">
        <v>0.04</v>
      </c>
      <c r="I414">
        <v>0.03359088311039193</v>
      </c>
      <c r="J414" t="s">
        <v>352</v>
      </c>
      <c r="K414" t="s">
        <v>529</v>
      </c>
      <c r="L414">
        <v>3.35</v>
      </c>
      <c r="M414">
        <v>0.84</v>
      </c>
      <c r="N414">
        <v>0.2507462686567164</v>
      </c>
      <c r="O414">
        <v>8</v>
      </c>
      <c r="P414">
        <v>0.09953965407958165</v>
      </c>
      <c r="Q414">
        <v>0.563751152172133</v>
      </c>
      <c r="R414" t="s">
        <v>784</v>
      </c>
      <c r="S414" t="s">
        <v>793</v>
      </c>
      <c r="T414">
        <v>359608.652366</v>
      </c>
      <c r="U414" s="2">
        <v>44485</v>
      </c>
      <c r="V414" t="s">
        <v>804</v>
      </c>
    </row>
    <row r="415" spans="1:22">
      <c r="A415" s="1" t="s">
        <v>435</v>
      </c>
      <c r="B415">
        <f>HYPERLINK("https://www.suredividend.com/sure-analysis-WEC/","WEC Energy Group Inc")</f>
        <v>0</v>
      </c>
      <c r="C415">
        <v>98.36</v>
      </c>
      <c r="D415">
        <v>77</v>
      </c>
      <c r="E415">
        <v>1.277402597402597</v>
      </c>
      <c r="F415">
        <v>0.02958519723464823</v>
      </c>
      <c r="G415">
        <v>-0.04778626620337367</v>
      </c>
      <c r="H415">
        <v>0.052</v>
      </c>
      <c r="I415">
        <v>0.03257925863858202</v>
      </c>
      <c r="J415" t="s">
        <v>352</v>
      </c>
      <c r="K415" t="s">
        <v>781</v>
      </c>
      <c r="L415">
        <v>4.06</v>
      </c>
      <c r="M415">
        <v>2.91</v>
      </c>
      <c r="N415">
        <v>0.7167487684729065</v>
      </c>
      <c r="O415">
        <v>18</v>
      </c>
      <c r="P415">
        <v>0.03701846058818714</v>
      </c>
      <c r="Q415">
        <v>0.075156761359101</v>
      </c>
      <c r="R415" t="s">
        <v>784</v>
      </c>
      <c r="S415" t="s">
        <v>796</v>
      </c>
      <c r="T415">
        <v>30590.840816</v>
      </c>
      <c r="U415" s="2">
        <v>44502</v>
      </c>
      <c r="V415" t="s">
        <v>800</v>
      </c>
    </row>
    <row r="416" spans="1:22">
      <c r="A416" s="1" t="s">
        <v>436</v>
      </c>
      <c r="B416">
        <f>HYPERLINK("https://www.suredividend.com/sure-analysis-NNN/","National Retail Properties Inc")</f>
        <v>0</v>
      </c>
      <c r="C416">
        <v>45.76</v>
      </c>
      <c r="D416">
        <v>39.1</v>
      </c>
      <c r="E416">
        <v>1.170332480818414</v>
      </c>
      <c r="F416">
        <v>0.04632867132867134</v>
      </c>
      <c r="G416">
        <v>-0.03096793421746613</v>
      </c>
      <c r="H416">
        <v>0.015</v>
      </c>
      <c r="I416">
        <v>0.03080473323089095</v>
      </c>
      <c r="J416" t="s">
        <v>352</v>
      </c>
      <c r="K416" t="s">
        <v>781</v>
      </c>
      <c r="L416">
        <v>2.79</v>
      </c>
      <c r="M416">
        <v>2.12</v>
      </c>
      <c r="N416">
        <v>0.7598566308243728</v>
      </c>
      <c r="O416">
        <v>21</v>
      </c>
      <c r="P416">
        <v>0.01643215369887963</v>
      </c>
      <c r="Q416">
        <v>0.181042227049025</v>
      </c>
      <c r="R416" t="s">
        <v>786</v>
      </c>
      <c r="S416" t="s">
        <v>798</v>
      </c>
      <c r="T416">
        <v>8011.642613</v>
      </c>
      <c r="U416" s="2">
        <v>44506</v>
      </c>
      <c r="V416" t="s">
        <v>808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170</v>
      </c>
      <c r="D417">
        <v>135</v>
      </c>
      <c r="E417">
        <v>1.259259259259259</v>
      </c>
      <c r="F417">
        <v>0.01258823529411765</v>
      </c>
      <c r="G417">
        <v>-0.04505805576130029</v>
      </c>
      <c r="H417">
        <v>0.062</v>
      </c>
      <c r="I417">
        <v>0.02797597387222828</v>
      </c>
      <c r="J417" t="s">
        <v>352</v>
      </c>
      <c r="K417" t="s">
        <v>782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0.48320536676304</v>
      </c>
      <c r="R417" t="s">
        <v>784</v>
      </c>
      <c r="S417" t="s">
        <v>793</v>
      </c>
      <c r="T417">
        <v>86044.268444</v>
      </c>
      <c r="U417" s="2">
        <v>44505</v>
      </c>
      <c r="V417" t="s">
        <v>806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44.44</v>
      </c>
      <c r="D418">
        <v>50</v>
      </c>
      <c r="E418">
        <v>0.8887999999999999</v>
      </c>
      <c r="F418">
        <v>0.0225022502250225</v>
      </c>
      <c r="G418">
        <v>0.02385673349341411</v>
      </c>
      <c r="H418">
        <v>-0.02</v>
      </c>
      <c r="I418">
        <v>0.02795372673286733</v>
      </c>
      <c r="J418" t="s">
        <v>352</v>
      </c>
      <c r="K418" t="s">
        <v>529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0.8066153647180551</v>
      </c>
      <c r="R418" t="s">
        <v>784</v>
      </c>
      <c r="S418" t="s">
        <v>793</v>
      </c>
      <c r="T418">
        <v>5241.424241</v>
      </c>
      <c r="U418" s="2">
        <v>44493</v>
      </c>
      <c r="V418" t="s">
        <v>804</v>
      </c>
    </row>
    <row r="419" spans="1:22">
      <c r="A419" s="1" t="s">
        <v>439</v>
      </c>
      <c r="B419">
        <f>HYPERLINK("https://www.suredividend.com/sure-analysis-DUK/","Duke Energy Corp.")</f>
        <v>0</v>
      </c>
      <c r="C419">
        <v>104.54</v>
      </c>
      <c r="D419">
        <v>78.3</v>
      </c>
      <c r="E419">
        <v>1.335121328224777</v>
      </c>
      <c r="F419">
        <v>0.03768892290032523</v>
      </c>
      <c r="G419">
        <v>-0.05616548872532656</v>
      </c>
      <c r="H419">
        <v>0.043</v>
      </c>
      <c r="I419">
        <v>0.02451197673726657</v>
      </c>
      <c r="J419" t="s">
        <v>352</v>
      </c>
      <c r="K419" t="s">
        <v>781</v>
      </c>
      <c r="L419">
        <v>5.22</v>
      </c>
      <c r="M419">
        <v>3.94</v>
      </c>
      <c r="N419">
        <v>0.7547892720306514</v>
      </c>
      <c r="O419">
        <v>10</v>
      </c>
      <c r="P419">
        <v>0.02693571566003095</v>
      </c>
      <c r="Q419">
        <v>0.171811070014074</v>
      </c>
      <c r="R419" t="s">
        <v>784</v>
      </c>
      <c r="S419" t="s">
        <v>796</v>
      </c>
      <c r="T419">
        <v>79872.629424</v>
      </c>
      <c r="U419" s="2">
        <v>44509</v>
      </c>
      <c r="V419" t="s">
        <v>808</v>
      </c>
    </row>
    <row r="420" spans="1:22">
      <c r="A420" s="1" t="s">
        <v>440</v>
      </c>
      <c r="B420">
        <f>HYPERLINK("https://www.suredividend.com/sure-analysis-OSK/","Oshkosh Corp")</f>
        <v>0</v>
      </c>
      <c r="C420">
        <v>109.28</v>
      </c>
      <c r="D420">
        <v>84</v>
      </c>
      <c r="E420">
        <v>1.300952380952381</v>
      </c>
      <c r="F420">
        <v>0.01354319180087848</v>
      </c>
      <c r="G420">
        <v>-0.05125888891431396</v>
      </c>
      <c r="H420">
        <v>0.06</v>
      </c>
      <c r="I420">
        <v>0.02243329682547168</v>
      </c>
      <c r="J420" t="s">
        <v>352</v>
      </c>
      <c r="K420" t="s">
        <v>529</v>
      </c>
      <c r="L420">
        <v>6</v>
      </c>
      <c r="M420">
        <v>1.48</v>
      </c>
      <c r="N420">
        <v>0.2466666666666667</v>
      </c>
      <c r="O420">
        <v>9</v>
      </c>
      <c r="P420">
        <v>0.09122612129561491</v>
      </c>
      <c r="Q420">
        <v>0.270608874295244</v>
      </c>
      <c r="R420" t="s">
        <v>784</v>
      </c>
      <c r="S420" t="s">
        <v>791</v>
      </c>
      <c r="T420">
        <v>7429.644711</v>
      </c>
      <c r="U420" s="2">
        <v>44502</v>
      </c>
      <c r="V420" t="s">
        <v>803</v>
      </c>
    </row>
    <row r="421" spans="1:22">
      <c r="A421" s="1" t="s">
        <v>441</v>
      </c>
      <c r="B421">
        <f>HYPERLINK("https://www.suredividend.com/sure-analysis-GS/","Goldman Sachs Group, Inc.")</f>
        <v>0</v>
      </c>
      <c r="C421">
        <v>397.37</v>
      </c>
      <c r="D421">
        <v>671</v>
      </c>
      <c r="E421">
        <v>0.5922056631892697</v>
      </c>
      <c r="F421">
        <v>0.02013237033495231</v>
      </c>
      <c r="G421">
        <v>0.1104665697072087</v>
      </c>
      <c r="H421">
        <v>-0.1</v>
      </c>
      <c r="I421">
        <v>0.0211805528292679</v>
      </c>
      <c r="J421" t="s">
        <v>352</v>
      </c>
      <c r="K421" t="s">
        <v>529</v>
      </c>
      <c r="L421">
        <v>61</v>
      </c>
      <c r="M421">
        <v>8</v>
      </c>
      <c r="N421">
        <v>0.1311475409836066</v>
      </c>
      <c r="O421">
        <v>10</v>
      </c>
      <c r="P421">
        <v>0.03993111034207586</v>
      </c>
      <c r="Q421">
        <v>0.6365747231031921</v>
      </c>
      <c r="R421" t="s">
        <v>784</v>
      </c>
      <c r="S421" t="s">
        <v>793</v>
      </c>
      <c r="T421">
        <v>130539.130832</v>
      </c>
      <c r="U421" s="2">
        <v>44485</v>
      </c>
      <c r="V421" t="s">
        <v>804</v>
      </c>
    </row>
    <row r="422" spans="1:22">
      <c r="A422" s="1" t="s">
        <v>442</v>
      </c>
      <c r="B422">
        <f>HYPERLINK("https://www.suredividend.com/sure-analysis-FITB/","Fifth Third Bancorp")</f>
        <v>0</v>
      </c>
      <c r="C422">
        <v>43.53</v>
      </c>
      <c r="D422">
        <v>36</v>
      </c>
      <c r="E422">
        <v>1.209166666666667</v>
      </c>
      <c r="F422">
        <v>0.02756719503790489</v>
      </c>
      <c r="G422">
        <v>-0.03727385389072357</v>
      </c>
      <c r="H422">
        <v>0.03</v>
      </c>
      <c r="I422">
        <v>0.02098312574053773</v>
      </c>
      <c r="J422" t="s">
        <v>352</v>
      </c>
      <c r="K422" t="s">
        <v>352</v>
      </c>
      <c r="L422">
        <v>3.64</v>
      </c>
      <c r="M422">
        <v>1.2</v>
      </c>
      <c r="N422">
        <v>0.3296703296703297</v>
      </c>
      <c r="O422">
        <v>11</v>
      </c>
      <c r="P422">
        <v>0.02983277847878951</v>
      </c>
      <c r="Q422">
        <v>0.653515720204728</v>
      </c>
      <c r="R422" t="s">
        <v>784</v>
      </c>
      <c r="S422" t="s">
        <v>793</v>
      </c>
      <c r="T422">
        <v>29688.741358</v>
      </c>
      <c r="U422" s="2">
        <v>44488</v>
      </c>
      <c r="V422" t="s">
        <v>800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11.84</v>
      </c>
      <c r="D423">
        <v>10</v>
      </c>
      <c r="E423">
        <v>1.184</v>
      </c>
      <c r="F423">
        <v>0.003378378378378379</v>
      </c>
      <c r="G423">
        <v>-0.03321554325357468</v>
      </c>
      <c r="H423">
        <v>0.05</v>
      </c>
      <c r="I423">
        <v>0.01874233138660197</v>
      </c>
      <c r="J423" t="s">
        <v>352</v>
      </c>
      <c r="K423" t="s">
        <v>782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0.26863578502233</v>
      </c>
      <c r="R423" t="s">
        <v>784</v>
      </c>
      <c r="S423" t="s">
        <v>791</v>
      </c>
      <c r="T423">
        <v>3095.493166</v>
      </c>
      <c r="U423" s="2">
        <v>44513</v>
      </c>
      <c r="V423" t="s">
        <v>806</v>
      </c>
    </row>
    <row r="424" spans="1:22">
      <c r="A424" s="1" t="s">
        <v>444</v>
      </c>
      <c r="B424">
        <f>HYPERLINK("https://www.suredividend.com/sure-analysis-CMA/","Comerica, Inc.")</f>
        <v>0</v>
      </c>
      <c r="C424">
        <v>87.11</v>
      </c>
      <c r="D424">
        <v>83</v>
      </c>
      <c r="E424">
        <v>1.049518072289157</v>
      </c>
      <c r="F424">
        <v>0.03122488807255195</v>
      </c>
      <c r="G424">
        <v>-0.00961964830616524</v>
      </c>
      <c r="H424">
        <v>-0.01</v>
      </c>
      <c r="I424">
        <v>0.01490205157847058</v>
      </c>
      <c r="J424" t="s">
        <v>352</v>
      </c>
      <c r="K424" t="s">
        <v>352</v>
      </c>
      <c r="L424">
        <v>7.5</v>
      </c>
      <c r="M424">
        <v>2.72</v>
      </c>
      <c r="N424">
        <v>0.3626666666666667</v>
      </c>
      <c r="O424">
        <v>11</v>
      </c>
      <c r="P424">
        <v>0.02978919320783269</v>
      </c>
      <c r="Q424">
        <v>0.66631735442004</v>
      </c>
      <c r="R424" t="s">
        <v>784</v>
      </c>
      <c r="S424" t="s">
        <v>793</v>
      </c>
      <c r="T424">
        <v>11156.816846</v>
      </c>
      <c r="U424" s="2">
        <v>44490</v>
      </c>
      <c r="V424" t="s">
        <v>803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241.61</v>
      </c>
      <c r="D425">
        <v>185</v>
      </c>
      <c r="E425">
        <v>1.306</v>
      </c>
      <c r="F425">
        <v>0.01258226066801871</v>
      </c>
      <c r="G425">
        <v>-0.05199339188962748</v>
      </c>
      <c r="H425">
        <v>0.05</v>
      </c>
      <c r="I425">
        <v>0.009853317577185994</v>
      </c>
      <c r="J425" t="s">
        <v>352</v>
      </c>
      <c r="K425" t="s">
        <v>782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0.150953270456828</v>
      </c>
      <c r="R425" t="s">
        <v>784</v>
      </c>
      <c r="S425" t="s">
        <v>795</v>
      </c>
      <c r="T425">
        <v>45110.049136</v>
      </c>
      <c r="U425" s="2">
        <v>44475</v>
      </c>
      <c r="V425" t="s">
        <v>803</v>
      </c>
    </row>
    <row r="426" spans="1:22">
      <c r="A426" s="1" t="s">
        <v>446</v>
      </c>
      <c r="B426">
        <f>HYPERLINK("https://www.suredividend.com/sure-analysis-PAYX/","Paychex Inc.")</f>
        <v>0</v>
      </c>
      <c r="C426">
        <v>124.65</v>
      </c>
      <c r="D426">
        <v>86</v>
      </c>
      <c r="E426">
        <v>1.449418604651163</v>
      </c>
      <c r="F426">
        <v>0.02117930204572804</v>
      </c>
      <c r="G426">
        <v>-0.07154419977617243</v>
      </c>
      <c r="H426">
        <v>0.06</v>
      </c>
      <c r="I426">
        <v>0.009069738687186302</v>
      </c>
      <c r="J426" t="s">
        <v>352</v>
      </c>
      <c r="K426" t="s">
        <v>529</v>
      </c>
      <c r="L426">
        <v>3.44</v>
      </c>
      <c r="M426">
        <v>2.64</v>
      </c>
      <c r="N426">
        <v>0.7674418604651163</v>
      </c>
      <c r="O426">
        <v>10</v>
      </c>
      <c r="P426">
        <v>0.0500384320386924</v>
      </c>
      <c r="Q426">
        <v>0.3730503791561131</v>
      </c>
      <c r="R426" t="s">
        <v>784</v>
      </c>
      <c r="S426" t="s">
        <v>791</v>
      </c>
      <c r="T426">
        <v>45174.807531</v>
      </c>
      <c r="U426" s="2">
        <v>44472</v>
      </c>
      <c r="V426" t="s">
        <v>800</v>
      </c>
    </row>
    <row r="427" spans="1:22">
      <c r="A427" s="1" t="s">
        <v>447</v>
      </c>
      <c r="B427">
        <f>HYPERLINK("https://www.suredividend.com/sure-analysis-KLIC/","Kulicke &amp; Soffa Industries, Inc.")</f>
        <v>0</v>
      </c>
      <c r="C427">
        <v>54.61</v>
      </c>
      <c r="D427">
        <v>46</v>
      </c>
      <c r="E427">
        <v>1.187173913043478</v>
      </c>
      <c r="F427">
        <v>0.01245193188060795</v>
      </c>
      <c r="G427">
        <v>-0.03373303719175735</v>
      </c>
      <c r="H427">
        <v>0.03</v>
      </c>
      <c r="I427">
        <v>0.008369490934246437</v>
      </c>
      <c r="J427" t="s">
        <v>352</v>
      </c>
      <c r="K427" t="s">
        <v>529</v>
      </c>
      <c r="L427">
        <v>5.79</v>
      </c>
      <c r="M427">
        <v>0.68</v>
      </c>
      <c r="N427">
        <v>0.1174438687392055</v>
      </c>
      <c r="O427">
        <v>2</v>
      </c>
      <c r="P427">
        <v>0.01978934521903875</v>
      </c>
      <c r="Q427">
        <v>0.740918111490059</v>
      </c>
      <c r="R427" t="s">
        <v>784</v>
      </c>
      <c r="S427" t="s">
        <v>790</v>
      </c>
      <c r="T427">
        <v>3657.87898</v>
      </c>
      <c r="U427" s="2">
        <v>44522</v>
      </c>
      <c r="V427" t="s">
        <v>800</v>
      </c>
    </row>
    <row r="428" spans="1:22">
      <c r="A428" s="1" t="s">
        <v>448</v>
      </c>
      <c r="B428">
        <f>HYPERLINK("https://www.suredividend.com/sure-analysis-LOGI/","Logitech International SA")</f>
        <v>0</v>
      </c>
      <c r="C428">
        <v>82.62</v>
      </c>
      <c r="D428">
        <v>67</v>
      </c>
      <c r="E428">
        <v>1.233134328358209</v>
      </c>
      <c r="F428">
        <v>0.01137739046235778</v>
      </c>
      <c r="G428">
        <v>-0.0410456745640293</v>
      </c>
      <c r="H428">
        <v>0.03</v>
      </c>
      <c r="I428">
        <v>0.003255693727423958</v>
      </c>
      <c r="J428" t="s">
        <v>352</v>
      </c>
      <c r="K428" t="s">
        <v>782</v>
      </c>
      <c r="L428">
        <v>4.47</v>
      </c>
      <c r="M428">
        <v>0.9399999999999999</v>
      </c>
      <c r="N428">
        <v>0.2102908277404922</v>
      </c>
      <c r="O428">
        <v>7</v>
      </c>
      <c r="P428">
        <v>0.09943565902862628</v>
      </c>
      <c r="Q428">
        <v>-0.072785241422146</v>
      </c>
      <c r="R428" t="s">
        <v>784</v>
      </c>
      <c r="S428" t="s">
        <v>790</v>
      </c>
      <c r="T428">
        <v>14367.84946</v>
      </c>
      <c r="U428" s="2">
        <v>44495</v>
      </c>
      <c r="V428" t="s">
        <v>800</v>
      </c>
    </row>
    <row r="429" spans="1:22">
      <c r="A429" s="1" t="s">
        <v>449</v>
      </c>
      <c r="B429">
        <f>HYPERLINK("https://www.suredividend.com/sure-analysis-OXY/","Occidental Petroleum Corp.")</f>
        <v>0</v>
      </c>
      <c r="C429">
        <v>28.38</v>
      </c>
      <c r="D429">
        <v>28</v>
      </c>
      <c r="E429">
        <v>1.013571428571429</v>
      </c>
      <c r="F429">
        <v>0.001409443269908386</v>
      </c>
      <c r="G429">
        <v>-0.002692401280085521</v>
      </c>
      <c r="H429">
        <v>0</v>
      </c>
      <c r="I429">
        <v>0.002555210525834406</v>
      </c>
      <c r="J429" t="s">
        <v>352</v>
      </c>
      <c r="K429" t="s">
        <v>782</v>
      </c>
      <c r="L429">
        <v>1.95</v>
      </c>
      <c r="M429">
        <v>0.04</v>
      </c>
      <c r="N429">
        <v>0.02051282051282051</v>
      </c>
      <c r="O429">
        <v>0</v>
      </c>
      <c r="P429">
        <v>0.4757731615945522</v>
      </c>
      <c r="Q429">
        <v>0.439524331090596</v>
      </c>
      <c r="R429" t="s">
        <v>784</v>
      </c>
      <c r="S429" t="s">
        <v>797</v>
      </c>
      <c r="T429">
        <v>26637.137578</v>
      </c>
      <c r="U429" s="2">
        <v>44515</v>
      </c>
      <c r="V429" t="s">
        <v>807</v>
      </c>
    </row>
    <row r="430" spans="1:22">
      <c r="A430" s="1" t="s">
        <v>450</v>
      </c>
      <c r="B430">
        <f>HYPERLINK("https://www.suredividend.com/sure-analysis-OLN/","Olin Corp.")</f>
        <v>0</v>
      </c>
      <c r="C430">
        <v>55.68</v>
      </c>
      <c r="D430">
        <v>45</v>
      </c>
      <c r="E430">
        <v>1.237333333333333</v>
      </c>
      <c r="F430">
        <v>0.01436781609195402</v>
      </c>
      <c r="G430">
        <v>-0.04169741988757325</v>
      </c>
      <c r="H430">
        <v>0.03</v>
      </c>
      <c r="I430">
        <v>0.001744382597306249</v>
      </c>
      <c r="J430" t="s">
        <v>352</v>
      </c>
      <c r="K430" t="s">
        <v>529</v>
      </c>
      <c r="L430">
        <v>14.94</v>
      </c>
      <c r="M430">
        <v>0.8</v>
      </c>
      <c r="N430">
        <v>0.05354752342704151</v>
      </c>
      <c r="O430">
        <v>0</v>
      </c>
      <c r="P430">
        <v>0</v>
      </c>
      <c r="Q430">
        <v>1.383286467335689</v>
      </c>
      <c r="R430" t="s">
        <v>784</v>
      </c>
      <c r="S430" t="s">
        <v>794</v>
      </c>
      <c r="T430">
        <v>8894.411153999999</v>
      </c>
      <c r="U430" s="2">
        <v>44515</v>
      </c>
      <c r="V430" t="s">
        <v>806</v>
      </c>
    </row>
    <row r="431" spans="1:22">
      <c r="A431" s="1" t="s">
        <v>451</v>
      </c>
      <c r="B431">
        <f>HYPERLINK("https://www.suredividend.com/sure-analysis-DLR/","Digital Realty Trust Inc")</f>
        <v>0</v>
      </c>
      <c r="C431">
        <v>171.99</v>
      </c>
      <c r="D431">
        <v>104</v>
      </c>
      <c r="E431">
        <v>1.65375</v>
      </c>
      <c r="F431">
        <v>0.0269783126925984</v>
      </c>
      <c r="G431">
        <v>-0.09571353912680924</v>
      </c>
      <c r="H431">
        <v>0.06</v>
      </c>
      <c r="I431">
        <v>-0.005987070480138801</v>
      </c>
      <c r="J431" t="s">
        <v>352</v>
      </c>
      <c r="K431" t="s">
        <v>352</v>
      </c>
      <c r="L431">
        <v>6.52</v>
      </c>
      <c r="M431">
        <v>4.64</v>
      </c>
      <c r="N431">
        <v>0.7116564417177914</v>
      </c>
      <c r="O431">
        <v>17</v>
      </c>
      <c r="P431">
        <v>0.06002162190703619</v>
      </c>
      <c r="Q431">
        <v>0.363213012335089</v>
      </c>
      <c r="R431" t="s">
        <v>786</v>
      </c>
      <c r="S431" t="s">
        <v>798</v>
      </c>
      <c r="T431">
        <v>48348.868879</v>
      </c>
      <c r="U431" s="2">
        <v>44497</v>
      </c>
      <c r="V431" t="s">
        <v>803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210.4</v>
      </c>
      <c r="D432">
        <v>123</v>
      </c>
      <c r="E432">
        <v>1.710569105691057</v>
      </c>
      <c r="F432">
        <v>0.019106463878327</v>
      </c>
      <c r="G432">
        <v>-0.1018024312172794</v>
      </c>
      <c r="H432">
        <v>0.08</v>
      </c>
      <c r="I432">
        <v>-0.006111111701570859</v>
      </c>
      <c r="J432" t="s">
        <v>352</v>
      </c>
      <c r="K432" t="s">
        <v>529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0.354690290149771</v>
      </c>
      <c r="R432" t="s">
        <v>784</v>
      </c>
      <c r="S432" t="s">
        <v>795</v>
      </c>
      <c r="T432">
        <v>122312.382243</v>
      </c>
      <c r="U432" s="2">
        <v>44422</v>
      </c>
      <c r="V432" t="s">
        <v>800</v>
      </c>
    </row>
    <row r="433" spans="1:22">
      <c r="A433" s="1" t="s">
        <v>453</v>
      </c>
      <c r="B433">
        <f>HYPERLINK("https://www.suredividend.com/sure-analysis-NSRGY/","Nestle SA")</f>
        <v>0</v>
      </c>
      <c r="C433">
        <v>137.83</v>
      </c>
      <c r="D433">
        <v>90</v>
      </c>
      <c r="E433">
        <v>1.531444444444445</v>
      </c>
      <c r="F433">
        <v>0.02176594355365305</v>
      </c>
      <c r="G433">
        <v>-0.0817102205418232</v>
      </c>
      <c r="H433">
        <v>0.05</v>
      </c>
      <c r="I433">
        <v>-0.009348188589799244</v>
      </c>
      <c r="J433" t="s">
        <v>352</v>
      </c>
      <c r="K433" t="s">
        <v>529</v>
      </c>
      <c r="L433">
        <v>5</v>
      </c>
      <c r="M433">
        <v>3</v>
      </c>
      <c r="N433">
        <v>0.6</v>
      </c>
      <c r="O433">
        <v>4</v>
      </c>
      <c r="P433">
        <v>0.034822227649</v>
      </c>
      <c r="Q433">
        <v>0.20988640397586</v>
      </c>
      <c r="R433" t="s">
        <v>784</v>
      </c>
      <c r="S433" t="s">
        <v>795</v>
      </c>
      <c r="T433">
        <v>383768.95</v>
      </c>
      <c r="U433" s="2">
        <v>44516</v>
      </c>
      <c r="V433" t="s">
        <v>807</v>
      </c>
    </row>
    <row r="434" spans="1:22">
      <c r="A434" s="1" t="s">
        <v>454</v>
      </c>
      <c r="B434">
        <f>HYPERLINK("https://www.suredividend.com/sure-analysis-ABB/","ABB Ltd.")</f>
        <v>0</v>
      </c>
      <c r="C434">
        <v>37.39</v>
      </c>
      <c r="D434">
        <v>21</v>
      </c>
      <c r="E434">
        <v>1.780476190476191</v>
      </c>
      <c r="F434">
        <v>0.02273335116341267</v>
      </c>
      <c r="G434">
        <v>-0.1089690984630878</v>
      </c>
      <c r="H434">
        <v>0.08</v>
      </c>
      <c r="I434">
        <v>-0.01006334929425867</v>
      </c>
      <c r="J434" t="s">
        <v>352</v>
      </c>
      <c r="K434" t="s">
        <v>529</v>
      </c>
      <c r="L434">
        <v>1.3</v>
      </c>
      <c r="M434">
        <v>0.85</v>
      </c>
      <c r="N434">
        <v>0.6538461538461539</v>
      </c>
      <c r="O434">
        <v>2</v>
      </c>
      <c r="P434">
        <v>0.03303780411393231</v>
      </c>
      <c r="Q434">
        <v>0.3869934024505181</v>
      </c>
      <c r="R434" t="s">
        <v>784</v>
      </c>
      <c r="S434" t="s">
        <v>791</v>
      </c>
      <c r="T434">
        <v>75535.324633</v>
      </c>
      <c r="U434" s="2">
        <v>44494</v>
      </c>
      <c r="V434" t="s">
        <v>807</v>
      </c>
    </row>
    <row r="435" spans="1:22">
      <c r="A435" s="1" t="s">
        <v>455</v>
      </c>
      <c r="B435">
        <f>HYPERLINK("https://www.suredividend.com/sure-analysis-PSA/","Public Storage")</f>
        <v>0</v>
      </c>
      <c r="C435">
        <v>363</v>
      </c>
      <c r="D435">
        <v>242</v>
      </c>
      <c r="E435">
        <v>1.5</v>
      </c>
      <c r="F435">
        <v>0.02203856749311295</v>
      </c>
      <c r="G435">
        <v>-0.07789208851827223</v>
      </c>
      <c r="H435">
        <v>0.04</v>
      </c>
      <c r="I435">
        <v>-0.013305527676444</v>
      </c>
      <c r="J435" t="s">
        <v>352</v>
      </c>
      <c r="K435" t="s">
        <v>529</v>
      </c>
      <c r="L435">
        <v>12.1</v>
      </c>
      <c r="M435">
        <v>8</v>
      </c>
      <c r="N435">
        <v>0.6611570247933884</v>
      </c>
      <c r="O435">
        <v>0</v>
      </c>
      <c r="P435">
        <v>0.03993111034207586</v>
      </c>
      <c r="Q435">
        <v>0.6493646866229911</v>
      </c>
      <c r="R435" t="s">
        <v>786</v>
      </c>
      <c r="S435" t="s">
        <v>798</v>
      </c>
      <c r="T435">
        <v>63390.67344</v>
      </c>
      <c r="U435" s="2">
        <v>44502</v>
      </c>
      <c r="V435" t="s">
        <v>800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245.91</v>
      </c>
      <c r="D436">
        <v>147</v>
      </c>
      <c r="E436">
        <v>1.672857142857143</v>
      </c>
      <c r="F436">
        <v>0.02586312065389777</v>
      </c>
      <c r="G436">
        <v>-0.09778876907656275</v>
      </c>
      <c r="H436">
        <v>0.054</v>
      </c>
      <c r="I436">
        <v>-0.0176948400409801</v>
      </c>
      <c r="J436" t="s">
        <v>352</v>
      </c>
      <c r="K436" t="s">
        <v>352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0.5889015640689921</v>
      </c>
      <c r="R436" t="s">
        <v>786</v>
      </c>
      <c r="S436" t="s">
        <v>798</v>
      </c>
      <c r="T436">
        <v>34781.515486</v>
      </c>
      <c r="U436" s="2">
        <v>44503</v>
      </c>
      <c r="V436" t="s">
        <v>808</v>
      </c>
    </row>
    <row r="437" spans="1:22">
      <c r="A437" s="1" t="s">
        <v>457</v>
      </c>
      <c r="B437">
        <f>HYPERLINK("https://www.suredividend.com/sure-analysis-APA/","APA Corporation")</f>
        <v>0</v>
      </c>
      <c r="C437">
        <v>24.79</v>
      </c>
      <c r="D437">
        <v>16</v>
      </c>
      <c r="E437">
        <v>1.549375</v>
      </c>
      <c r="F437">
        <v>0.02016942315449778</v>
      </c>
      <c r="G437">
        <v>-0.08384555895715951</v>
      </c>
      <c r="H437">
        <v>0.04</v>
      </c>
      <c r="I437">
        <v>-0.02031123116085287</v>
      </c>
      <c r="J437" t="s">
        <v>352</v>
      </c>
      <c r="K437" t="s">
        <v>529</v>
      </c>
      <c r="L437">
        <v>3.5</v>
      </c>
      <c r="M437">
        <v>0.5</v>
      </c>
      <c r="N437">
        <v>0.1428571428571428</v>
      </c>
      <c r="O437">
        <v>1</v>
      </c>
      <c r="P437">
        <v>0.05061112176150684</v>
      </c>
      <c r="Q437">
        <v>0.293861118700159</v>
      </c>
      <c r="R437" t="s">
        <v>784</v>
      </c>
      <c r="S437" t="s">
        <v>797</v>
      </c>
      <c r="T437">
        <v>9118.183901</v>
      </c>
      <c r="U437" s="2">
        <v>44508</v>
      </c>
      <c r="V437" t="s">
        <v>807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38.28</v>
      </c>
      <c r="D438">
        <v>40</v>
      </c>
      <c r="E438">
        <v>0.9570000000000001</v>
      </c>
      <c r="F438">
        <v>0.007836990595611285</v>
      </c>
      <c r="G438">
        <v>0.008829126329894965</v>
      </c>
      <c r="H438">
        <v>-0.04</v>
      </c>
      <c r="I438">
        <v>-0.02112794511637395</v>
      </c>
      <c r="J438" t="s">
        <v>352</v>
      </c>
      <c r="K438" t="s">
        <v>782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0.542800815095839</v>
      </c>
      <c r="R438" t="s">
        <v>784</v>
      </c>
      <c r="S438" t="s">
        <v>794</v>
      </c>
      <c r="T438">
        <v>54700.638471</v>
      </c>
      <c r="U438" s="2">
        <v>44498</v>
      </c>
      <c r="V438" t="s">
        <v>804</v>
      </c>
    </row>
    <row r="439" spans="1:22">
      <c r="A439" s="1" t="s">
        <v>459</v>
      </c>
      <c r="B439">
        <f>HYPERLINK("https://www.suredividend.com/sure-analysis-HNI/","HNI Corp.")</f>
        <v>0</v>
      </c>
      <c r="C439">
        <v>41.44</v>
      </c>
      <c r="D439">
        <v>23</v>
      </c>
      <c r="E439">
        <v>1.801739130434783</v>
      </c>
      <c r="F439">
        <v>0.02992277992277993</v>
      </c>
      <c r="G439">
        <v>-0.1110821690826435</v>
      </c>
      <c r="H439">
        <v>0.055</v>
      </c>
      <c r="I439">
        <v>-0.02200270080819311</v>
      </c>
      <c r="J439" t="s">
        <v>352</v>
      </c>
      <c r="K439" t="s">
        <v>352</v>
      </c>
      <c r="L439">
        <v>1.66</v>
      </c>
      <c r="M439">
        <v>1.24</v>
      </c>
      <c r="N439">
        <v>0.746987951807229</v>
      </c>
      <c r="O439">
        <v>10</v>
      </c>
      <c r="P439">
        <v>0.04156021015686417</v>
      </c>
      <c r="Q439">
        <v>0.17813121714292</v>
      </c>
      <c r="R439" t="s">
        <v>784</v>
      </c>
      <c r="S439" t="s">
        <v>791</v>
      </c>
      <c r="T439">
        <v>1846.916822</v>
      </c>
      <c r="U439" s="2">
        <v>44494</v>
      </c>
      <c r="V439" t="s">
        <v>800</v>
      </c>
    </row>
    <row r="440" spans="1:22">
      <c r="A440" s="1" t="s">
        <v>460</v>
      </c>
      <c r="B440">
        <f>HYPERLINK("https://www.suredividend.com/sure-analysis-FAST/","Fastenal Co.")</f>
        <v>0</v>
      </c>
      <c r="C440">
        <v>63.46</v>
      </c>
      <c r="D440">
        <v>37</v>
      </c>
      <c r="E440">
        <v>1.715135135135135</v>
      </c>
      <c r="F440">
        <v>0.01764891270091396</v>
      </c>
      <c r="G440">
        <v>-0.1022811772623612</v>
      </c>
      <c r="H440">
        <v>0.06</v>
      </c>
      <c r="I440">
        <v>-0.02397101596124973</v>
      </c>
      <c r="J440" t="s">
        <v>352</v>
      </c>
      <c r="K440" t="s">
        <v>529</v>
      </c>
      <c r="L440">
        <v>1.55</v>
      </c>
      <c r="M440">
        <v>1.12</v>
      </c>
      <c r="N440">
        <v>0.7225806451612904</v>
      </c>
      <c r="O440">
        <v>22</v>
      </c>
      <c r="P440">
        <v>0.06016789231717423</v>
      </c>
      <c r="Q440">
        <v>0.305260826589998</v>
      </c>
      <c r="R440" t="s">
        <v>784</v>
      </c>
      <c r="S440" t="s">
        <v>791</v>
      </c>
      <c r="T440">
        <v>36609.147482</v>
      </c>
      <c r="U440" s="2">
        <v>44482</v>
      </c>
      <c r="V440" t="s">
        <v>803</v>
      </c>
    </row>
    <row r="441" spans="1:22">
      <c r="A441" s="1" t="s">
        <v>461</v>
      </c>
      <c r="B441">
        <f>HYPERLINK("https://www.suredividend.com/sure-analysis-STLD/","Steel Dynamics Inc.")</f>
        <v>0</v>
      </c>
      <c r="C441">
        <v>62.4</v>
      </c>
      <c r="D441">
        <v>49</v>
      </c>
      <c r="E441">
        <v>1.273469387755102</v>
      </c>
      <c r="F441">
        <v>0.01666666666666667</v>
      </c>
      <c r="G441">
        <v>-0.04719879424217954</v>
      </c>
      <c r="H441">
        <v>0</v>
      </c>
      <c r="I441">
        <v>-0.02488315303590183</v>
      </c>
      <c r="J441" t="s">
        <v>352</v>
      </c>
      <c r="K441" t="s">
        <v>529</v>
      </c>
      <c r="L441">
        <v>4.4</v>
      </c>
      <c r="M441">
        <v>1.04</v>
      </c>
      <c r="N441">
        <v>0.2363636363636364</v>
      </c>
      <c r="O441">
        <v>9</v>
      </c>
      <c r="P441">
        <v>0.0488372867840543</v>
      </c>
      <c r="Q441">
        <v>0.55505206859995</v>
      </c>
      <c r="R441" t="s">
        <v>784</v>
      </c>
      <c r="S441" t="s">
        <v>794</v>
      </c>
      <c r="T441">
        <v>11672.901113</v>
      </c>
      <c r="U441" s="2">
        <v>44494</v>
      </c>
      <c r="V441" t="s">
        <v>807</v>
      </c>
    </row>
    <row r="442" spans="1:22">
      <c r="A442" s="1" t="s">
        <v>462</v>
      </c>
      <c r="B442">
        <f>HYPERLINK("https://www.suredividend.com/sure-analysis-MRVL/","Marvell Technology Inc")</f>
        <v>0</v>
      </c>
      <c r="C442">
        <v>83.59</v>
      </c>
      <c r="D442">
        <v>29</v>
      </c>
      <c r="E442">
        <v>2.882413793103448</v>
      </c>
      <c r="F442">
        <v>0.002871156836942218</v>
      </c>
      <c r="G442">
        <v>-0.190813302698751</v>
      </c>
      <c r="H442">
        <v>0.2</v>
      </c>
      <c r="I442">
        <v>-0.02576772064702915</v>
      </c>
      <c r="J442" t="s">
        <v>352</v>
      </c>
      <c r="K442" t="s">
        <v>782</v>
      </c>
      <c r="L442">
        <v>1.4</v>
      </c>
      <c r="M442">
        <v>0.24</v>
      </c>
      <c r="N442">
        <v>0.1714285714285714</v>
      </c>
      <c r="O442">
        <v>0</v>
      </c>
      <c r="P442">
        <v>0</v>
      </c>
      <c r="Q442">
        <v>0.862958598343428</v>
      </c>
      <c r="R442" t="s">
        <v>784</v>
      </c>
      <c r="S442" t="s">
        <v>790</v>
      </c>
      <c r="T442">
        <v>74566.606</v>
      </c>
      <c r="U442" s="2">
        <v>44461</v>
      </c>
      <c r="V442" t="s">
        <v>801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71.09</v>
      </c>
      <c r="D443">
        <v>36</v>
      </c>
      <c r="E443">
        <v>1.974722222222222</v>
      </c>
      <c r="F443">
        <v>0.008158672105781403</v>
      </c>
      <c r="G443">
        <v>-0.1272320345182251</v>
      </c>
      <c r="H443">
        <v>0.1</v>
      </c>
      <c r="I443">
        <v>-0.03006577636950847</v>
      </c>
      <c r="J443" t="s">
        <v>352</v>
      </c>
      <c r="K443" t="s">
        <v>782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0.8836776806868261</v>
      </c>
      <c r="R443" t="s">
        <v>784</v>
      </c>
      <c r="S443" t="s">
        <v>793</v>
      </c>
      <c r="T443">
        <v>43255.582318</v>
      </c>
      <c r="U443" s="2">
        <v>44507</v>
      </c>
      <c r="V443" t="s">
        <v>810</v>
      </c>
    </row>
    <row r="444" spans="1:22">
      <c r="A444" s="1" t="s">
        <v>464</v>
      </c>
      <c r="B444">
        <f>HYPERLINK("https://www.suredividend.com/sure-analysis-MT/","ArcelorMittal")</f>
        <v>0</v>
      </c>
      <c r="C444">
        <v>32.2</v>
      </c>
      <c r="D444">
        <v>25</v>
      </c>
      <c r="E444">
        <v>1.288</v>
      </c>
      <c r="F444">
        <v>0.009316770186335402</v>
      </c>
      <c r="G444">
        <v>-0.04935837301253376</v>
      </c>
      <c r="H444">
        <v>0</v>
      </c>
      <c r="I444">
        <v>-0.03235281204353768</v>
      </c>
      <c r="J444" t="s">
        <v>352</v>
      </c>
      <c r="K444" t="s">
        <v>529</v>
      </c>
      <c r="L444">
        <v>12.8</v>
      </c>
      <c r="M444">
        <v>0.3</v>
      </c>
      <c r="N444">
        <v>0.0234375</v>
      </c>
      <c r="O444">
        <v>0</v>
      </c>
      <c r="P444">
        <v>0.1486983549970351</v>
      </c>
      <c r="Q444">
        <v>0.373805812221864</v>
      </c>
      <c r="R444" t="s">
        <v>784</v>
      </c>
      <c r="S444" t="s">
        <v>794</v>
      </c>
      <c r="T444">
        <v>31007.648307</v>
      </c>
      <c r="U444" s="2">
        <v>44516</v>
      </c>
      <c r="V444" t="s">
        <v>807</v>
      </c>
    </row>
    <row r="445" spans="1:22">
      <c r="A445" s="1" t="s">
        <v>465</v>
      </c>
      <c r="B445">
        <f>HYPERLINK("https://www.suredividend.com/sure-analysis-RACE/","Ferrari N.V.")</f>
        <v>0</v>
      </c>
      <c r="C445">
        <v>256.58</v>
      </c>
      <c r="D445">
        <v>146</v>
      </c>
      <c r="E445">
        <v>1.757397260273972</v>
      </c>
      <c r="F445">
        <v>0.004053316704341726</v>
      </c>
      <c r="G445">
        <v>-0.1066410123352988</v>
      </c>
      <c r="H445">
        <v>0.075</v>
      </c>
      <c r="I445">
        <v>-0.03376827932313331</v>
      </c>
      <c r="J445" t="s">
        <v>352</v>
      </c>
      <c r="K445" t="s">
        <v>782</v>
      </c>
      <c r="L445">
        <v>5.02</v>
      </c>
      <c r="M445">
        <v>1.04</v>
      </c>
      <c r="N445">
        <v>0.2071713147410359</v>
      </c>
      <c r="O445">
        <v>0</v>
      </c>
      <c r="P445">
        <v>0.07455979142129743</v>
      </c>
      <c r="Q445">
        <v>0.184233917001328</v>
      </c>
      <c r="R445" t="s">
        <v>784</v>
      </c>
      <c r="S445" t="s">
        <v>792</v>
      </c>
      <c r="T445">
        <v>48121.282908</v>
      </c>
      <c r="U445" s="2">
        <v>44502</v>
      </c>
      <c r="V445" t="s">
        <v>800</v>
      </c>
    </row>
    <row r="446" spans="1:22">
      <c r="A446" s="1" t="s">
        <v>466</v>
      </c>
      <c r="B446">
        <f>HYPERLINK("https://www.suredividend.com/sure-analysis-CF/","CF Industries Holdings Inc")</f>
        <v>0</v>
      </c>
      <c r="C446">
        <v>64.31</v>
      </c>
      <c r="D446">
        <v>48</v>
      </c>
      <c r="E446">
        <v>1.339791666666667</v>
      </c>
      <c r="F446">
        <v>0.0186596174778417</v>
      </c>
      <c r="G446">
        <v>-0.05682442487470074</v>
      </c>
      <c r="H446">
        <v>0</v>
      </c>
      <c r="I446">
        <v>-0.03434265084729582</v>
      </c>
      <c r="J446" t="s">
        <v>352</v>
      </c>
      <c r="K446" t="s">
        <v>529</v>
      </c>
      <c r="L446">
        <v>4.6</v>
      </c>
      <c r="M446">
        <v>1.2</v>
      </c>
      <c r="N446">
        <v>0.2608695652173913</v>
      </c>
      <c r="O446">
        <v>0</v>
      </c>
      <c r="P446">
        <v>0</v>
      </c>
      <c r="Q446">
        <v>0.696657136984509</v>
      </c>
      <c r="R446" t="s">
        <v>784</v>
      </c>
      <c r="S446" t="s">
        <v>794</v>
      </c>
      <c r="T446">
        <v>13632.058966</v>
      </c>
      <c r="U446" s="2">
        <v>44526</v>
      </c>
      <c r="V446" t="s">
        <v>804</v>
      </c>
    </row>
    <row r="447" spans="1:22">
      <c r="A447" s="1" t="s">
        <v>467</v>
      </c>
      <c r="B447">
        <f>HYPERLINK("https://www.suredividend.com/sure-analysis-INFY/","Infosys Ltd")</f>
        <v>0</v>
      </c>
      <c r="C447">
        <v>24.11</v>
      </c>
      <c r="D447">
        <v>13</v>
      </c>
      <c r="E447">
        <v>1.854615384615385</v>
      </c>
      <c r="F447">
        <v>0.01659062629614268</v>
      </c>
      <c r="G447">
        <v>-0.116209704654743</v>
      </c>
      <c r="H447">
        <v>0.06</v>
      </c>
      <c r="I447">
        <v>-0.03729201474846577</v>
      </c>
      <c r="J447" t="s">
        <v>352</v>
      </c>
      <c r="K447" t="s">
        <v>529</v>
      </c>
      <c r="L447">
        <v>0.7</v>
      </c>
      <c r="M447">
        <v>0.4</v>
      </c>
      <c r="N447">
        <v>0.5714285714285715</v>
      </c>
      <c r="O447">
        <v>6</v>
      </c>
      <c r="P447">
        <v>0.08083252207959757</v>
      </c>
      <c r="Q447">
        <v>0.5188418667519901</v>
      </c>
      <c r="R447" t="s">
        <v>784</v>
      </c>
      <c r="S447" t="s">
        <v>790</v>
      </c>
      <c r="T447">
        <v>97819.102549</v>
      </c>
      <c r="U447" s="2">
        <v>44498</v>
      </c>
      <c r="V447" t="s">
        <v>802</v>
      </c>
    </row>
    <row r="448" spans="1:22">
      <c r="A448" s="1" t="s">
        <v>468</v>
      </c>
      <c r="B448">
        <f>HYPERLINK("https://www.suredividend.com/sure-analysis-TER/","Teradyne, Inc.")</f>
        <v>0</v>
      </c>
      <c r="C448">
        <v>158.3</v>
      </c>
      <c r="D448">
        <v>87</v>
      </c>
      <c r="E448">
        <v>1.819540229885058</v>
      </c>
      <c r="F448">
        <v>0.002526847757422615</v>
      </c>
      <c r="G448">
        <v>-0.1128283249165178</v>
      </c>
      <c r="H448">
        <v>0.08</v>
      </c>
      <c r="I448">
        <v>-0.03787763920983389</v>
      </c>
      <c r="J448" t="s">
        <v>352</v>
      </c>
      <c r="K448" t="s">
        <v>782</v>
      </c>
      <c r="L448">
        <v>4.82</v>
      </c>
      <c r="M448">
        <v>0.4</v>
      </c>
      <c r="N448">
        <v>0.08298755186721991</v>
      </c>
      <c r="O448">
        <v>0</v>
      </c>
      <c r="P448">
        <v>0.09856054330611763</v>
      </c>
      <c r="Q448">
        <v>0.348754009786711</v>
      </c>
      <c r="R448" t="s">
        <v>784</v>
      </c>
      <c r="S448" t="s">
        <v>790</v>
      </c>
      <c r="T448">
        <v>26400.182906</v>
      </c>
      <c r="U448" s="2">
        <v>44502</v>
      </c>
      <c r="V448" t="s">
        <v>810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2.55</v>
      </c>
      <c r="D449">
        <v>1.98</v>
      </c>
      <c r="E449">
        <v>1.287878787878788</v>
      </c>
      <c r="F449">
        <v>0.01568627450980392</v>
      </c>
      <c r="G449">
        <v>-0.04934047925554275</v>
      </c>
      <c r="H449">
        <v>-0.01</v>
      </c>
      <c r="I449">
        <v>-0.03965304786589796</v>
      </c>
      <c r="J449" t="s">
        <v>352</v>
      </c>
      <c r="K449" t="s">
        <v>529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-0.396942639427796</v>
      </c>
      <c r="R449" t="s">
        <v>786</v>
      </c>
      <c r="S449" t="s">
        <v>798</v>
      </c>
      <c r="T449">
        <v>616.606827</v>
      </c>
      <c r="U449" s="2">
        <v>44453</v>
      </c>
      <c r="V449" t="s">
        <v>805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116.97</v>
      </c>
      <c r="D450">
        <v>66</v>
      </c>
      <c r="E450">
        <v>1.772272727272727</v>
      </c>
      <c r="F450">
        <v>0.01384970505257758</v>
      </c>
      <c r="G450">
        <v>-0.1081457440365294</v>
      </c>
      <c r="H450">
        <v>0.05</v>
      </c>
      <c r="I450">
        <v>-0.04570640744242249</v>
      </c>
      <c r="J450" t="s">
        <v>352</v>
      </c>
      <c r="K450" t="s">
        <v>529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0.477758306427721</v>
      </c>
      <c r="R450" t="s">
        <v>784</v>
      </c>
      <c r="S450" t="s">
        <v>791</v>
      </c>
      <c r="T450">
        <v>57346.034276</v>
      </c>
      <c r="U450" s="2">
        <v>44502</v>
      </c>
      <c r="V450" t="s">
        <v>806</v>
      </c>
    </row>
    <row r="451" spans="1:22">
      <c r="A451" s="1" t="s">
        <v>471</v>
      </c>
      <c r="B451">
        <f>HYPERLINK("https://www.suredividend.com/sure-analysis-SONY/","Sony Group Corporation")</f>
        <v>0</v>
      </c>
      <c r="C451">
        <v>122.21</v>
      </c>
      <c r="D451">
        <v>86</v>
      </c>
      <c r="E451">
        <v>1.421046511627907</v>
      </c>
      <c r="F451">
        <v>0.004500450045004501</v>
      </c>
      <c r="G451">
        <v>-0.06786601699454742</v>
      </c>
      <c r="H451">
        <v>0.017</v>
      </c>
      <c r="I451">
        <v>-0.04621814008344061</v>
      </c>
      <c r="J451" t="s">
        <v>352</v>
      </c>
      <c r="K451" t="s">
        <v>782</v>
      </c>
      <c r="L451">
        <v>6.58</v>
      </c>
      <c r="M451">
        <v>0.55</v>
      </c>
      <c r="N451">
        <v>0.08358662613981764</v>
      </c>
      <c r="O451">
        <v>6</v>
      </c>
      <c r="P451">
        <v>0.01755457717558762</v>
      </c>
      <c r="Q451">
        <v>0.317286931364936</v>
      </c>
      <c r="R451" t="s">
        <v>784</v>
      </c>
      <c r="S451" t="s">
        <v>790</v>
      </c>
      <c r="T451">
        <v>156182.130027</v>
      </c>
      <c r="U451" s="2">
        <v>44501</v>
      </c>
      <c r="V451" t="s">
        <v>800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283.87</v>
      </c>
      <c r="D452">
        <v>109</v>
      </c>
      <c r="E452">
        <v>2.604311926605505</v>
      </c>
      <c r="F452">
        <v>0.0005636382851305175</v>
      </c>
      <c r="G452">
        <v>-0.1742256286363723</v>
      </c>
      <c r="H452">
        <v>0.15</v>
      </c>
      <c r="I452">
        <v>-0.0496674339639166</v>
      </c>
      <c r="J452" t="s">
        <v>352</v>
      </c>
      <c r="K452" t="s">
        <v>782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1.281771299978125</v>
      </c>
      <c r="R452" t="s">
        <v>784</v>
      </c>
      <c r="S452" t="s">
        <v>790</v>
      </c>
      <c r="T452">
        <v>761475</v>
      </c>
      <c r="U452" s="2">
        <v>44533</v>
      </c>
      <c r="V452" t="s">
        <v>802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205.35</v>
      </c>
      <c r="D453">
        <v>97</v>
      </c>
      <c r="E453">
        <v>2.117010309278351</v>
      </c>
      <c r="F453">
        <v>0.007207207207207207</v>
      </c>
      <c r="G453">
        <v>-0.1392928605096171</v>
      </c>
      <c r="H453">
        <v>0.05</v>
      </c>
      <c r="I453">
        <v>-0.08405034687658608</v>
      </c>
      <c r="J453" t="s">
        <v>352</v>
      </c>
      <c r="K453" t="s">
        <v>782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0.512808928110404</v>
      </c>
      <c r="R453" t="s">
        <v>784</v>
      </c>
      <c r="S453" t="s">
        <v>794</v>
      </c>
      <c r="T453">
        <v>27371.739075</v>
      </c>
      <c r="U453" s="2">
        <v>44506</v>
      </c>
      <c r="V453" t="s">
        <v>800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9.789999999999999</v>
      </c>
      <c r="D454">
        <v>2.45</v>
      </c>
      <c r="E454">
        <v>3.995918367346938</v>
      </c>
      <c r="F454">
        <v>0.01225740551583248</v>
      </c>
      <c r="G454">
        <v>-0.2419869570252881</v>
      </c>
      <c r="H454">
        <v>0.1</v>
      </c>
      <c r="I454">
        <v>-0.1389719286327215</v>
      </c>
      <c r="J454" t="s">
        <v>352</v>
      </c>
      <c r="K454" t="s">
        <v>529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1.875550432958004</v>
      </c>
      <c r="R454" t="s">
        <v>784</v>
      </c>
      <c r="S454" t="s">
        <v>797</v>
      </c>
      <c r="T454">
        <v>2400.519572</v>
      </c>
      <c r="U454" s="2">
        <v>44528</v>
      </c>
      <c r="V454" t="s">
        <v>801</v>
      </c>
    </row>
    <row r="455" spans="1:22">
      <c r="A455" s="1" t="s">
        <v>475</v>
      </c>
      <c r="B455">
        <f>HYPERLINK("https://www.suredividend.com/sure-analysis-KSU","Kansas City Southern (KSU)")</f>
        <v>0</v>
      </c>
      <c r="D455">
        <v>164</v>
      </c>
      <c r="H455">
        <v>0.08</v>
      </c>
      <c r="J455" t="s">
        <v>352</v>
      </c>
      <c r="K455" t="s">
        <v>783</v>
      </c>
      <c r="L455">
        <v>8.199999999999999</v>
      </c>
      <c r="M455">
        <v>2.16</v>
      </c>
      <c r="N455">
        <v>0.2634146341463415</v>
      </c>
      <c r="O455">
        <v>3</v>
      </c>
      <c r="P455">
        <v>0.08977506465822516</v>
      </c>
      <c r="R455" t="s">
        <v>784</v>
      </c>
      <c r="S455" t="s">
        <v>791</v>
      </c>
      <c r="U455" s="2">
        <v>44498</v>
      </c>
      <c r="V455" t="s">
        <v>802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11.05</v>
      </c>
      <c r="D456">
        <v>19</v>
      </c>
      <c r="E456">
        <v>0.5815789473684211</v>
      </c>
      <c r="F456">
        <v>0.1085972850678733</v>
      </c>
      <c r="G456">
        <v>0.1144953596738372</v>
      </c>
      <c r="H456">
        <v>0.04</v>
      </c>
      <c r="I456">
        <v>0.2138222530362612</v>
      </c>
      <c r="J456" t="s">
        <v>529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0.205641492265696</v>
      </c>
      <c r="R456" t="s">
        <v>785</v>
      </c>
      <c r="S456" t="s">
        <v>797</v>
      </c>
      <c r="T456">
        <v>4377.312547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14.17</v>
      </c>
      <c r="D457">
        <v>23</v>
      </c>
      <c r="E457">
        <v>0.6160869565217392</v>
      </c>
      <c r="F457">
        <v>0.09315455187014821</v>
      </c>
      <c r="G457">
        <v>0.1017209226730829</v>
      </c>
      <c r="H457">
        <v>0.01</v>
      </c>
      <c r="I457">
        <v>0.181662177143455</v>
      </c>
      <c r="J457" t="s">
        <v>529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-0.003645370519377</v>
      </c>
      <c r="R457" t="s">
        <v>785</v>
      </c>
      <c r="S457" t="s">
        <v>796</v>
      </c>
      <c r="T457">
        <v>896.603259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16.35</v>
      </c>
      <c r="D458">
        <v>25</v>
      </c>
      <c r="E458">
        <v>0.654</v>
      </c>
      <c r="F458">
        <v>0.08562691131498469</v>
      </c>
      <c r="G458">
        <v>0.08864040793491146</v>
      </c>
      <c r="H458">
        <v>0.02</v>
      </c>
      <c r="I458">
        <v>0.1675892230511546</v>
      </c>
      <c r="J458" t="s">
        <v>529</v>
      </c>
      <c r="K458" t="s">
        <v>781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0.233236998639081</v>
      </c>
      <c r="R458" t="s">
        <v>785</v>
      </c>
      <c r="S458" t="s">
        <v>797</v>
      </c>
      <c r="T458">
        <v>1700.750442</v>
      </c>
      <c r="U458" s="2">
        <v>44504</v>
      </c>
      <c r="V458" t="s">
        <v>807</v>
      </c>
    </row>
    <row r="459" spans="1:22">
      <c r="A459" s="1" t="s">
        <v>479</v>
      </c>
      <c r="B459">
        <f>HYPERLINK("https://www.suredividend.com/sure-analysis-PAA/","Plains All American Pipeline LP")</f>
        <v>0</v>
      </c>
      <c r="C459">
        <v>9.210000000000001</v>
      </c>
      <c r="D459">
        <v>12.1</v>
      </c>
      <c r="E459">
        <v>0.7611570247933885</v>
      </c>
      <c r="F459">
        <v>0.07817589576547231</v>
      </c>
      <c r="G459">
        <v>0.05610025631212601</v>
      </c>
      <c r="H459">
        <v>0.05</v>
      </c>
      <c r="I459">
        <v>0.1662841179071199</v>
      </c>
      <c r="J459" t="s">
        <v>529</v>
      </c>
      <c r="K459" t="s">
        <v>781</v>
      </c>
      <c r="L459">
        <v>1.92</v>
      </c>
      <c r="M459">
        <v>0.72</v>
      </c>
      <c r="N459">
        <v>0.375</v>
      </c>
      <c r="O459">
        <v>0</v>
      </c>
      <c r="P459">
        <v>0.07003448782339894</v>
      </c>
      <c r="Q459">
        <v>0.106344820900586</v>
      </c>
      <c r="R459" t="s">
        <v>785</v>
      </c>
      <c r="S459" t="s">
        <v>797</v>
      </c>
      <c r="T459">
        <v>6492.542783</v>
      </c>
      <c r="U459" s="2">
        <v>44511</v>
      </c>
      <c r="V459" t="s">
        <v>799</v>
      </c>
    </row>
    <row r="460" spans="1:22">
      <c r="A460" s="1" t="s">
        <v>480</v>
      </c>
      <c r="B460">
        <f>HYPERLINK("https://www.suredividend.com/sure-analysis-PBR/","Petroleo Brasileiro S.A. Petrobras")</f>
        <v>0</v>
      </c>
      <c r="C460">
        <v>11.11</v>
      </c>
      <c r="D460">
        <v>18</v>
      </c>
      <c r="E460">
        <v>0.6172222222222222</v>
      </c>
      <c r="F460">
        <v>0.08190819081908192</v>
      </c>
      <c r="G460">
        <v>0.1013153419429</v>
      </c>
      <c r="H460">
        <v>0.01</v>
      </c>
      <c r="I460">
        <v>0.1613231239150521</v>
      </c>
      <c r="J460" t="s">
        <v>529</v>
      </c>
      <c r="K460" t="s">
        <v>781</v>
      </c>
      <c r="L460">
        <v>2.21</v>
      </c>
      <c r="M460">
        <v>0.91</v>
      </c>
      <c r="N460">
        <v>0.411764705882353</v>
      </c>
      <c r="O460">
        <v>0</v>
      </c>
      <c r="P460">
        <v>0</v>
      </c>
      <c r="Q460">
        <v>0.155424222453708</v>
      </c>
      <c r="R460" t="s">
        <v>784</v>
      </c>
      <c r="S460" t="s">
        <v>797</v>
      </c>
      <c r="T460">
        <v>69102.97642200001</v>
      </c>
      <c r="U460" s="2">
        <v>44454</v>
      </c>
      <c r="V460" t="s">
        <v>805</v>
      </c>
    </row>
    <row r="461" spans="1:22">
      <c r="A461" s="1" t="s">
        <v>481</v>
      </c>
      <c r="B461">
        <f>HYPERLINK("https://www.suredividend.com/sure-analysis-SNP/","China Petroleum &amp; Chemical Corp")</f>
        <v>0</v>
      </c>
      <c r="C461">
        <v>47.42</v>
      </c>
      <c r="D461">
        <v>97</v>
      </c>
      <c r="E461">
        <v>0.4888659793814433</v>
      </c>
      <c r="F461">
        <v>0.09468578658793758</v>
      </c>
      <c r="G461">
        <v>0.1538836959175198</v>
      </c>
      <c r="H461">
        <v>-0.05</v>
      </c>
      <c r="I461">
        <v>0.1572623909843907</v>
      </c>
      <c r="J461" t="s">
        <v>529</v>
      </c>
      <c r="K461" t="s">
        <v>781</v>
      </c>
      <c r="L461">
        <v>9.199999999999999</v>
      </c>
      <c r="M461">
        <v>4.49</v>
      </c>
      <c r="N461">
        <v>0.4880434782608696</v>
      </c>
      <c r="O461">
        <v>0</v>
      </c>
      <c r="P461">
        <v>0.01344218788128959</v>
      </c>
      <c r="Q461">
        <v>0.151597894446306</v>
      </c>
      <c r="R461" t="s">
        <v>784</v>
      </c>
      <c r="S461" t="s">
        <v>797</v>
      </c>
      <c r="T461">
        <v>11922.429858</v>
      </c>
      <c r="U461" s="2">
        <v>44522</v>
      </c>
      <c r="V461" t="s">
        <v>807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34.52</v>
      </c>
      <c r="D462">
        <v>40</v>
      </c>
      <c r="E462">
        <v>0.8630000000000001</v>
      </c>
      <c r="F462">
        <v>0.02983777520278099</v>
      </c>
      <c r="G462">
        <v>0.02990659903342485</v>
      </c>
      <c r="H462">
        <v>0.1</v>
      </c>
      <c r="I462">
        <v>0.1530421475151882</v>
      </c>
      <c r="J462" t="s">
        <v>529</v>
      </c>
      <c r="K462" t="s">
        <v>529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-0.336691936462678</v>
      </c>
      <c r="R462" t="s">
        <v>784</v>
      </c>
      <c r="S462" t="s">
        <v>789</v>
      </c>
      <c r="T462">
        <v>31586.046503</v>
      </c>
      <c r="U462" s="2">
        <v>44491</v>
      </c>
      <c r="V462" t="s">
        <v>807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86.19</v>
      </c>
      <c r="D463">
        <v>135</v>
      </c>
      <c r="E463">
        <v>0.6384444444444445</v>
      </c>
      <c r="F463">
        <v>0.03480682213713888</v>
      </c>
      <c r="G463">
        <v>0.09389434587765577</v>
      </c>
      <c r="H463">
        <v>0.03</v>
      </c>
      <c r="I463">
        <v>0.1528468166906747</v>
      </c>
      <c r="J463" t="s">
        <v>529</v>
      </c>
      <c r="K463" t="s">
        <v>352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0.6680499883958321</v>
      </c>
      <c r="R463" t="s">
        <v>784</v>
      </c>
      <c r="S463" t="s">
        <v>797</v>
      </c>
      <c r="T463">
        <v>49621.481289</v>
      </c>
      <c r="U463" s="2">
        <v>44513</v>
      </c>
      <c r="V463" t="s">
        <v>810</v>
      </c>
    </row>
    <row r="464" spans="1:22">
      <c r="A464" s="1" t="s">
        <v>484</v>
      </c>
      <c r="B464">
        <f>HYPERLINK("https://www.suredividend.com/sure-analysis-GORO/","Gold Resource Corporation")</f>
        <v>0</v>
      </c>
      <c r="C464">
        <v>1.76</v>
      </c>
      <c r="D464">
        <v>1.35</v>
      </c>
      <c r="E464">
        <v>1.303703703703704</v>
      </c>
      <c r="F464">
        <v>0.02272727272727273</v>
      </c>
      <c r="G464">
        <v>-0.05165967005576266</v>
      </c>
      <c r="H464">
        <v>0.19</v>
      </c>
      <c r="I464">
        <v>0.14596656239907</v>
      </c>
      <c r="J464" t="s">
        <v>529</v>
      </c>
      <c r="K464" t="s">
        <v>529</v>
      </c>
      <c r="L464">
        <v>0.09</v>
      </c>
      <c r="M464">
        <v>0.04</v>
      </c>
      <c r="N464">
        <v>0.4444444444444445</v>
      </c>
      <c r="O464">
        <v>0</v>
      </c>
      <c r="P464">
        <v>0.08447177119769855</v>
      </c>
      <c r="Q464">
        <v>-0.497747473517594</v>
      </c>
      <c r="R464" t="s">
        <v>784</v>
      </c>
      <c r="S464" t="s">
        <v>794</v>
      </c>
      <c r="T464">
        <v>123.05977</v>
      </c>
      <c r="U464" s="2">
        <v>44512</v>
      </c>
      <c r="V464" t="s">
        <v>807</v>
      </c>
    </row>
    <row r="465" spans="1:22">
      <c r="A465" s="1" t="s">
        <v>485</v>
      </c>
      <c r="B465">
        <f>HYPERLINK("https://www.suredividend.com/sure-analysis-AVAL/","Grupo Aval Acciones y Valores S.A.")</f>
        <v>0</v>
      </c>
      <c r="C465">
        <v>5.34</v>
      </c>
      <c r="D465">
        <v>7.7</v>
      </c>
      <c r="E465">
        <v>0.6935064935064935</v>
      </c>
      <c r="F465">
        <v>0.04681647940074907</v>
      </c>
      <c r="G465">
        <v>0.07594455884755402</v>
      </c>
      <c r="H465">
        <v>0.03</v>
      </c>
      <c r="I465">
        <v>0.1402731282948946</v>
      </c>
      <c r="J465" t="s">
        <v>529</v>
      </c>
      <c r="K465" t="s">
        <v>781</v>
      </c>
      <c r="L465">
        <v>0.77</v>
      </c>
      <c r="M465">
        <v>0.25</v>
      </c>
      <c r="N465">
        <v>0.3246753246753247</v>
      </c>
      <c r="O465">
        <v>0</v>
      </c>
      <c r="P465">
        <v>0.03012896281839894</v>
      </c>
      <c r="Q465">
        <v>-0.204795882198831</v>
      </c>
      <c r="R465" t="s">
        <v>784</v>
      </c>
      <c r="S465" t="s">
        <v>793</v>
      </c>
      <c r="T465">
        <v>1844.653405</v>
      </c>
      <c r="U465" s="2">
        <v>44528</v>
      </c>
      <c r="V465" t="s">
        <v>801</v>
      </c>
    </row>
    <row r="466" spans="1:22">
      <c r="A466" s="1" t="s">
        <v>486</v>
      </c>
      <c r="B466">
        <f>HYPERLINK("https://www.suredividend.com/sure-analysis-TPR/","Tapestry Inc")</f>
        <v>0</v>
      </c>
      <c r="C466">
        <v>41.18</v>
      </c>
      <c r="D466">
        <v>53</v>
      </c>
      <c r="E466">
        <v>0.7769811320754717</v>
      </c>
      <c r="F466">
        <v>0.02428363283147159</v>
      </c>
      <c r="G466">
        <v>0.05176304062602566</v>
      </c>
      <c r="H466">
        <v>0.07000000000000001</v>
      </c>
      <c r="I466">
        <v>0.1401341691289573</v>
      </c>
      <c r="J466" t="s">
        <v>529</v>
      </c>
      <c r="K466" t="s">
        <v>529</v>
      </c>
      <c r="L466">
        <v>3.33</v>
      </c>
      <c r="M466">
        <v>1</v>
      </c>
      <c r="N466">
        <v>0.3003003003003003</v>
      </c>
      <c r="O466">
        <v>0</v>
      </c>
      <c r="P466">
        <v>0</v>
      </c>
      <c r="Q466">
        <v>0.422963689892051</v>
      </c>
      <c r="R466" t="s">
        <v>784</v>
      </c>
      <c r="S466" t="s">
        <v>792</v>
      </c>
      <c r="T466">
        <v>11489.957356</v>
      </c>
      <c r="U466" s="2">
        <v>44513</v>
      </c>
      <c r="V466" t="s">
        <v>801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10.58</v>
      </c>
      <c r="D467">
        <v>12</v>
      </c>
      <c r="E467">
        <v>0.8816666666666667</v>
      </c>
      <c r="F467">
        <v>0.02173913043478261</v>
      </c>
      <c r="G467">
        <v>0.02550814880024932</v>
      </c>
      <c r="H467">
        <v>0.09</v>
      </c>
      <c r="I467">
        <v>0.1367940671906667</v>
      </c>
      <c r="J467" t="s">
        <v>529</v>
      </c>
      <c r="K467" t="s">
        <v>529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-0.103394353509085</v>
      </c>
      <c r="R467" t="s">
        <v>784</v>
      </c>
      <c r="S467" t="s">
        <v>790</v>
      </c>
      <c r="T467">
        <v>32413.775184</v>
      </c>
      <c r="U467" s="2">
        <v>44494</v>
      </c>
      <c r="V467" t="s">
        <v>807</v>
      </c>
    </row>
    <row r="468" spans="1:22">
      <c r="A468" s="1" t="s">
        <v>488</v>
      </c>
      <c r="B468">
        <f>HYPERLINK("https://www.suredividend.com/sure-analysis-ARLP/","Alliance Resource Partners, LP")</f>
        <v>0</v>
      </c>
      <c r="C468">
        <v>11.24</v>
      </c>
      <c r="D468">
        <v>11.02</v>
      </c>
      <c r="E468">
        <v>1.019963702359347</v>
      </c>
      <c r="F468">
        <v>0.0711743772241993</v>
      </c>
      <c r="G468">
        <v>-0.003945603718248702</v>
      </c>
      <c r="H468">
        <v>0.08</v>
      </c>
      <c r="I468">
        <v>0.1360901276359332</v>
      </c>
      <c r="J468" t="s">
        <v>529</v>
      </c>
      <c r="K468" t="s">
        <v>781</v>
      </c>
      <c r="L468">
        <v>1.5</v>
      </c>
      <c r="M468">
        <v>0.8</v>
      </c>
      <c r="N468">
        <v>0.5333333333333333</v>
      </c>
      <c r="O468">
        <v>1</v>
      </c>
      <c r="P468">
        <v>0.08083252207959757</v>
      </c>
      <c r="Q468">
        <v>1.340011011816526</v>
      </c>
      <c r="R468" t="s">
        <v>785</v>
      </c>
      <c r="S468" t="s">
        <v>797</v>
      </c>
      <c r="T468">
        <v>1405.50717</v>
      </c>
      <c r="U468" s="2">
        <v>44497</v>
      </c>
      <c r="V468" t="s">
        <v>799</v>
      </c>
    </row>
    <row r="469" spans="1:22">
      <c r="A469" s="1" t="s">
        <v>489</v>
      </c>
      <c r="B469">
        <f>HYPERLINK("https://www.suredividend.com/sure-analysis-LUMN/","Lumen Technologies Inc")</f>
        <v>0</v>
      </c>
      <c r="C469">
        <v>12.33</v>
      </c>
      <c r="D469">
        <v>17</v>
      </c>
      <c r="E469">
        <v>0.7252941176470589</v>
      </c>
      <c r="F469">
        <v>0.08110300081103</v>
      </c>
      <c r="G469">
        <v>0.06634360545361995</v>
      </c>
      <c r="H469">
        <v>0.013</v>
      </c>
      <c r="I469">
        <v>0.1341171781626829</v>
      </c>
      <c r="J469" t="s">
        <v>529</v>
      </c>
      <c r="K469" t="s">
        <v>781</v>
      </c>
      <c r="L469">
        <v>1.92</v>
      </c>
      <c r="M469">
        <v>1</v>
      </c>
      <c r="N469">
        <v>0.5208333333333334</v>
      </c>
      <c r="O469">
        <v>0</v>
      </c>
      <c r="P469">
        <v>0</v>
      </c>
      <c r="Q469">
        <v>0.206253151790217</v>
      </c>
      <c r="R469" t="s">
        <v>784</v>
      </c>
      <c r="S469" t="s">
        <v>788</v>
      </c>
      <c r="T469">
        <v>12245.774225</v>
      </c>
      <c r="U469" s="2">
        <v>44508</v>
      </c>
      <c r="V469" t="s">
        <v>806</v>
      </c>
    </row>
    <row r="470" spans="1:22">
      <c r="A470" s="1" t="s">
        <v>490</v>
      </c>
      <c r="B470">
        <f>HYPERLINK("https://www.suredividend.com/sure-analysis-KRC/","Kilroy Realty Corp.")</f>
        <v>0</v>
      </c>
      <c r="C470">
        <v>66.54000000000001</v>
      </c>
      <c r="D470">
        <v>75</v>
      </c>
      <c r="E470">
        <v>0.8872000000000001</v>
      </c>
      <c r="F470">
        <v>0.03125939284640818</v>
      </c>
      <c r="G470">
        <v>0.0242257574615008</v>
      </c>
      <c r="H470">
        <v>0.07000000000000001</v>
      </c>
      <c r="I470">
        <v>0.1326511925708218</v>
      </c>
      <c r="J470" t="s">
        <v>529</v>
      </c>
      <c r="K470" t="s">
        <v>529</v>
      </c>
      <c r="L470">
        <v>3.77</v>
      </c>
      <c r="M470">
        <v>2.08</v>
      </c>
      <c r="N470">
        <v>0.5517241379310345</v>
      </c>
      <c r="O470">
        <v>6</v>
      </c>
      <c r="P470">
        <v>0.2052536834036616</v>
      </c>
      <c r="Q470">
        <v>0.130441956671442</v>
      </c>
      <c r="R470" t="s">
        <v>786</v>
      </c>
      <c r="S470" t="s">
        <v>798</v>
      </c>
      <c r="T470">
        <v>7819.237397</v>
      </c>
      <c r="U470" s="2">
        <v>44498</v>
      </c>
      <c r="V470" t="s">
        <v>801</v>
      </c>
    </row>
    <row r="471" spans="1:22">
      <c r="A471" s="1" t="s">
        <v>491</v>
      </c>
      <c r="B471">
        <f>HYPERLINK("https://www.suredividend.com/sure-analysis-PSX/","Phillips 66")</f>
        <v>0</v>
      </c>
      <c r="C471">
        <v>70.95999999999999</v>
      </c>
      <c r="D471">
        <v>84</v>
      </c>
      <c r="E471">
        <v>0.8447619047619047</v>
      </c>
      <c r="F471">
        <v>0.05186020293122887</v>
      </c>
      <c r="G471">
        <v>0.03431574502751866</v>
      </c>
      <c r="H471">
        <v>0.06</v>
      </c>
      <c r="I471">
        <v>0.1322616520344073</v>
      </c>
      <c r="J471" t="s">
        <v>529</v>
      </c>
      <c r="K471" t="s">
        <v>781</v>
      </c>
      <c r="L471">
        <v>4</v>
      </c>
      <c r="M471">
        <v>3.68</v>
      </c>
      <c r="N471">
        <v>0.92</v>
      </c>
      <c r="O471">
        <v>9</v>
      </c>
      <c r="P471">
        <v>0.02185013726867213</v>
      </c>
      <c r="Q471">
        <v>0.08219428241710501</v>
      </c>
      <c r="R471" t="s">
        <v>784</v>
      </c>
      <c r="S471" t="s">
        <v>797</v>
      </c>
      <c r="T471">
        <v>30894.831252</v>
      </c>
      <c r="U471" s="2">
        <v>44501</v>
      </c>
      <c r="V471" t="s">
        <v>807</v>
      </c>
    </row>
    <row r="472" spans="1:22">
      <c r="A472" s="1" t="s">
        <v>492</v>
      </c>
      <c r="B472">
        <f>HYPERLINK("https://www.suredividend.com/sure-analysis-ET/","Energy Transfer LP")</f>
        <v>0</v>
      </c>
      <c r="C472">
        <v>8.49</v>
      </c>
      <c r="D472">
        <v>11.1</v>
      </c>
      <c r="E472">
        <v>0.7648648648648649</v>
      </c>
      <c r="F472">
        <v>0.071849234393404</v>
      </c>
      <c r="G472">
        <v>0.05507433229637848</v>
      </c>
      <c r="H472">
        <v>0.02</v>
      </c>
      <c r="I472">
        <v>0.1322495834554247</v>
      </c>
      <c r="J472" t="s">
        <v>529</v>
      </c>
      <c r="K472" t="s">
        <v>781</v>
      </c>
      <c r="L472">
        <v>2.1</v>
      </c>
      <c r="M472">
        <v>0.61</v>
      </c>
      <c r="N472">
        <v>0.2904761904761904</v>
      </c>
      <c r="O472">
        <v>0</v>
      </c>
      <c r="P472">
        <v>0.05039574430966676</v>
      </c>
      <c r="Q472">
        <v>0.283921797490516</v>
      </c>
      <c r="R472" t="s">
        <v>785</v>
      </c>
      <c r="S472" t="s">
        <v>797</v>
      </c>
      <c r="T472">
        <v>25761.985777</v>
      </c>
      <c r="U472" s="2">
        <v>44509</v>
      </c>
      <c r="V472" t="s">
        <v>807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12.83</v>
      </c>
      <c r="D473">
        <v>16.3</v>
      </c>
      <c r="E473">
        <v>0.7871165644171779</v>
      </c>
      <c r="F473">
        <v>0.04676539360872954</v>
      </c>
      <c r="G473">
        <v>0.04904034156328607</v>
      </c>
      <c r="H473">
        <v>0.042</v>
      </c>
      <c r="I473">
        <v>0.1322464477085359</v>
      </c>
      <c r="J473" t="s">
        <v>529</v>
      </c>
      <c r="K473" t="s">
        <v>781</v>
      </c>
      <c r="L473">
        <v>1.63</v>
      </c>
      <c r="M473">
        <v>0.6</v>
      </c>
      <c r="N473">
        <v>0.3680981595092024</v>
      </c>
      <c r="O473">
        <v>0</v>
      </c>
      <c r="P473">
        <v>0.08447177119769855</v>
      </c>
      <c r="Q473">
        <v>0.21853623216021</v>
      </c>
      <c r="R473" t="s">
        <v>786</v>
      </c>
      <c r="S473" t="s">
        <v>798</v>
      </c>
      <c r="T473">
        <v>3019.347694</v>
      </c>
      <c r="U473" s="2">
        <v>44509</v>
      </c>
      <c r="V473" t="s">
        <v>808</v>
      </c>
    </row>
    <row r="474" spans="1:22">
      <c r="A474" s="1" t="s">
        <v>494</v>
      </c>
      <c r="B474">
        <f>HYPERLINK("https://www.suredividend.com/sure-analysis-SLG/","SL Green Realty Corp.")</f>
        <v>0</v>
      </c>
      <c r="C474">
        <v>70.37</v>
      </c>
      <c r="D474">
        <v>86</v>
      </c>
      <c r="E474">
        <v>0.8182558139534885</v>
      </c>
      <c r="F474">
        <v>0.05300554213443228</v>
      </c>
      <c r="G474">
        <v>0.04093156943074217</v>
      </c>
      <c r="H474">
        <v>0.05</v>
      </c>
      <c r="I474">
        <v>0.1312588647780792</v>
      </c>
      <c r="J474" t="s">
        <v>529</v>
      </c>
      <c r="K474" t="s">
        <v>781</v>
      </c>
      <c r="L474">
        <v>6.6</v>
      </c>
      <c r="M474">
        <v>3.73</v>
      </c>
      <c r="N474">
        <v>0.5651515151515152</v>
      </c>
      <c r="O474">
        <v>11</v>
      </c>
      <c r="P474">
        <v>0.03359111873454657</v>
      </c>
      <c r="Q474">
        <v>0.237734204491607</v>
      </c>
      <c r="R474" t="s">
        <v>786</v>
      </c>
      <c r="S474" t="s">
        <v>798</v>
      </c>
      <c r="T474">
        <v>4775.628201</v>
      </c>
      <c r="U474" s="2">
        <v>44494</v>
      </c>
      <c r="V474" t="s">
        <v>807</v>
      </c>
    </row>
    <row r="475" spans="1:22">
      <c r="A475" s="1" t="s">
        <v>495</v>
      </c>
      <c r="B475">
        <f>HYPERLINK("https://www.suredividend.com/sure-analysis-OPI/","Office Properties Income Trust")</f>
        <v>0</v>
      </c>
      <c r="C475">
        <v>23.72</v>
      </c>
      <c r="D475">
        <v>28</v>
      </c>
      <c r="E475">
        <v>0.8471428571428571</v>
      </c>
      <c r="F475">
        <v>0.0927487352445194</v>
      </c>
      <c r="G475">
        <v>0.03373368740213101</v>
      </c>
      <c r="H475">
        <v>0.03</v>
      </c>
      <c r="I475">
        <v>0.1287411444547961</v>
      </c>
      <c r="J475" t="s">
        <v>529</v>
      </c>
      <c r="K475" t="s">
        <v>781</v>
      </c>
      <c r="L475">
        <v>4.7</v>
      </c>
      <c r="M475">
        <v>2.2</v>
      </c>
      <c r="N475">
        <v>0.4680851063829787</v>
      </c>
      <c r="O475">
        <v>0</v>
      </c>
      <c r="P475">
        <v>0</v>
      </c>
      <c r="Q475">
        <v>0.031843771991555</v>
      </c>
      <c r="R475" t="s">
        <v>786</v>
      </c>
      <c r="S475" t="s">
        <v>798</v>
      </c>
      <c r="T475">
        <v>1136.066101</v>
      </c>
      <c r="U475" s="2">
        <v>44510</v>
      </c>
      <c r="V475" t="s">
        <v>807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13.13</v>
      </c>
      <c r="D476">
        <v>17</v>
      </c>
      <c r="E476">
        <v>0.7723529411764707</v>
      </c>
      <c r="F476">
        <v>0.04569687738004569</v>
      </c>
      <c r="G476">
        <v>0.05302053159043818</v>
      </c>
      <c r="H476">
        <v>0.035</v>
      </c>
      <c r="I476">
        <v>0.1241408385720604</v>
      </c>
      <c r="J476" t="s">
        <v>529</v>
      </c>
      <c r="K476" t="s">
        <v>781</v>
      </c>
      <c r="L476">
        <v>1.86</v>
      </c>
      <c r="M476">
        <v>0.6</v>
      </c>
      <c r="N476">
        <v>0.3225806451612903</v>
      </c>
      <c r="O476">
        <v>0</v>
      </c>
      <c r="P476">
        <v>0.04000235313991807</v>
      </c>
      <c r="Q476">
        <v>-0.09859936208570201</v>
      </c>
      <c r="R476" t="s">
        <v>784</v>
      </c>
      <c r="S476" t="s">
        <v>789</v>
      </c>
      <c r="T476">
        <v>51086.052264</v>
      </c>
      <c r="U476" s="2">
        <v>44519</v>
      </c>
      <c r="V476" t="s">
        <v>802</v>
      </c>
    </row>
    <row r="477" spans="1:22">
      <c r="A477" s="1" t="s">
        <v>497</v>
      </c>
      <c r="B477">
        <f>HYPERLINK("https://www.suredividend.com/sure-analysis-NYCB/","New York Community Bancorp Inc.")</f>
        <v>0</v>
      </c>
      <c r="C477">
        <v>11.87</v>
      </c>
      <c r="D477">
        <v>14</v>
      </c>
      <c r="E477">
        <v>0.8478571428571428</v>
      </c>
      <c r="F477">
        <v>0.05728727885425443</v>
      </c>
      <c r="G477">
        <v>0.03355945282499628</v>
      </c>
      <c r="H477">
        <v>0.05</v>
      </c>
      <c r="I477">
        <v>0.1237118201229168</v>
      </c>
      <c r="J477" t="s">
        <v>529</v>
      </c>
      <c r="K477" t="s">
        <v>352</v>
      </c>
      <c r="L477">
        <v>1.25</v>
      </c>
      <c r="M477">
        <v>0.68</v>
      </c>
      <c r="N477">
        <v>0.544</v>
      </c>
      <c r="O477">
        <v>0</v>
      </c>
      <c r="P477">
        <v>0</v>
      </c>
      <c r="Q477">
        <v>0.218765247542225</v>
      </c>
      <c r="R477" t="s">
        <v>784</v>
      </c>
      <c r="S477" t="s">
        <v>793</v>
      </c>
      <c r="T477">
        <v>5459.34418</v>
      </c>
      <c r="U477" s="2">
        <v>44512</v>
      </c>
      <c r="V477" t="s">
        <v>804</v>
      </c>
    </row>
    <row r="478" spans="1:22">
      <c r="A478" s="1" t="s">
        <v>498</v>
      </c>
      <c r="B478">
        <f>HYPERLINK("https://www.suredividend.com/sure-analysis-AZN/","Astrazeneca plc")</f>
        <v>0</v>
      </c>
      <c r="C478">
        <v>57.09</v>
      </c>
      <c r="D478">
        <v>78</v>
      </c>
      <c r="E478">
        <v>0.731923076923077</v>
      </c>
      <c r="F478">
        <v>0.02452268348222105</v>
      </c>
      <c r="G478">
        <v>0.0644050146357511</v>
      </c>
      <c r="H478">
        <v>0.04</v>
      </c>
      <c r="I478">
        <v>0.1228504388188254</v>
      </c>
      <c r="J478" t="s">
        <v>529</v>
      </c>
      <c r="K478" t="s">
        <v>529</v>
      </c>
      <c r="L478">
        <v>5.23</v>
      </c>
      <c r="M478">
        <v>1.4</v>
      </c>
      <c r="N478">
        <v>0.2676864244741873</v>
      </c>
      <c r="O478">
        <v>0</v>
      </c>
      <c r="P478">
        <v>0</v>
      </c>
      <c r="Q478">
        <v>0.126343749115622</v>
      </c>
      <c r="R478" t="s">
        <v>784</v>
      </c>
      <c r="S478" t="s">
        <v>789</v>
      </c>
      <c r="T478">
        <v>172633.501416</v>
      </c>
      <c r="U478" s="2">
        <v>44514</v>
      </c>
      <c r="V478" t="s">
        <v>800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18.43</v>
      </c>
      <c r="D479">
        <v>19.95</v>
      </c>
      <c r="E479">
        <v>0.9238095238095239</v>
      </c>
      <c r="F479">
        <v>0.04883342376559957</v>
      </c>
      <c r="G479">
        <v>0.01597614985727058</v>
      </c>
      <c r="H479">
        <v>0.065</v>
      </c>
      <c r="I479">
        <v>0.1226420916220867</v>
      </c>
      <c r="J479" t="s">
        <v>529</v>
      </c>
      <c r="K479" t="s">
        <v>781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0.102119460500963</v>
      </c>
      <c r="R479" t="s">
        <v>784</v>
      </c>
      <c r="S479" t="s">
        <v>793</v>
      </c>
      <c r="T479">
        <v>36113.630344</v>
      </c>
      <c r="U479" s="2">
        <v>44511</v>
      </c>
      <c r="V479" t="s">
        <v>799</v>
      </c>
    </row>
    <row r="480" spans="1:22">
      <c r="A480" s="1" t="s">
        <v>500</v>
      </c>
      <c r="B480">
        <f>HYPERLINK("https://www.suredividend.com/sure-analysis-PTR/","PetroChina Co. Ltd.")</f>
        <v>0</v>
      </c>
      <c r="C480">
        <v>45.19</v>
      </c>
      <c r="D480">
        <v>90</v>
      </c>
      <c r="E480">
        <v>0.5021111111111111</v>
      </c>
      <c r="F480">
        <v>0.0747953086966143</v>
      </c>
      <c r="G480">
        <v>0.1477307928332914</v>
      </c>
      <c r="H480">
        <v>-0.06</v>
      </c>
      <c r="I480">
        <v>0.1214024254219155</v>
      </c>
      <c r="J480" t="s">
        <v>529</v>
      </c>
      <c r="K480" t="s">
        <v>781</v>
      </c>
      <c r="L480">
        <v>7.5</v>
      </c>
      <c r="M480">
        <v>3.38</v>
      </c>
      <c r="N480">
        <v>0.4506666666666667</v>
      </c>
      <c r="O480">
        <v>0</v>
      </c>
      <c r="P480">
        <v>-0.06004514349274603</v>
      </c>
      <c r="Q480">
        <v>0.5308703576650931</v>
      </c>
      <c r="R480" t="s">
        <v>784</v>
      </c>
      <c r="S480" t="s">
        <v>797</v>
      </c>
      <c r="T480">
        <v>9321.49402</v>
      </c>
      <c r="U480" s="2">
        <v>44522</v>
      </c>
      <c r="V480" t="s">
        <v>807</v>
      </c>
    </row>
    <row r="481" spans="1:22">
      <c r="A481" s="1" t="s">
        <v>501</v>
      </c>
      <c r="B481">
        <f>HYPERLINK("https://www.suredividend.com/sure-analysis-TS/","Tenaris S.A.")</f>
        <v>0</v>
      </c>
      <c r="C481">
        <v>20.41</v>
      </c>
      <c r="D481">
        <v>25</v>
      </c>
      <c r="E481">
        <v>0.8164</v>
      </c>
      <c r="F481">
        <v>0.02547770700636943</v>
      </c>
      <c r="G481">
        <v>0.04140438207736019</v>
      </c>
      <c r="H481">
        <v>0.06</v>
      </c>
      <c r="I481">
        <v>0.1205365820586852</v>
      </c>
      <c r="J481" t="s">
        <v>529</v>
      </c>
      <c r="K481" t="s">
        <v>529</v>
      </c>
      <c r="L481">
        <v>1.45</v>
      </c>
      <c r="M481">
        <v>0.52</v>
      </c>
      <c r="N481">
        <v>0.3586206896551725</v>
      </c>
      <c r="O481">
        <v>0</v>
      </c>
      <c r="P481">
        <v>0</v>
      </c>
      <c r="Q481">
        <v>0.252383588607984</v>
      </c>
      <c r="R481" t="s">
        <v>784</v>
      </c>
      <c r="S481" t="s">
        <v>797</v>
      </c>
      <c r="T481">
        <v>12017.864929</v>
      </c>
      <c r="U481" s="2">
        <v>44522</v>
      </c>
      <c r="V481" t="s">
        <v>804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100.3</v>
      </c>
      <c r="D482">
        <v>98</v>
      </c>
      <c r="E482">
        <v>1.023469387755102</v>
      </c>
      <c r="F482">
        <v>0.02791625124626122</v>
      </c>
      <c r="G482">
        <v>-0.004628896741103783</v>
      </c>
      <c r="H482">
        <v>0.1</v>
      </c>
      <c r="I482">
        <v>0.1184707226693749</v>
      </c>
      <c r="J482" t="s">
        <v>529</v>
      </c>
      <c r="K482" t="s">
        <v>529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0.5919013639150881</v>
      </c>
      <c r="R482" t="s">
        <v>784</v>
      </c>
      <c r="S482" t="s">
        <v>793</v>
      </c>
      <c r="T482">
        <v>178418.380586</v>
      </c>
      <c r="U482" s="2">
        <v>44483</v>
      </c>
      <c r="V482" t="s">
        <v>799</v>
      </c>
    </row>
    <row r="483" spans="1:22">
      <c r="A483" s="1" t="s">
        <v>503</v>
      </c>
      <c r="B483">
        <f>HYPERLINK("https://www.suredividend.com/sure-analysis-SMFG/","Sumitomo Mitsui Financial Group Inc")</f>
        <v>0</v>
      </c>
      <c r="C483">
        <v>6.91</v>
      </c>
      <c r="D483">
        <v>9.35</v>
      </c>
      <c r="E483">
        <v>0.7390374331550803</v>
      </c>
      <c r="F483">
        <v>0.04920405209840811</v>
      </c>
      <c r="G483">
        <v>0.06234777514895717</v>
      </c>
      <c r="H483">
        <v>0.02</v>
      </c>
      <c r="I483">
        <v>0.118245544840095</v>
      </c>
      <c r="J483" t="s">
        <v>529</v>
      </c>
      <c r="K483" t="s">
        <v>781</v>
      </c>
      <c r="L483">
        <v>0.85</v>
      </c>
      <c r="M483">
        <v>0.34</v>
      </c>
      <c r="N483">
        <v>0.4</v>
      </c>
      <c r="O483">
        <v>0</v>
      </c>
      <c r="P483">
        <v>0.01149727415513624</v>
      </c>
      <c r="Q483">
        <v>0.169043324371235</v>
      </c>
      <c r="R483" t="s">
        <v>784</v>
      </c>
      <c r="S483" t="s">
        <v>793</v>
      </c>
      <c r="T483">
        <v>47209.338204</v>
      </c>
      <c r="U483" s="2">
        <v>44528</v>
      </c>
      <c r="V483" t="s">
        <v>804</v>
      </c>
    </row>
    <row r="484" spans="1:22">
      <c r="A484" s="1" t="s">
        <v>504</v>
      </c>
      <c r="B484">
        <f>HYPERLINK("https://www.suredividend.com/sure-analysis-DOW/","Dow Inc")</f>
        <v>0</v>
      </c>
      <c r="C484">
        <v>54.6</v>
      </c>
      <c r="D484">
        <v>117</v>
      </c>
      <c r="E484">
        <v>0.4666666666666667</v>
      </c>
      <c r="F484">
        <v>0.05128205128205128</v>
      </c>
      <c r="G484">
        <v>0.1646586157796568</v>
      </c>
      <c r="H484">
        <v>-0.07000000000000001</v>
      </c>
      <c r="I484">
        <v>0.1180650833844938</v>
      </c>
      <c r="J484" t="s">
        <v>529</v>
      </c>
      <c r="K484" t="s">
        <v>781</v>
      </c>
      <c r="L484">
        <v>9</v>
      </c>
      <c r="M484">
        <v>2.8</v>
      </c>
      <c r="N484">
        <v>0.3111111111111111</v>
      </c>
      <c r="O484">
        <v>0</v>
      </c>
      <c r="P484">
        <v>0</v>
      </c>
      <c r="Q484">
        <v>0.043408416004077</v>
      </c>
      <c r="R484" t="s">
        <v>784</v>
      </c>
      <c r="S484" t="s">
        <v>794</v>
      </c>
      <c r="T484">
        <v>39968.762824</v>
      </c>
      <c r="U484" s="2">
        <v>44498</v>
      </c>
      <c r="V484" t="s">
        <v>804</v>
      </c>
    </row>
    <row r="485" spans="1:22">
      <c r="A485" s="1" t="s">
        <v>505</v>
      </c>
      <c r="B485">
        <f>HYPERLINK("https://www.suredividend.com/sure-analysis-TAP/","Molson Coors Beverage Company")</f>
        <v>0</v>
      </c>
      <c r="C485">
        <v>45</v>
      </c>
      <c r="D485">
        <v>58</v>
      </c>
      <c r="E485">
        <v>0.7758620689655172</v>
      </c>
      <c r="F485">
        <v>0.03022222222222222</v>
      </c>
      <c r="G485">
        <v>0.0520662673984309</v>
      </c>
      <c r="H485">
        <v>0.04</v>
      </c>
      <c r="I485">
        <v>0.1168987328690432</v>
      </c>
      <c r="J485" t="s">
        <v>529</v>
      </c>
      <c r="K485" t="s">
        <v>529</v>
      </c>
      <c r="L485">
        <v>4.15</v>
      </c>
      <c r="M485">
        <v>1.36</v>
      </c>
      <c r="N485">
        <v>0.327710843373494</v>
      </c>
      <c r="O485">
        <v>0</v>
      </c>
      <c r="P485">
        <v>0.03941506521508265</v>
      </c>
      <c r="Q485">
        <v>-0.009370403286808</v>
      </c>
      <c r="R485" t="s">
        <v>784</v>
      </c>
      <c r="S485" t="s">
        <v>795</v>
      </c>
      <c r="T485">
        <v>9748.493839000001</v>
      </c>
      <c r="U485" s="2">
        <v>44500</v>
      </c>
      <c r="V485" t="s">
        <v>803</v>
      </c>
    </row>
    <row r="486" spans="1:22">
      <c r="A486" s="1" t="s">
        <v>506</v>
      </c>
      <c r="B486">
        <f>HYPERLINK("https://www.suredividend.com/sure-analysis-NTR/","Nutrien Ltd")</f>
        <v>0</v>
      </c>
      <c r="C486">
        <v>71.40000000000001</v>
      </c>
      <c r="D486">
        <v>102</v>
      </c>
      <c r="E486">
        <v>0.7000000000000001</v>
      </c>
      <c r="F486">
        <v>0.0257703081232493</v>
      </c>
      <c r="G486">
        <v>0.07394092378577932</v>
      </c>
      <c r="H486">
        <v>0.02</v>
      </c>
      <c r="I486">
        <v>0.1137855463155815</v>
      </c>
      <c r="J486" t="s">
        <v>529</v>
      </c>
      <c r="K486" t="s">
        <v>529</v>
      </c>
      <c r="L486">
        <v>5.98</v>
      </c>
      <c r="M486">
        <v>1.84</v>
      </c>
      <c r="N486">
        <v>0.3076923076923077</v>
      </c>
      <c r="O486">
        <v>3</v>
      </c>
      <c r="P486">
        <v>0.01984845658885503</v>
      </c>
      <c r="Q486">
        <v>0.4895663165674881</v>
      </c>
      <c r="R486" t="s">
        <v>784</v>
      </c>
      <c r="S486" t="s">
        <v>794</v>
      </c>
      <c r="T486">
        <v>40338.923201</v>
      </c>
      <c r="U486" s="2">
        <v>44522</v>
      </c>
      <c r="V486" t="s">
        <v>801</v>
      </c>
    </row>
    <row r="487" spans="1:22">
      <c r="A487" s="1" t="s">
        <v>507</v>
      </c>
      <c r="B487">
        <f>HYPERLINK("https://www.suredividend.com/sure-analysis-TGP/","Teekay LNG Partners LP")</f>
        <v>0</v>
      </c>
      <c r="C487">
        <v>16.92</v>
      </c>
      <c r="D487">
        <v>18.5</v>
      </c>
      <c r="E487">
        <v>0.9145945945945947</v>
      </c>
      <c r="F487">
        <v>0.06796690307328604</v>
      </c>
      <c r="G487">
        <v>0.01801522680093859</v>
      </c>
      <c r="H487">
        <v>0.04</v>
      </c>
      <c r="I487">
        <v>0.113691332737367</v>
      </c>
      <c r="J487" t="s">
        <v>529</v>
      </c>
      <c r="K487" t="s">
        <v>781</v>
      </c>
      <c r="L487">
        <v>3.7</v>
      </c>
      <c r="M487">
        <v>1.15</v>
      </c>
      <c r="N487">
        <v>0.3108108108108107</v>
      </c>
      <c r="O487">
        <v>3</v>
      </c>
      <c r="P487">
        <v>0.04012620718096094</v>
      </c>
      <c r="Q487">
        <v>0.5074033818577051</v>
      </c>
      <c r="R487" t="s">
        <v>785</v>
      </c>
      <c r="S487" t="s">
        <v>797</v>
      </c>
      <c r="T487">
        <v>1471.214879</v>
      </c>
      <c r="U487" s="2">
        <v>44515</v>
      </c>
      <c r="V487" t="s">
        <v>799</v>
      </c>
    </row>
    <row r="488" spans="1:22">
      <c r="A488" s="1" t="s">
        <v>508</v>
      </c>
      <c r="B488">
        <f>HYPERLINK("https://www.suredividend.com/sure-analysis-HSBC/","HSBC Holdings plc")</f>
        <v>0</v>
      </c>
      <c r="C488">
        <v>29.67</v>
      </c>
      <c r="D488">
        <v>39</v>
      </c>
      <c r="E488">
        <v>0.7607692307692309</v>
      </c>
      <c r="F488">
        <v>0.03707448601280755</v>
      </c>
      <c r="G488">
        <v>0.05620790154064093</v>
      </c>
      <c r="H488">
        <v>0.03</v>
      </c>
      <c r="I488">
        <v>0.1131613162205778</v>
      </c>
      <c r="J488" t="s">
        <v>529</v>
      </c>
      <c r="K488" t="s">
        <v>352</v>
      </c>
      <c r="L488">
        <v>3.23</v>
      </c>
      <c r="M488">
        <v>1.1</v>
      </c>
      <c r="N488">
        <v>0.3405572755417957</v>
      </c>
      <c r="O488">
        <v>0</v>
      </c>
      <c r="P488">
        <v>0</v>
      </c>
      <c r="Q488">
        <v>0.108684179099877</v>
      </c>
      <c r="R488" t="s">
        <v>784</v>
      </c>
      <c r="S488" t="s">
        <v>793</v>
      </c>
      <c r="T488">
        <v>117159.597761</v>
      </c>
      <c r="U488" s="2">
        <v>44495</v>
      </c>
      <c r="V488" t="s">
        <v>801</v>
      </c>
    </row>
    <row r="489" spans="1:22">
      <c r="A489" s="1" t="s">
        <v>509</v>
      </c>
      <c r="B489">
        <f>HYPERLINK("https://www.suredividend.com/sure-analysis-HAS/","Hasbro, Inc.")</f>
        <v>0</v>
      </c>
      <c r="C489">
        <v>101.24</v>
      </c>
      <c r="D489">
        <v>102</v>
      </c>
      <c r="E489">
        <v>0.9925490196078431</v>
      </c>
      <c r="F489">
        <v>0.02686685104701699</v>
      </c>
      <c r="G489">
        <v>0.001496894751644273</v>
      </c>
      <c r="H489">
        <v>0.09</v>
      </c>
      <c r="I489">
        <v>0.1127469682600022</v>
      </c>
      <c r="J489" t="s">
        <v>529</v>
      </c>
      <c r="K489" t="s">
        <v>529</v>
      </c>
      <c r="L489">
        <v>4.85</v>
      </c>
      <c r="M489">
        <v>2.72</v>
      </c>
      <c r="N489">
        <v>0.5608247422680414</v>
      </c>
      <c r="O489">
        <v>0</v>
      </c>
      <c r="P489">
        <v>0.04991010133745877</v>
      </c>
      <c r="Q489">
        <v>0.130415879333121</v>
      </c>
      <c r="R489" t="s">
        <v>784</v>
      </c>
      <c r="S489" t="s">
        <v>792</v>
      </c>
      <c r="T489">
        <v>13987.816268</v>
      </c>
      <c r="U489" s="2">
        <v>44512</v>
      </c>
      <c r="V489" t="s">
        <v>804</v>
      </c>
    </row>
    <row r="490" spans="1:22">
      <c r="A490" s="1" t="s">
        <v>510</v>
      </c>
      <c r="B490">
        <f>HYPERLINK("https://www.suredividend.com/sure-analysis-PGRE/","Paramount Group Inc")</f>
        <v>0</v>
      </c>
      <c r="C490">
        <v>8.34</v>
      </c>
      <c r="D490">
        <v>11</v>
      </c>
      <c r="E490">
        <v>0.7581818181818182</v>
      </c>
      <c r="F490">
        <v>0.03357314148681056</v>
      </c>
      <c r="G490">
        <v>0.05692781401311753</v>
      </c>
      <c r="H490">
        <v>0.03</v>
      </c>
      <c r="I490">
        <v>0.1120223529620308</v>
      </c>
      <c r="J490" t="s">
        <v>529</v>
      </c>
      <c r="K490" t="s">
        <v>352</v>
      </c>
      <c r="L490">
        <v>0.91</v>
      </c>
      <c r="M490">
        <v>0.28</v>
      </c>
      <c r="N490">
        <v>0.3076923076923077</v>
      </c>
      <c r="O490">
        <v>0</v>
      </c>
      <c r="P490">
        <v>0.007042949693310208</v>
      </c>
      <c r="Q490">
        <v>-0.080091881946939</v>
      </c>
      <c r="R490" t="s">
        <v>786</v>
      </c>
      <c r="S490" t="s">
        <v>798</v>
      </c>
      <c r="T490">
        <v>1850.181631</v>
      </c>
      <c r="U490" s="2">
        <v>44498</v>
      </c>
      <c r="V490" t="s">
        <v>806</v>
      </c>
    </row>
    <row r="491" spans="1:22">
      <c r="A491" s="1" t="s">
        <v>511</v>
      </c>
      <c r="B491">
        <f>HYPERLINK("https://www.suredividend.com/sure-analysis-BP/","BP plc")</f>
        <v>0</v>
      </c>
      <c r="C491">
        <v>26.73</v>
      </c>
      <c r="D491">
        <v>42</v>
      </c>
      <c r="E491">
        <v>0.6364285714285715</v>
      </c>
      <c r="F491">
        <v>0.04900860456416012</v>
      </c>
      <c r="G491">
        <v>0.09458644663596627</v>
      </c>
      <c r="H491">
        <v>-0.02</v>
      </c>
      <c r="I491">
        <v>0.110446111401802</v>
      </c>
      <c r="J491" t="s">
        <v>529</v>
      </c>
      <c r="K491" t="s">
        <v>781</v>
      </c>
      <c r="L491">
        <v>3.5</v>
      </c>
      <c r="M491">
        <v>1.31</v>
      </c>
      <c r="N491">
        <v>0.3742857142857143</v>
      </c>
      <c r="O491">
        <v>0</v>
      </c>
      <c r="P491">
        <v>0.03018318869451253</v>
      </c>
      <c r="Q491">
        <v>0.275020236515775</v>
      </c>
      <c r="R491" t="s">
        <v>784</v>
      </c>
      <c r="S491" t="s">
        <v>797</v>
      </c>
      <c r="T491">
        <v>87648.294564</v>
      </c>
      <c r="U491" s="2">
        <v>44512</v>
      </c>
      <c r="V491" t="s">
        <v>807</v>
      </c>
    </row>
    <row r="492" spans="1:22">
      <c r="A492" s="1" t="s">
        <v>512</v>
      </c>
      <c r="B492">
        <f>HYPERLINK("https://www.suredividend.com/sure-analysis-WSBC/","Wesbanco, Inc.")</f>
        <v>0</v>
      </c>
      <c r="C492">
        <v>34.17</v>
      </c>
      <c r="D492">
        <v>41</v>
      </c>
      <c r="E492">
        <v>0.8334146341463415</v>
      </c>
      <c r="F492">
        <v>0.03863037752414399</v>
      </c>
      <c r="G492">
        <v>0.03711705369600016</v>
      </c>
      <c r="H492">
        <v>0.04</v>
      </c>
      <c r="I492">
        <v>0.1098057614380135</v>
      </c>
      <c r="J492" t="s">
        <v>529</v>
      </c>
      <c r="K492" t="s">
        <v>352</v>
      </c>
      <c r="L492">
        <v>3.42</v>
      </c>
      <c r="M492">
        <v>1.32</v>
      </c>
      <c r="N492">
        <v>0.3859649122807018</v>
      </c>
      <c r="O492">
        <v>10</v>
      </c>
      <c r="P492">
        <v>0.04941452284458392</v>
      </c>
      <c r="Q492">
        <v>0.175373328386826</v>
      </c>
      <c r="R492" t="s">
        <v>784</v>
      </c>
      <c r="S492" t="s">
        <v>793</v>
      </c>
      <c r="T492">
        <v>2143.513475</v>
      </c>
      <c r="U492" s="2">
        <v>44498</v>
      </c>
      <c r="V492" t="s">
        <v>806</v>
      </c>
    </row>
    <row r="493" spans="1:22">
      <c r="A493" s="1" t="s">
        <v>513</v>
      </c>
      <c r="B493">
        <f>HYPERLINK("https://www.suredividend.com/sure-analysis-DRI/","Darden Restaurants, Inc.")</f>
        <v>0</v>
      </c>
      <c r="C493">
        <v>147.13</v>
      </c>
      <c r="D493">
        <v>148</v>
      </c>
      <c r="E493">
        <v>0.9941216216216215</v>
      </c>
      <c r="F493">
        <v>0.02990552572554884</v>
      </c>
      <c r="G493">
        <v>0.00117984027541862</v>
      </c>
      <c r="H493">
        <v>0.08</v>
      </c>
      <c r="I493">
        <v>0.1076886779125537</v>
      </c>
      <c r="J493" t="s">
        <v>529</v>
      </c>
      <c r="K493" t="s">
        <v>529</v>
      </c>
      <c r="L493">
        <v>7.42</v>
      </c>
      <c r="M493">
        <v>4.4</v>
      </c>
      <c r="N493">
        <v>0.5929919137466307</v>
      </c>
      <c r="O493">
        <v>1</v>
      </c>
      <c r="P493">
        <v>0.08016554685867416</v>
      </c>
      <c r="Q493">
        <v>0.323554618497792</v>
      </c>
      <c r="R493" t="s">
        <v>784</v>
      </c>
      <c r="S493" t="s">
        <v>792</v>
      </c>
      <c r="T493">
        <v>19341.858997</v>
      </c>
      <c r="U493" s="2">
        <v>44464</v>
      </c>
      <c r="V493" t="s">
        <v>801</v>
      </c>
    </row>
    <row r="494" spans="1:22">
      <c r="A494" s="1" t="s">
        <v>514</v>
      </c>
      <c r="B494">
        <f>HYPERLINK("https://www.suredividend.com/sure-analysis-TRST/","Trustco Bank Corp.")</f>
        <v>0</v>
      </c>
      <c r="C494">
        <v>32.71</v>
      </c>
      <c r="D494">
        <v>39</v>
      </c>
      <c r="E494">
        <v>0.8387179487179487</v>
      </c>
      <c r="F494">
        <v>0.04157749923570773</v>
      </c>
      <c r="G494">
        <v>0.03580216058598418</v>
      </c>
      <c r="H494">
        <v>0.04</v>
      </c>
      <c r="I494">
        <v>0.1073281005716284</v>
      </c>
      <c r="J494" t="s">
        <v>529</v>
      </c>
      <c r="K494" t="s">
        <v>352</v>
      </c>
      <c r="L494">
        <v>3.09</v>
      </c>
      <c r="M494">
        <v>1.36</v>
      </c>
      <c r="N494">
        <v>0.4401294498381877</v>
      </c>
      <c r="O494">
        <v>0</v>
      </c>
      <c r="P494">
        <v>0.0100884981090783</v>
      </c>
      <c r="Q494">
        <v>0.017083829956297</v>
      </c>
      <c r="R494" t="s">
        <v>784</v>
      </c>
      <c r="S494" t="s">
        <v>793</v>
      </c>
      <c r="T494">
        <v>614.992032</v>
      </c>
      <c r="U494" s="2">
        <v>44493</v>
      </c>
      <c r="V494" t="s">
        <v>806</v>
      </c>
    </row>
    <row r="495" spans="1:22">
      <c r="A495" s="1" t="s">
        <v>515</v>
      </c>
      <c r="B495">
        <f>HYPERLINK("https://www.suredividend.com/sure-analysis-RDS.B/","Royal Dutch Shell Plc")</f>
        <v>0</v>
      </c>
      <c r="C495">
        <v>42.82</v>
      </c>
      <c r="D495">
        <v>56</v>
      </c>
      <c r="E495">
        <v>0.7646428571428572</v>
      </c>
      <c r="F495">
        <v>0.04483886034563288</v>
      </c>
      <c r="G495">
        <v>0.05513559160152348</v>
      </c>
      <c r="H495">
        <v>0.01</v>
      </c>
      <c r="I495">
        <v>0.1063988445716095</v>
      </c>
      <c r="J495" t="s">
        <v>529</v>
      </c>
      <c r="K495" t="s">
        <v>352</v>
      </c>
      <c r="L495">
        <v>4.7</v>
      </c>
      <c r="M495">
        <v>1.92</v>
      </c>
      <c r="N495">
        <v>0.4085106382978723</v>
      </c>
      <c r="O495">
        <v>0</v>
      </c>
      <c r="P495">
        <v>0.07914802001878241</v>
      </c>
      <c r="Q495">
        <v>0.238602682335352</v>
      </c>
      <c r="R495" t="s">
        <v>784</v>
      </c>
      <c r="S495" t="s">
        <v>797</v>
      </c>
      <c r="T495">
        <v>167047.723344</v>
      </c>
      <c r="U495" s="2">
        <v>44502</v>
      </c>
      <c r="V495" t="s">
        <v>807</v>
      </c>
    </row>
    <row r="496" spans="1:22">
      <c r="A496" s="1" t="s">
        <v>516</v>
      </c>
      <c r="B496">
        <f>HYPERLINK("https://www.suredividend.com/sure-analysis-WEN/","Wendy`s Co")</f>
        <v>0</v>
      </c>
      <c r="C496">
        <v>22.19</v>
      </c>
      <c r="D496">
        <v>24</v>
      </c>
      <c r="E496">
        <v>0.9245833333333334</v>
      </c>
      <c r="F496">
        <v>0.02163136547994592</v>
      </c>
      <c r="G496">
        <v>0.01580603315446916</v>
      </c>
      <c r="H496">
        <v>0.07000000000000001</v>
      </c>
      <c r="I496">
        <v>0.105296675858775</v>
      </c>
      <c r="J496" t="s">
        <v>529</v>
      </c>
      <c r="K496" t="s">
        <v>782</v>
      </c>
      <c r="L496">
        <v>0.8</v>
      </c>
      <c r="M496">
        <v>0.48</v>
      </c>
      <c r="N496">
        <v>0.6</v>
      </c>
      <c r="O496">
        <v>1</v>
      </c>
      <c r="P496">
        <v>0.06897294358221773</v>
      </c>
      <c r="Q496">
        <v>-0.004999531712016001</v>
      </c>
      <c r="R496" t="s">
        <v>784</v>
      </c>
      <c r="S496" t="s">
        <v>792</v>
      </c>
      <c r="T496">
        <v>4922.354178</v>
      </c>
      <c r="U496" s="2">
        <v>44513</v>
      </c>
      <c r="V496" t="s">
        <v>806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21.2</v>
      </c>
      <c r="D497">
        <v>22</v>
      </c>
      <c r="E497">
        <v>0.9636363636363636</v>
      </c>
      <c r="F497">
        <v>0.08915094339622641</v>
      </c>
      <c r="G497">
        <v>0.007435763341501644</v>
      </c>
      <c r="H497">
        <v>0.03</v>
      </c>
      <c r="I497">
        <v>0.1051781188364593</v>
      </c>
      <c r="J497" t="s">
        <v>529</v>
      </c>
      <c r="K497" t="s">
        <v>781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0.095849925335988</v>
      </c>
      <c r="R497" t="s">
        <v>784</v>
      </c>
      <c r="S497" t="s">
        <v>795</v>
      </c>
      <c r="T497">
        <v>20002.335215</v>
      </c>
      <c r="U497" s="2">
        <v>44516</v>
      </c>
      <c r="V497" t="s">
        <v>800</v>
      </c>
    </row>
    <row r="498" spans="1:22">
      <c r="A498" s="1" t="s">
        <v>518</v>
      </c>
      <c r="B498">
        <f>HYPERLINK("https://www.suredividend.com/sure-analysis-SAFE/","Safehold Inc")</f>
        <v>0</v>
      </c>
      <c r="C498">
        <v>72.05</v>
      </c>
      <c r="D498">
        <v>65</v>
      </c>
      <c r="E498">
        <v>1.108461538461538</v>
      </c>
      <c r="F498">
        <v>0.00943789035392089</v>
      </c>
      <c r="G498">
        <v>-0.02038398988026546</v>
      </c>
      <c r="H498">
        <v>0.12</v>
      </c>
      <c r="I498">
        <v>0.104793324964815</v>
      </c>
      <c r="J498" t="s">
        <v>529</v>
      </c>
      <c r="K498" t="s">
        <v>782</v>
      </c>
      <c r="L498">
        <v>1.48</v>
      </c>
      <c r="M498">
        <v>0.68</v>
      </c>
      <c r="N498">
        <v>0.4594594594594595</v>
      </c>
      <c r="O498">
        <v>3</v>
      </c>
      <c r="P498">
        <v>0.0576615571948691</v>
      </c>
      <c r="Q498">
        <v>0.030179979822952</v>
      </c>
      <c r="R498" t="s">
        <v>786</v>
      </c>
      <c r="S498" t="s">
        <v>798</v>
      </c>
      <c r="T498">
        <v>4152.625729</v>
      </c>
      <c r="U498" s="2">
        <v>44492</v>
      </c>
      <c r="V498" t="s">
        <v>808</v>
      </c>
    </row>
    <row r="499" spans="1:22">
      <c r="A499" s="1" t="s">
        <v>519</v>
      </c>
      <c r="B499">
        <f>HYPERLINK("https://www.suredividend.com/sure-analysis-MED/","Medifast Inc")</f>
        <v>0</v>
      </c>
      <c r="C499">
        <v>210.6</v>
      </c>
      <c r="D499">
        <v>208</v>
      </c>
      <c r="E499">
        <v>1.0125</v>
      </c>
      <c r="F499">
        <v>0.02697056030389364</v>
      </c>
      <c r="G499">
        <v>-0.002481420174103466</v>
      </c>
      <c r="H499">
        <v>0.08</v>
      </c>
      <c r="I499">
        <v>0.1029661448711188</v>
      </c>
      <c r="J499" t="s">
        <v>529</v>
      </c>
      <c r="K499" t="s">
        <v>529</v>
      </c>
      <c r="L499">
        <v>13.9</v>
      </c>
      <c r="M499">
        <v>5.68</v>
      </c>
      <c r="N499">
        <v>0.4086330935251798</v>
      </c>
      <c r="O499">
        <v>6</v>
      </c>
      <c r="P499">
        <v>0.1000553858515176</v>
      </c>
      <c r="Q499">
        <v>0.09404819343755401</v>
      </c>
      <c r="R499" t="s">
        <v>784</v>
      </c>
      <c r="S499" t="s">
        <v>792</v>
      </c>
      <c r="T499">
        <v>2481.227369</v>
      </c>
      <c r="U499" s="2">
        <v>44518</v>
      </c>
      <c r="V499" t="s">
        <v>810</v>
      </c>
    </row>
    <row r="500" spans="1:22">
      <c r="A500" s="1" t="s">
        <v>520</v>
      </c>
      <c r="B500">
        <f>HYPERLINK("https://www.suredividend.com/sure-analysis-RF/","Regions Financial Corp.")</f>
        <v>0</v>
      </c>
      <c r="C500">
        <v>21.96</v>
      </c>
      <c r="D500">
        <v>26</v>
      </c>
      <c r="E500">
        <v>0.8446153846153847</v>
      </c>
      <c r="F500">
        <v>0.03096539162112933</v>
      </c>
      <c r="G500">
        <v>0.03435162824309979</v>
      </c>
      <c r="H500">
        <v>0.04</v>
      </c>
      <c r="I500">
        <v>0.1013494566228224</v>
      </c>
      <c r="J500" t="s">
        <v>529</v>
      </c>
      <c r="K500" t="s">
        <v>352</v>
      </c>
      <c r="L500">
        <v>2.4</v>
      </c>
      <c r="M500">
        <v>0.68</v>
      </c>
      <c r="N500">
        <v>0.2833333333333334</v>
      </c>
      <c r="O500">
        <v>0</v>
      </c>
      <c r="P500">
        <v>0.0505145404837426</v>
      </c>
      <c r="Q500">
        <v>0.465699809666782</v>
      </c>
      <c r="R500" t="s">
        <v>784</v>
      </c>
      <c r="S500" t="s">
        <v>793</v>
      </c>
      <c r="T500">
        <v>20848.290965</v>
      </c>
      <c r="U500" s="2">
        <v>44491</v>
      </c>
      <c r="V500" t="s">
        <v>802</v>
      </c>
    </row>
    <row r="501" spans="1:22">
      <c r="A501" s="1" t="s">
        <v>521</v>
      </c>
      <c r="B501">
        <f>HYPERLINK("https://www.suredividend.com/sure-analysis-PETS/","Petmed Express, Inc.")</f>
        <v>0</v>
      </c>
      <c r="C501">
        <v>25.62</v>
      </c>
      <c r="D501">
        <v>23</v>
      </c>
      <c r="E501">
        <v>1.113913043478261</v>
      </c>
      <c r="F501">
        <v>0.0468384074941452</v>
      </c>
      <c r="G501">
        <v>-0.02134472317767144</v>
      </c>
      <c r="H501">
        <v>0.08</v>
      </c>
      <c r="I501">
        <v>0.1006800748040122</v>
      </c>
      <c r="J501" t="s">
        <v>529</v>
      </c>
      <c r="K501" t="s">
        <v>781</v>
      </c>
      <c r="L501">
        <v>1.25</v>
      </c>
      <c r="M501">
        <v>1.2</v>
      </c>
      <c r="N501">
        <v>0.96</v>
      </c>
      <c r="O501">
        <v>13</v>
      </c>
      <c r="P501">
        <v>0.0796084730466029</v>
      </c>
      <c r="Q501">
        <v>-0.123038777335176</v>
      </c>
      <c r="R501" t="s">
        <v>784</v>
      </c>
      <c r="S501" t="s">
        <v>789</v>
      </c>
      <c r="T501">
        <v>526.837655</v>
      </c>
      <c r="U501" s="2">
        <v>44499</v>
      </c>
      <c r="V501" t="s">
        <v>801</v>
      </c>
    </row>
    <row r="502" spans="1:22">
      <c r="A502" s="1" t="s">
        <v>522</v>
      </c>
      <c r="B502">
        <f>HYPERLINK("https://www.suredividend.com/sure-analysis-ITUB/","Itau Unibanco Holding S.A.")</f>
        <v>0</v>
      </c>
      <c r="C502">
        <v>3.83</v>
      </c>
      <c r="D502">
        <v>4.9</v>
      </c>
      <c r="E502">
        <v>0.7816326530612244</v>
      </c>
      <c r="F502">
        <v>0.04699738903394256</v>
      </c>
      <c r="G502">
        <v>0.05050823498779988</v>
      </c>
      <c r="H502">
        <v>0.015</v>
      </c>
      <c r="I502">
        <v>0.1003720465397357</v>
      </c>
      <c r="J502" t="s">
        <v>529</v>
      </c>
      <c r="K502" t="s">
        <v>781</v>
      </c>
      <c r="L502">
        <v>0.49</v>
      </c>
      <c r="M502">
        <v>0.18</v>
      </c>
      <c r="N502">
        <v>0.3673469387755102</v>
      </c>
      <c r="O502">
        <v>0</v>
      </c>
      <c r="P502">
        <v>0</v>
      </c>
      <c r="Q502">
        <v>-0.245047511676598</v>
      </c>
      <c r="R502" t="s">
        <v>784</v>
      </c>
      <c r="S502" t="s">
        <v>793</v>
      </c>
      <c r="T502">
        <v>18171.918709</v>
      </c>
      <c r="U502" s="2">
        <v>44529</v>
      </c>
      <c r="V502" t="s">
        <v>801</v>
      </c>
    </row>
    <row r="503" spans="1:22">
      <c r="A503" s="1" t="s">
        <v>523</v>
      </c>
      <c r="B503">
        <f>HYPERLINK("https://www.suredividend.com/sure-analysis-HASI/","Hannon Armstrong Sustainable Infrastructure capital Inc")</f>
        <v>0</v>
      </c>
      <c r="C503">
        <v>51.58</v>
      </c>
      <c r="D503">
        <v>50</v>
      </c>
      <c r="E503">
        <v>1.0316</v>
      </c>
      <c r="F503">
        <v>0.02714230321830167</v>
      </c>
      <c r="G503">
        <v>-0.006202881211932243</v>
      </c>
      <c r="H503">
        <v>0.08500000000000001</v>
      </c>
      <c r="I503">
        <v>0.09997204560351758</v>
      </c>
      <c r="J503" t="s">
        <v>529</v>
      </c>
      <c r="K503" t="s">
        <v>529</v>
      </c>
      <c r="L503">
        <v>1.68</v>
      </c>
      <c r="M503">
        <v>1.4</v>
      </c>
      <c r="N503">
        <v>0.8333333333333333</v>
      </c>
      <c r="O503">
        <v>3</v>
      </c>
      <c r="P503">
        <v>0.03959498820755258</v>
      </c>
      <c r="Q503">
        <v>-0.052687283758931</v>
      </c>
      <c r="R503" t="s">
        <v>786</v>
      </c>
      <c r="S503" t="s">
        <v>798</v>
      </c>
      <c r="T503">
        <v>4264.196657</v>
      </c>
      <c r="U503" s="2">
        <v>44513</v>
      </c>
      <c r="V503" t="s">
        <v>799</v>
      </c>
    </row>
    <row r="504" spans="1:22">
      <c r="A504" s="1" t="s">
        <v>524</v>
      </c>
      <c r="B504">
        <f>HYPERLINK("https://www.suredividend.com/sure-analysis-DD/","DuPont de Nemours Inc")</f>
        <v>0</v>
      </c>
      <c r="C504">
        <v>78.70999999999999</v>
      </c>
      <c r="D504">
        <v>77</v>
      </c>
      <c r="E504">
        <v>1.022207792207792</v>
      </c>
      <c r="F504">
        <v>0.0152458391563969</v>
      </c>
      <c r="G504">
        <v>-0.004383323133648642</v>
      </c>
      <c r="H504">
        <v>0.09</v>
      </c>
      <c r="I504">
        <v>0.09807146226643138</v>
      </c>
      <c r="J504" t="s">
        <v>529</v>
      </c>
      <c r="K504" t="s">
        <v>782</v>
      </c>
      <c r="L504">
        <v>4.25</v>
      </c>
      <c r="M504">
        <v>1.2</v>
      </c>
      <c r="N504">
        <v>0.2823529411764706</v>
      </c>
      <c r="O504">
        <v>0</v>
      </c>
      <c r="P504">
        <v>0.06054457313435013</v>
      </c>
      <c r="Q504">
        <v>0.169962693811473</v>
      </c>
      <c r="R504" t="s">
        <v>784</v>
      </c>
      <c r="S504" t="s">
        <v>794</v>
      </c>
      <c r="T504">
        <v>40976.261251</v>
      </c>
      <c r="U504" s="2">
        <v>44520</v>
      </c>
      <c r="V504" t="s">
        <v>804</v>
      </c>
    </row>
    <row r="505" spans="1:22">
      <c r="A505" s="1" t="s">
        <v>525</v>
      </c>
      <c r="B505">
        <f>HYPERLINK("https://www.suredividend.com/sure-analysis-BDN/","Brandywine Realty Trust")</f>
        <v>0</v>
      </c>
      <c r="C505">
        <v>13.55</v>
      </c>
      <c r="D505">
        <v>15</v>
      </c>
      <c r="E505">
        <v>0.9033333333333334</v>
      </c>
      <c r="F505">
        <v>0.05608856088560885</v>
      </c>
      <c r="G505">
        <v>0.02054084886856544</v>
      </c>
      <c r="H505">
        <v>0.03</v>
      </c>
      <c r="I505">
        <v>0.09715921428572827</v>
      </c>
      <c r="J505" t="s">
        <v>529</v>
      </c>
      <c r="K505" t="s">
        <v>352</v>
      </c>
      <c r="L505">
        <v>1.37</v>
      </c>
      <c r="M505">
        <v>0.76</v>
      </c>
      <c r="N505">
        <v>0.5547445255474452</v>
      </c>
      <c r="O505">
        <v>0</v>
      </c>
      <c r="P505">
        <v>0.02975477857041309</v>
      </c>
      <c r="Q505">
        <v>0.157954962725122</v>
      </c>
      <c r="R505" t="s">
        <v>786</v>
      </c>
      <c r="S505" t="s">
        <v>798</v>
      </c>
      <c r="T505">
        <v>2320.472045</v>
      </c>
      <c r="U505" s="2">
        <v>44537</v>
      </c>
      <c r="V505" t="s">
        <v>807</v>
      </c>
    </row>
    <row r="506" spans="1:22">
      <c r="A506" s="1" t="s">
        <v>526</v>
      </c>
      <c r="B506">
        <f>HYPERLINK("https://www.suredividend.com/sure-analysis-WMB/","Williams Cos Inc")</f>
        <v>0</v>
      </c>
      <c r="C506">
        <v>26.14</v>
      </c>
      <c r="D506">
        <v>25</v>
      </c>
      <c r="E506">
        <v>1.0456</v>
      </c>
      <c r="F506">
        <v>0.06273909716908951</v>
      </c>
      <c r="G506">
        <v>-0.008878527681148385</v>
      </c>
      <c r="H506">
        <v>0.05</v>
      </c>
      <c r="I506">
        <v>0.09504193841974562</v>
      </c>
      <c r="J506" t="s">
        <v>529</v>
      </c>
      <c r="K506" t="s">
        <v>781</v>
      </c>
      <c r="L506">
        <v>3.35</v>
      </c>
      <c r="M506">
        <v>1.64</v>
      </c>
      <c r="N506">
        <v>0.4895522388059701</v>
      </c>
      <c r="O506">
        <v>4</v>
      </c>
      <c r="P506">
        <v>0.04048836820440749</v>
      </c>
      <c r="Q506">
        <v>0.239456509293538</v>
      </c>
      <c r="R506" t="s">
        <v>784</v>
      </c>
      <c r="S506" t="s">
        <v>797</v>
      </c>
      <c r="T506">
        <v>31566.474178</v>
      </c>
      <c r="U506" s="2">
        <v>44504</v>
      </c>
      <c r="V506" t="s">
        <v>807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151.66</v>
      </c>
      <c r="D507">
        <v>157</v>
      </c>
      <c r="E507">
        <v>0.9659872611464968</v>
      </c>
      <c r="F507">
        <v>0.04351839641302914</v>
      </c>
      <c r="G507">
        <v>0.006944931373220831</v>
      </c>
      <c r="H507">
        <v>0.05</v>
      </c>
      <c r="I507">
        <v>0.09491747136015527</v>
      </c>
      <c r="J507" t="s">
        <v>529</v>
      </c>
      <c r="K507" t="s">
        <v>352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0.7978282745271</v>
      </c>
      <c r="R507" t="s">
        <v>786</v>
      </c>
      <c r="S507" t="s">
        <v>798</v>
      </c>
      <c r="T507">
        <v>49962.041223</v>
      </c>
      <c r="U507" s="2">
        <v>44502</v>
      </c>
      <c r="V507" t="s">
        <v>799</v>
      </c>
    </row>
    <row r="508" spans="1:22">
      <c r="A508" s="1" t="s">
        <v>528</v>
      </c>
      <c r="B508">
        <f>HYPERLINK("https://www.suredividend.com/sure-analysis-KMI/","Kinder Morgan Inc")</f>
        <v>0</v>
      </c>
      <c r="C508">
        <v>15.86</v>
      </c>
      <c r="D508">
        <v>20.3</v>
      </c>
      <c r="E508">
        <v>0.7812807881773398</v>
      </c>
      <c r="F508">
        <v>0.06809583858764187</v>
      </c>
      <c r="G508">
        <v>0.05060284127850845</v>
      </c>
      <c r="H508">
        <v>-0.012</v>
      </c>
      <c r="I508">
        <v>0.09281332580983803</v>
      </c>
      <c r="J508" t="s">
        <v>529</v>
      </c>
      <c r="K508" t="s">
        <v>781</v>
      </c>
      <c r="L508">
        <v>2.39</v>
      </c>
      <c r="M508">
        <v>1.08</v>
      </c>
      <c r="N508">
        <v>0.4518828451882845</v>
      </c>
      <c r="O508">
        <v>4</v>
      </c>
      <c r="P508">
        <v>0.01263939059641661</v>
      </c>
      <c r="Q508">
        <v>0.146080073949968</v>
      </c>
      <c r="R508" t="s">
        <v>784</v>
      </c>
      <c r="S508" t="s">
        <v>797</v>
      </c>
      <c r="T508">
        <v>35969.685048</v>
      </c>
      <c r="U508" s="2">
        <v>44491</v>
      </c>
      <c r="V508" t="s">
        <v>808</v>
      </c>
    </row>
    <row r="509" spans="1:22">
      <c r="A509" s="1" t="s">
        <v>529</v>
      </c>
      <c r="B509">
        <f>HYPERLINK("https://www.suredividend.com/sure-analysis-D/","Dominion Energy Inc")</f>
        <v>0</v>
      </c>
      <c r="C509">
        <v>78.56999999999999</v>
      </c>
      <c r="D509">
        <v>77</v>
      </c>
      <c r="E509">
        <v>1.02038961038961</v>
      </c>
      <c r="F509">
        <v>0.03207331042382589</v>
      </c>
      <c r="G509">
        <v>-0.004028767719132742</v>
      </c>
      <c r="H509">
        <v>0.065</v>
      </c>
      <c r="I509">
        <v>0.08938313555560828</v>
      </c>
      <c r="J509" t="s">
        <v>529</v>
      </c>
      <c r="K509" t="s">
        <v>529</v>
      </c>
      <c r="L509">
        <v>3.85</v>
      </c>
      <c r="M509">
        <v>2.52</v>
      </c>
      <c r="N509">
        <v>0.6545454545454545</v>
      </c>
      <c r="O509">
        <v>16</v>
      </c>
      <c r="P509">
        <v>0.05985358218414349</v>
      </c>
      <c r="Q509">
        <v>0.072206675377774</v>
      </c>
      <c r="R509" t="s">
        <v>784</v>
      </c>
      <c r="S509" t="s">
        <v>796</v>
      </c>
      <c r="T509">
        <v>63223.708737</v>
      </c>
      <c r="U509" s="2">
        <v>44517</v>
      </c>
      <c r="V509" t="s">
        <v>809</v>
      </c>
    </row>
    <row r="510" spans="1:22">
      <c r="A510" s="1" t="s">
        <v>530</v>
      </c>
      <c r="B510">
        <f>HYPERLINK("https://www.suredividend.com/sure-analysis-WASH/","Washington Trust Bancorp, Inc.")</f>
        <v>0</v>
      </c>
      <c r="C510">
        <v>56.18</v>
      </c>
      <c r="D510">
        <v>58</v>
      </c>
      <c r="E510">
        <v>0.9686206896551725</v>
      </c>
      <c r="F510">
        <v>0.03702385190459238</v>
      </c>
      <c r="G510">
        <v>0.006396810532263597</v>
      </c>
      <c r="H510">
        <v>0.05</v>
      </c>
      <c r="I510">
        <v>0.08908873044697141</v>
      </c>
      <c r="J510" t="s">
        <v>529</v>
      </c>
      <c r="K510" t="s">
        <v>352</v>
      </c>
      <c r="L510">
        <v>4.14</v>
      </c>
      <c r="M510">
        <v>2.08</v>
      </c>
      <c r="N510">
        <v>0.5024154589371981</v>
      </c>
      <c r="O510">
        <v>10</v>
      </c>
      <c r="P510">
        <v>0.04963065931551602</v>
      </c>
      <c r="Q510">
        <v>0.23563069448169</v>
      </c>
      <c r="R510" t="s">
        <v>784</v>
      </c>
      <c r="S510" t="s">
        <v>793</v>
      </c>
      <c r="T510">
        <v>952.038347</v>
      </c>
      <c r="U510" s="2">
        <v>44495</v>
      </c>
      <c r="V510" t="s">
        <v>800</v>
      </c>
    </row>
    <row r="511" spans="1:22">
      <c r="A511" s="1" t="s">
        <v>531</v>
      </c>
      <c r="B511">
        <f>HYPERLINK("https://www.suredividend.com/sure-analysis-HIW/","Highwoods Properties, Inc.")</f>
        <v>0</v>
      </c>
      <c r="C511">
        <v>43.73</v>
      </c>
      <c r="D511">
        <v>49</v>
      </c>
      <c r="E511">
        <v>0.8924489795918367</v>
      </c>
      <c r="F511">
        <v>0.04573519323119141</v>
      </c>
      <c r="G511">
        <v>0.02301810681796734</v>
      </c>
      <c r="H511">
        <v>0.025</v>
      </c>
      <c r="I511">
        <v>0.08600701232421937</v>
      </c>
      <c r="J511" t="s">
        <v>529</v>
      </c>
      <c r="K511" t="s">
        <v>352</v>
      </c>
      <c r="L511">
        <v>3.75</v>
      </c>
      <c r="M511">
        <v>2</v>
      </c>
      <c r="N511">
        <v>0.5333333333333333</v>
      </c>
      <c r="O511">
        <v>4</v>
      </c>
      <c r="P511">
        <v>0.02016978262061087</v>
      </c>
      <c r="Q511">
        <v>0.137659935255125</v>
      </c>
      <c r="R511" t="s">
        <v>786</v>
      </c>
      <c r="S511" t="s">
        <v>798</v>
      </c>
      <c r="T511">
        <v>4622.081985</v>
      </c>
      <c r="U511" s="2">
        <v>44496</v>
      </c>
      <c r="V511" t="s">
        <v>806</v>
      </c>
    </row>
    <row r="512" spans="1:22">
      <c r="A512" s="1" t="s">
        <v>532</v>
      </c>
      <c r="B512">
        <f>HYPERLINK("https://www.suredividend.com/sure-analysis-SUUIF/","Superior Plus Corp.")</f>
        <v>0</v>
      </c>
      <c r="C512">
        <v>10.27</v>
      </c>
      <c r="D512">
        <v>12.6</v>
      </c>
      <c r="E512">
        <v>0.8150793650793651</v>
      </c>
      <c r="F512">
        <v>0.05647517039922103</v>
      </c>
      <c r="G512">
        <v>0.04174163132559539</v>
      </c>
      <c r="H512">
        <v>0</v>
      </c>
      <c r="I512">
        <v>0.08580603435866463</v>
      </c>
      <c r="J512" t="s">
        <v>529</v>
      </c>
      <c r="K512" t="s">
        <v>781</v>
      </c>
      <c r="L512">
        <v>1.75</v>
      </c>
      <c r="M512">
        <v>0.58</v>
      </c>
      <c r="N512">
        <v>0.3314285714285714</v>
      </c>
      <c r="O512">
        <v>0</v>
      </c>
      <c r="P512">
        <v>0</v>
      </c>
      <c r="Q512">
        <v>0.008979820403592001</v>
      </c>
      <c r="R512" t="s">
        <v>784</v>
      </c>
      <c r="S512" t="s">
        <v>796</v>
      </c>
      <c r="T512">
        <v>1776.260622</v>
      </c>
      <c r="U512" s="2">
        <v>44516</v>
      </c>
      <c r="V512" t="s">
        <v>799</v>
      </c>
    </row>
    <row r="513" spans="1:22">
      <c r="A513" s="1" t="s">
        <v>533</v>
      </c>
      <c r="B513">
        <f>HYPERLINK("https://www.suredividend.com/sure-analysis-VALE/","Vale S.A.")</f>
        <v>0</v>
      </c>
      <c r="C513">
        <v>14.16</v>
      </c>
      <c r="D513">
        <v>21</v>
      </c>
      <c r="E513">
        <v>0.6742857142857143</v>
      </c>
      <c r="F513">
        <v>0.1603107344632768</v>
      </c>
      <c r="G513">
        <v>0.08200983484829383</v>
      </c>
      <c r="H513">
        <v>-0.07000000000000001</v>
      </c>
      <c r="I513">
        <v>0.08314437446536571</v>
      </c>
      <c r="J513" t="s">
        <v>529</v>
      </c>
      <c r="K513" t="s">
        <v>781</v>
      </c>
      <c r="L513">
        <v>4.2</v>
      </c>
      <c r="M513">
        <v>2.27</v>
      </c>
      <c r="N513">
        <v>0.5404761904761904</v>
      </c>
      <c r="O513">
        <v>1</v>
      </c>
      <c r="P513">
        <v>-0.1803080202371039</v>
      </c>
      <c r="Q513">
        <v>-0.046433043928443</v>
      </c>
      <c r="R513" t="s">
        <v>784</v>
      </c>
      <c r="S513" t="s">
        <v>794</v>
      </c>
      <c r="T513">
        <v>69955.40796500001</v>
      </c>
      <c r="U513" s="2">
        <v>44503</v>
      </c>
      <c r="V513" t="s">
        <v>802</v>
      </c>
    </row>
    <row r="514" spans="1:22">
      <c r="A514" s="1" t="s">
        <v>534</v>
      </c>
      <c r="B514">
        <f>HYPERLINK("https://www.suredividend.com/sure-analysis-AMCR/","Amcor Plc")</f>
        <v>0</v>
      </c>
      <c r="C514">
        <v>12.04</v>
      </c>
      <c r="D514">
        <v>12</v>
      </c>
      <c r="E514">
        <v>1.003333333333333</v>
      </c>
      <c r="F514">
        <v>0.03903654485049834</v>
      </c>
      <c r="G514">
        <v>-0.0006653365839255354</v>
      </c>
      <c r="H514">
        <v>0.05</v>
      </c>
      <c r="I514">
        <v>0.08149336126402784</v>
      </c>
      <c r="J514" t="s">
        <v>529</v>
      </c>
      <c r="K514" t="s">
        <v>352</v>
      </c>
      <c r="L514">
        <v>0.8</v>
      </c>
      <c r="M514">
        <v>0.47</v>
      </c>
      <c r="N514">
        <v>0.5874999999999999</v>
      </c>
      <c r="O514">
        <v>1</v>
      </c>
      <c r="P514">
        <v>0.0204250165236175</v>
      </c>
      <c r="Q514">
        <v>0.067402683244904</v>
      </c>
      <c r="R514" t="s">
        <v>784</v>
      </c>
      <c r="S514" t="s">
        <v>794</v>
      </c>
      <c r="T514">
        <v>18321.368331</v>
      </c>
      <c r="U514" s="2">
        <v>44522</v>
      </c>
      <c r="V514" t="s">
        <v>801</v>
      </c>
    </row>
    <row r="515" spans="1:22">
      <c r="A515" s="1" t="s">
        <v>535</v>
      </c>
      <c r="B515">
        <f>HYPERLINK("https://www.suredividend.com/sure-analysis-IP/","International Paper Co.")</f>
        <v>0</v>
      </c>
      <c r="C515">
        <v>47.01</v>
      </c>
      <c r="D515">
        <v>46</v>
      </c>
      <c r="E515">
        <v>1.02195652173913</v>
      </c>
      <c r="F515">
        <v>0.03935332907891938</v>
      </c>
      <c r="G515">
        <v>-0.00433436910018703</v>
      </c>
      <c r="H515">
        <v>0.05</v>
      </c>
      <c r="I515">
        <v>0.08061434576901494</v>
      </c>
      <c r="J515" t="s">
        <v>529</v>
      </c>
      <c r="K515" t="s">
        <v>352</v>
      </c>
      <c r="L515">
        <v>4.6</v>
      </c>
      <c r="M515">
        <v>1.85</v>
      </c>
      <c r="N515">
        <v>0.4021739130434783</v>
      </c>
      <c r="O515">
        <v>0</v>
      </c>
      <c r="P515">
        <v>0.04450667934242181</v>
      </c>
      <c r="Q515">
        <v>0.027550359976246</v>
      </c>
      <c r="R515" t="s">
        <v>784</v>
      </c>
      <c r="S515" t="s">
        <v>792</v>
      </c>
      <c r="T515">
        <v>17891.558408</v>
      </c>
      <c r="U515" s="2">
        <v>44498</v>
      </c>
      <c r="V515" t="s">
        <v>807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18.01</v>
      </c>
      <c r="D516">
        <v>20</v>
      </c>
      <c r="E516">
        <v>0.9005000000000001</v>
      </c>
      <c r="F516">
        <v>0.04664075513603553</v>
      </c>
      <c r="G516">
        <v>0.0211822481118753</v>
      </c>
      <c r="H516">
        <v>0.022</v>
      </c>
      <c r="I516">
        <v>0.08054068787340962</v>
      </c>
      <c r="J516" t="s">
        <v>529</v>
      </c>
      <c r="K516" t="s">
        <v>352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0.111180240154296</v>
      </c>
      <c r="R516" t="s">
        <v>786</v>
      </c>
      <c r="S516" t="s">
        <v>798</v>
      </c>
      <c r="T516">
        <v>2217.083641</v>
      </c>
      <c r="U516" s="2">
        <v>44498</v>
      </c>
      <c r="V516" t="s">
        <v>806</v>
      </c>
    </row>
    <row r="517" spans="1:22">
      <c r="A517" s="1" t="s">
        <v>537</v>
      </c>
      <c r="B517">
        <f>HYPERLINK("https://www.suredividend.com/sure-analysis-GEL/","Genesis Energy L.P.")</f>
        <v>0</v>
      </c>
      <c r="C517">
        <v>10.33</v>
      </c>
      <c r="D517">
        <v>10</v>
      </c>
      <c r="E517">
        <v>1.033</v>
      </c>
      <c r="F517">
        <v>0.05808325266214908</v>
      </c>
      <c r="G517">
        <v>-0.00647240121716175</v>
      </c>
      <c r="H517">
        <v>0.04</v>
      </c>
      <c r="I517">
        <v>0.07983444287919239</v>
      </c>
      <c r="J517" t="s">
        <v>529</v>
      </c>
      <c r="K517" t="s">
        <v>781</v>
      </c>
      <c r="L517">
        <v>2</v>
      </c>
      <c r="M517">
        <v>0.6</v>
      </c>
      <c r="N517">
        <v>0.3</v>
      </c>
      <c r="O517">
        <v>0</v>
      </c>
      <c r="P517">
        <v>0</v>
      </c>
      <c r="Q517">
        <v>0.546592663039241</v>
      </c>
      <c r="R517" t="s">
        <v>785</v>
      </c>
      <c r="S517" t="s">
        <v>797</v>
      </c>
      <c r="T517">
        <v>1215.589072</v>
      </c>
      <c r="U517" s="2">
        <v>44522</v>
      </c>
      <c r="V517" t="s">
        <v>807</v>
      </c>
    </row>
    <row r="518" spans="1:22">
      <c r="A518" s="1" t="s">
        <v>538</v>
      </c>
      <c r="B518">
        <f>HYPERLINK("https://www.suredividend.com/sure-analysis-REG/","Regency Centers Corporation")</f>
        <v>0</v>
      </c>
      <c r="C518">
        <v>71.65000000000001</v>
      </c>
      <c r="D518">
        <v>75</v>
      </c>
      <c r="E518">
        <v>0.9553333333333334</v>
      </c>
      <c r="F518">
        <v>0.03489183531053733</v>
      </c>
      <c r="G518">
        <v>0.009180879946206977</v>
      </c>
      <c r="H518">
        <v>0.04</v>
      </c>
      <c r="I518">
        <v>0.07969050617708606</v>
      </c>
      <c r="J518" t="s">
        <v>529</v>
      </c>
      <c r="K518" t="s">
        <v>529</v>
      </c>
      <c r="L518">
        <v>3.95</v>
      </c>
      <c r="M518">
        <v>2.5</v>
      </c>
      <c r="N518">
        <v>0.6329113924050632</v>
      </c>
      <c r="O518">
        <v>9</v>
      </c>
      <c r="P518">
        <v>0.03505466752592223</v>
      </c>
      <c r="Q518">
        <v>0.5556330508125801</v>
      </c>
      <c r="R518" t="s">
        <v>786</v>
      </c>
      <c r="S518" t="s">
        <v>798</v>
      </c>
      <c r="T518">
        <v>12296.517875</v>
      </c>
      <c r="U518" s="2">
        <v>44513</v>
      </c>
      <c r="V518" t="s">
        <v>799</v>
      </c>
    </row>
    <row r="519" spans="1:22">
      <c r="A519" s="1" t="s">
        <v>539</v>
      </c>
      <c r="B519">
        <f>HYPERLINK("https://www.suredividend.com/sure-analysis-RIO/","Rio Tinto plc")</f>
        <v>0</v>
      </c>
      <c r="C519">
        <v>65.8</v>
      </c>
      <c r="D519">
        <v>73</v>
      </c>
      <c r="E519">
        <v>0.9013698630136986</v>
      </c>
      <c r="F519">
        <v>0.08525835866261398</v>
      </c>
      <c r="G519">
        <v>0.02098507449898968</v>
      </c>
      <c r="H519">
        <v>0</v>
      </c>
      <c r="I519">
        <v>0.07936147187752418</v>
      </c>
      <c r="J519" t="s">
        <v>529</v>
      </c>
      <c r="K519" t="s">
        <v>781</v>
      </c>
      <c r="L519">
        <v>14</v>
      </c>
      <c r="M519">
        <v>5.61</v>
      </c>
      <c r="N519">
        <v>0.4007142857142857</v>
      </c>
      <c r="O519">
        <v>5</v>
      </c>
      <c r="P519">
        <v>-0.05987225238578009</v>
      </c>
      <c r="Q519">
        <v>-0.08289858037530801</v>
      </c>
      <c r="R519" t="s">
        <v>784</v>
      </c>
      <c r="S519" t="s">
        <v>794</v>
      </c>
      <c r="T519">
        <v>105222.952934</v>
      </c>
      <c r="U519" s="2">
        <v>44524</v>
      </c>
      <c r="V519" t="s">
        <v>807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18.27</v>
      </c>
      <c r="D520">
        <v>18</v>
      </c>
      <c r="E520">
        <v>1.015</v>
      </c>
      <c r="F520">
        <v>0.03940886699507389</v>
      </c>
      <c r="G520">
        <v>-0.002973293480330264</v>
      </c>
      <c r="H520">
        <v>0.05</v>
      </c>
      <c r="I520">
        <v>0.07877078044511787</v>
      </c>
      <c r="J520" t="s">
        <v>529</v>
      </c>
      <c r="K520" t="s">
        <v>352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0.029498941425546</v>
      </c>
      <c r="R520" t="s">
        <v>784</v>
      </c>
      <c r="S520" t="s">
        <v>788</v>
      </c>
      <c r="T520">
        <v>90928.07249799999</v>
      </c>
      <c r="U520" s="2">
        <v>44517</v>
      </c>
      <c r="V520" t="s">
        <v>807</v>
      </c>
    </row>
    <row r="521" spans="1:22">
      <c r="A521" s="1" t="s">
        <v>541</v>
      </c>
      <c r="B521">
        <f>HYPERLINK("https://www.suredividend.com/sure-analysis-AKR/","Acadia Realty Trust")</f>
        <v>0</v>
      </c>
      <c r="C521">
        <v>20.41</v>
      </c>
      <c r="D521">
        <v>20</v>
      </c>
      <c r="E521">
        <v>1.0205</v>
      </c>
      <c r="F521">
        <v>0.02939735423811857</v>
      </c>
      <c r="G521">
        <v>-0.004050315908017854</v>
      </c>
      <c r="H521">
        <v>0.05</v>
      </c>
      <c r="I521">
        <v>0.07692744865888668</v>
      </c>
      <c r="J521" t="s">
        <v>529</v>
      </c>
      <c r="K521" t="s">
        <v>529</v>
      </c>
      <c r="L521">
        <v>1.1</v>
      </c>
      <c r="M521">
        <v>0.6</v>
      </c>
      <c r="N521">
        <v>0.5454545454545454</v>
      </c>
      <c r="O521">
        <v>1</v>
      </c>
      <c r="P521">
        <v>0.1008397341583922</v>
      </c>
      <c r="Q521">
        <v>0.388748304552907</v>
      </c>
      <c r="R521" t="s">
        <v>786</v>
      </c>
      <c r="S521" t="s">
        <v>798</v>
      </c>
      <c r="T521">
        <v>1820.37445</v>
      </c>
      <c r="U521" s="2">
        <v>44531</v>
      </c>
      <c r="V521" t="s">
        <v>799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9.460000000000001</v>
      </c>
      <c r="D522">
        <v>10</v>
      </c>
      <c r="E522">
        <v>0.9460000000000001</v>
      </c>
      <c r="F522">
        <v>0.04545454545454545</v>
      </c>
      <c r="G522">
        <v>0.01116440393498008</v>
      </c>
      <c r="H522">
        <v>0.02</v>
      </c>
      <c r="I522">
        <v>0.07653349741600124</v>
      </c>
      <c r="J522" t="s">
        <v>529</v>
      </c>
      <c r="K522" t="s">
        <v>352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0.217056748957999</v>
      </c>
      <c r="R522" t="s">
        <v>786</v>
      </c>
      <c r="S522" t="s">
        <v>798</v>
      </c>
      <c r="T522">
        <v>466.082901</v>
      </c>
      <c r="U522" s="2">
        <v>44498</v>
      </c>
      <c r="V522" t="s">
        <v>809</v>
      </c>
    </row>
    <row r="523" spans="1:22">
      <c r="A523" s="1" t="s">
        <v>543</v>
      </c>
      <c r="B523">
        <f>HYPERLINK("https://www.suredividend.com/sure-analysis-DEI/","Douglas Emmett Inc")</f>
        <v>0</v>
      </c>
      <c r="C523">
        <v>32.79</v>
      </c>
      <c r="D523">
        <v>29</v>
      </c>
      <c r="E523">
        <v>1.130689655172414</v>
      </c>
      <c r="F523">
        <v>0.03415675510826472</v>
      </c>
      <c r="G523">
        <v>-0.02426627464500342</v>
      </c>
      <c r="H523">
        <v>0.07000000000000001</v>
      </c>
      <c r="I523">
        <v>0.07634567986391616</v>
      </c>
      <c r="J523" t="s">
        <v>529</v>
      </c>
      <c r="K523" t="s">
        <v>529</v>
      </c>
      <c r="L523">
        <v>1.86</v>
      </c>
      <c r="M523">
        <v>1.12</v>
      </c>
      <c r="N523">
        <v>0.6021505376344086</v>
      </c>
      <c r="O523">
        <v>10</v>
      </c>
      <c r="P523">
        <v>0.06016789231717423</v>
      </c>
      <c r="Q523">
        <v>0.08404460781259701</v>
      </c>
      <c r="R523" t="s">
        <v>786</v>
      </c>
      <c r="S523" t="s">
        <v>798</v>
      </c>
      <c r="T523">
        <v>5801.559887</v>
      </c>
      <c r="U523" s="2">
        <v>44524</v>
      </c>
      <c r="V523" t="s">
        <v>807</v>
      </c>
    </row>
    <row r="524" spans="1:22">
      <c r="A524" s="1" t="s">
        <v>544</v>
      </c>
      <c r="B524">
        <f>HYPERLINK("https://www.suredividend.com/sure-analysis-CAG/","Conagra Brands Inc")</f>
        <v>0</v>
      </c>
      <c r="C524">
        <v>34.4</v>
      </c>
      <c r="D524">
        <v>35</v>
      </c>
      <c r="E524">
        <v>0.9828571428571428</v>
      </c>
      <c r="F524">
        <v>0.03633720930232558</v>
      </c>
      <c r="G524">
        <v>0.00346428623887074</v>
      </c>
      <c r="H524">
        <v>0.04</v>
      </c>
      <c r="I524">
        <v>0.07602588003831001</v>
      </c>
      <c r="J524" t="s">
        <v>529</v>
      </c>
      <c r="K524" t="s">
        <v>352</v>
      </c>
      <c r="L524">
        <v>2.5</v>
      </c>
      <c r="M524">
        <v>1.25</v>
      </c>
      <c r="N524">
        <v>0.5</v>
      </c>
      <c r="O524">
        <v>2</v>
      </c>
      <c r="P524">
        <v>0.03988835529073098</v>
      </c>
      <c r="Q524">
        <v>-0.044759666985756</v>
      </c>
      <c r="R524" t="s">
        <v>784</v>
      </c>
      <c r="S524" t="s">
        <v>795</v>
      </c>
      <c r="T524">
        <v>15796.184488</v>
      </c>
      <c r="U524" s="2">
        <v>44476</v>
      </c>
      <c r="V524" t="s">
        <v>803</v>
      </c>
    </row>
    <row r="525" spans="1:22">
      <c r="A525" s="1" t="s">
        <v>545</v>
      </c>
      <c r="B525">
        <f>HYPERLINK("https://www.suredividend.com/sure-analysis-CNA/","CNA Financial Corp.")</f>
        <v>0</v>
      </c>
      <c r="C525">
        <v>44.41</v>
      </c>
      <c r="D525">
        <v>48</v>
      </c>
      <c r="E525">
        <v>0.9252083333333333</v>
      </c>
      <c r="F525">
        <v>0.03422652555730692</v>
      </c>
      <c r="G525">
        <v>0.01566875588023242</v>
      </c>
      <c r="H525">
        <v>0.03</v>
      </c>
      <c r="I525">
        <v>0.07565606758156163</v>
      </c>
      <c r="J525" t="s">
        <v>529</v>
      </c>
      <c r="K525" t="s">
        <v>352</v>
      </c>
      <c r="L525">
        <v>4</v>
      </c>
      <c r="M525">
        <v>1.52</v>
      </c>
      <c r="N525">
        <v>0.38</v>
      </c>
      <c r="O525">
        <v>5</v>
      </c>
      <c r="P525">
        <v>0.02975477857041309</v>
      </c>
      <c r="Q525">
        <v>0.20077423704485</v>
      </c>
      <c r="R525" t="s">
        <v>784</v>
      </c>
      <c r="S525" t="s">
        <v>793</v>
      </c>
      <c r="T525">
        <v>11985.966032</v>
      </c>
      <c r="U525" s="2">
        <v>44509</v>
      </c>
      <c r="V525" t="s">
        <v>803</v>
      </c>
    </row>
    <row r="526" spans="1:22">
      <c r="A526" s="1" t="s">
        <v>546</v>
      </c>
      <c r="B526">
        <f>HYPERLINK("https://www.suredividend.com/sure-analysis-BHP/","BHP Group Limited")</f>
        <v>0</v>
      </c>
      <c r="C526">
        <v>58.45</v>
      </c>
      <c r="D526">
        <v>87</v>
      </c>
      <c r="E526">
        <v>0.6718390804597701</v>
      </c>
      <c r="F526">
        <v>0.06159110350727117</v>
      </c>
      <c r="G526">
        <v>0.08279675960597421</v>
      </c>
      <c r="H526">
        <v>-0.05</v>
      </c>
      <c r="I526">
        <v>0.07548015270971264</v>
      </c>
      <c r="J526" t="s">
        <v>529</v>
      </c>
      <c r="K526" t="s">
        <v>352</v>
      </c>
      <c r="L526">
        <v>6.2</v>
      </c>
      <c r="M526">
        <v>3.6</v>
      </c>
      <c r="N526">
        <v>0.5806451612903226</v>
      </c>
      <c r="O526">
        <v>1</v>
      </c>
      <c r="P526">
        <v>-0.02328131613882611</v>
      </c>
      <c r="Q526">
        <v>0.009826131721124001</v>
      </c>
      <c r="R526" t="s">
        <v>784</v>
      </c>
      <c r="S526" t="s">
        <v>794</v>
      </c>
      <c r="T526">
        <v>85940.823107</v>
      </c>
      <c r="U526" s="2">
        <v>44524</v>
      </c>
      <c r="V526" t="s">
        <v>807</v>
      </c>
    </row>
    <row r="527" spans="1:22">
      <c r="A527" s="1" t="s">
        <v>547</v>
      </c>
      <c r="B527">
        <f>HYPERLINK("https://www.suredividend.com/sure-analysis-ABEV/","Ambev S.A.")</f>
        <v>0</v>
      </c>
      <c r="C527">
        <v>2.79</v>
      </c>
      <c r="D527">
        <v>3.08</v>
      </c>
      <c r="E527">
        <v>0.9058441558441558</v>
      </c>
      <c r="F527">
        <v>0.02867383512544803</v>
      </c>
      <c r="G527">
        <v>0.01997447271238517</v>
      </c>
      <c r="H527">
        <v>0.03</v>
      </c>
      <c r="I527">
        <v>0.0747146768867395</v>
      </c>
      <c r="J527" t="s">
        <v>529</v>
      </c>
      <c r="K527" t="s">
        <v>529</v>
      </c>
      <c r="L527">
        <v>0.14</v>
      </c>
      <c r="M527">
        <v>0.08</v>
      </c>
      <c r="N527">
        <v>0.5714285714285714</v>
      </c>
      <c r="O527">
        <v>0</v>
      </c>
      <c r="P527">
        <v>0.02383625553960966</v>
      </c>
      <c r="Q527">
        <v>-0.06852960745176301</v>
      </c>
      <c r="R527" t="s">
        <v>784</v>
      </c>
      <c r="S527" t="s">
        <v>795</v>
      </c>
      <c r="T527">
        <v>44076.074546</v>
      </c>
      <c r="U527" s="2">
        <v>44530</v>
      </c>
      <c r="V527" t="s">
        <v>805</v>
      </c>
    </row>
    <row r="528" spans="1:22">
      <c r="A528" s="1" t="s">
        <v>548</v>
      </c>
      <c r="B528">
        <f>HYPERLINK("https://www.suredividend.com/sure-analysis-OFC/","Corporate Office Properties Trust")</f>
        <v>0</v>
      </c>
      <c r="C528">
        <v>27.35</v>
      </c>
      <c r="D528">
        <v>29</v>
      </c>
      <c r="E528">
        <v>0.9431034482758621</v>
      </c>
      <c r="F528">
        <v>0.04021937842778794</v>
      </c>
      <c r="G528">
        <v>0.01178475972348436</v>
      </c>
      <c r="H528">
        <v>0.03</v>
      </c>
      <c r="I528">
        <v>0.07420202719562874</v>
      </c>
      <c r="J528" t="s">
        <v>529</v>
      </c>
      <c r="K528" t="s">
        <v>352</v>
      </c>
      <c r="L528">
        <v>2.28</v>
      </c>
      <c r="M528">
        <v>1.1</v>
      </c>
      <c r="N528">
        <v>0.4824561403508772</v>
      </c>
      <c r="O528">
        <v>0</v>
      </c>
      <c r="P528">
        <v>0</v>
      </c>
      <c r="Q528">
        <v>0.05862155436816401</v>
      </c>
      <c r="R528" t="s">
        <v>786</v>
      </c>
      <c r="S528" t="s">
        <v>798</v>
      </c>
      <c r="T528">
        <v>3082.193911</v>
      </c>
      <c r="U528" s="2">
        <v>44535</v>
      </c>
      <c r="V528" t="s">
        <v>801</v>
      </c>
    </row>
    <row r="529" spans="1:22">
      <c r="A529" s="1" t="s">
        <v>549</v>
      </c>
      <c r="B529">
        <f>HYPERLINK("https://www.suredividend.com/sure-analysis-NXRT/","NexPoint Residential Trust Inc")</f>
        <v>0</v>
      </c>
      <c r="C529">
        <v>77.18000000000001</v>
      </c>
      <c r="D529">
        <v>65.04000000000001</v>
      </c>
      <c r="E529">
        <v>1.186654366543666</v>
      </c>
      <c r="F529">
        <v>0.01969422130085514</v>
      </c>
      <c r="G529">
        <v>-0.03364844091219066</v>
      </c>
      <c r="H529">
        <v>0.09</v>
      </c>
      <c r="I529">
        <v>0.07399560501046731</v>
      </c>
      <c r="J529" t="s">
        <v>529</v>
      </c>
      <c r="K529" t="s">
        <v>782</v>
      </c>
      <c r="L529">
        <v>2.71</v>
      </c>
      <c r="M529">
        <v>1.52</v>
      </c>
      <c r="N529">
        <v>0.5608856088560886</v>
      </c>
      <c r="O529">
        <v>6</v>
      </c>
      <c r="P529">
        <v>0.1001819089885529</v>
      </c>
      <c r="Q529">
        <v>0.8119921442333641</v>
      </c>
      <c r="R529" t="s">
        <v>786</v>
      </c>
      <c r="S529" t="s">
        <v>798</v>
      </c>
      <c r="T529">
        <v>1966.345285</v>
      </c>
      <c r="U529" s="2">
        <v>44541</v>
      </c>
      <c r="V529" t="s">
        <v>799</v>
      </c>
    </row>
    <row r="530" spans="1:22">
      <c r="A530" s="1" t="s">
        <v>550</v>
      </c>
      <c r="B530">
        <f>HYPERLINK("https://www.suredividend.com/sure-analysis-ING/","ING Groep N.V.")</f>
        <v>0</v>
      </c>
      <c r="C530">
        <v>13.73</v>
      </c>
      <c r="D530">
        <v>14.7</v>
      </c>
      <c r="E530">
        <v>0.9340136054421769</v>
      </c>
      <c r="F530">
        <v>0.05098324836125272</v>
      </c>
      <c r="G530">
        <v>0.01374648062444583</v>
      </c>
      <c r="H530">
        <v>0.01</v>
      </c>
      <c r="I530">
        <v>0.07270426967480037</v>
      </c>
      <c r="J530" t="s">
        <v>529</v>
      </c>
      <c r="K530" t="s">
        <v>352</v>
      </c>
      <c r="L530">
        <v>1.47</v>
      </c>
      <c r="M530">
        <v>0.7</v>
      </c>
      <c r="N530">
        <v>0.4761904761904762</v>
      </c>
      <c r="O530">
        <v>0</v>
      </c>
      <c r="P530">
        <v>0.04920026914708719</v>
      </c>
      <c r="Q530">
        <v>0.483753226137382</v>
      </c>
      <c r="R530" t="s">
        <v>784</v>
      </c>
      <c r="S530" t="s">
        <v>793</v>
      </c>
      <c r="T530">
        <v>53641.352263</v>
      </c>
      <c r="U530" s="2">
        <v>44515</v>
      </c>
      <c r="V530" t="s">
        <v>799</v>
      </c>
    </row>
    <row r="531" spans="1:22">
      <c r="A531" s="1" t="s">
        <v>551</v>
      </c>
      <c r="B531">
        <f>HYPERLINK("https://www.suredividend.com/sure-analysis-CUZ/","Cousins Properties Inc.")</f>
        <v>0</v>
      </c>
      <c r="C531">
        <v>39.09</v>
      </c>
      <c r="D531">
        <v>40</v>
      </c>
      <c r="E531">
        <v>0.9772500000000001</v>
      </c>
      <c r="F531">
        <v>0.03172166794576618</v>
      </c>
      <c r="G531">
        <v>0.004613162885869437</v>
      </c>
      <c r="H531">
        <v>0.04</v>
      </c>
      <c r="I531">
        <v>0.07244169233419262</v>
      </c>
      <c r="J531" t="s">
        <v>529</v>
      </c>
      <c r="K531" t="s">
        <v>529</v>
      </c>
      <c r="L531">
        <v>2.75</v>
      </c>
      <c r="M531">
        <v>1.24</v>
      </c>
      <c r="N531">
        <v>0.4509090909090909</v>
      </c>
      <c r="O531">
        <v>3</v>
      </c>
      <c r="P531">
        <v>0.03035803310185115</v>
      </c>
      <c r="Q531">
        <v>0.121580862037207</v>
      </c>
      <c r="R531" t="s">
        <v>786</v>
      </c>
      <c r="S531" t="s">
        <v>798</v>
      </c>
      <c r="T531">
        <v>5794.372763</v>
      </c>
      <c r="U531" s="2">
        <v>44533</v>
      </c>
      <c r="V531" t="s">
        <v>807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15.12</v>
      </c>
      <c r="D532">
        <v>23.5</v>
      </c>
      <c r="E532">
        <v>0.6434042553191489</v>
      </c>
      <c r="F532">
        <v>0.09523809523809523</v>
      </c>
      <c r="G532">
        <v>0.09220262056647388</v>
      </c>
      <c r="H532">
        <v>-0.099</v>
      </c>
      <c r="I532">
        <v>0.07127065417417211</v>
      </c>
      <c r="J532" t="s">
        <v>529</v>
      </c>
      <c r="K532" t="s">
        <v>781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0.07266851926490001</v>
      </c>
      <c r="R532" t="s">
        <v>786</v>
      </c>
      <c r="S532" t="s">
        <v>798</v>
      </c>
      <c r="T532">
        <v>7962.860155</v>
      </c>
      <c r="U532" s="2">
        <v>44503</v>
      </c>
      <c r="V532" t="s">
        <v>808</v>
      </c>
    </row>
    <row r="533" spans="1:22">
      <c r="A533" s="1" t="s">
        <v>553</v>
      </c>
      <c r="B533">
        <f>HYPERLINK("https://www.suredividend.com/sure-analysis-PCAR/","Paccar Inc.")</f>
        <v>0</v>
      </c>
      <c r="C533">
        <v>85.91</v>
      </c>
      <c r="D533">
        <v>83</v>
      </c>
      <c r="E533">
        <v>1.035060240963855</v>
      </c>
      <c r="F533">
        <v>0.0274706087766267</v>
      </c>
      <c r="G533">
        <v>-0.006868230915901385</v>
      </c>
      <c r="H533">
        <v>0.05</v>
      </c>
      <c r="I533">
        <v>0.07089725276023762</v>
      </c>
      <c r="J533" t="s">
        <v>529</v>
      </c>
      <c r="K533" t="s">
        <v>529</v>
      </c>
      <c r="L533">
        <v>5.5</v>
      </c>
      <c r="M533">
        <v>2.36</v>
      </c>
      <c r="N533">
        <v>0.4290909090909091</v>
      </c>
      <c r="O533">
        <v>11</v>
      </c>
      <c r="P533">
        <v>0.08262742077275398</v>
      </c>
      <c r="Q533">
        <v>0.032598585200414</v>
      </c>
      <c r="R533" t="s">
        <v>784</v>
      </c>
      <c r="S533" t="s">
        <v>791</v>
      </c>
      <c r="T533">
        <v>30062.084399</v>
      </c>
      <c r="U533" s="2">
        <v>44497</v>
      </c>
      <c r="V533" t="s">
        <v>803</v>
      </c>
    </row>
    <row r="534" spans="1:22">
      <c r="A534" s="1" t="s">
        <v>554</v>
      </c>
      <c r="B534">
        <f>HYPERLINK("https://www.suredividend.com/sure-analysis-ADC/","Agree Realty Corp.")</f>
        <v>0</v>
      </c>
      <c r="C534">
        <v>67.27</v>
      </c>
      <c r="D534">
        <v>63</v>
      </c>
      <c r="E534">
        <v>1.067777777777778</v>
      </c>
      <c r="F534">
        <v>0.03537981269510926</v>
      </c>
      <c r="G534">
        <v>-0.01303029015119539</v>
      </c>
      <c r="H534">
        <v>0.05</v>
      </c>
      <c r="I534">
        <v>0.06964449468691303</v>
      </c>
      <c r="J534" t="s">
        <v>529</v>
      </c>
      <c r="K534" t="s">
        <v>529</v>
      </c>
      <c r="L534">
        <v>3.5</v>
      </c>
      <c r="M534">
        <v>2.38</v>
      </c>
      <c r="N534">
        <v>0.6799999999999999</v>
      </c>
      <c r="O534">
        <v>11</v>
      </c>
      <c r="P534">
        <v>0.04947750535151019</v>
      </c>
      <c r="Q534">
        <v>0.045514568301404</v>
      </c>
      <c r="R534" t="s">
        <v>786</v>
      </c>
      <c r="S534" t="s">
        <v>798</v>
      </c>
      <c r="T534">
        <v>4690.594661</v>
      </c>
      <c r="U534" s="2">
        <v>44507</v>
      </c>
      <c r="V534" t="s">
        <v>801</v>
      </c>
    </row>
    <row r="535" spans="1:22">
      <c r="A535" s="1" t="s">
        <v>555</v>
      </c>
      <c r="B535">
        <f>HYPERLINK("https://www.suredividend.com/sure-analysis-KRG/","Kite Realty Group Trust")</f>
        <v>0</v>
      </c>
      <c r="C535">
        <v>20.6</v>
      </c>
      <c r="D535">
        <v>19</v>
      </c>
      <c r="E535">
        <v>1.08421052631579</v>
      </c>
      <c r="F535">
        <v>0.03689320388349514</v>
      </c>
      <c r="G535">
        <v>-0.01604037996905039</v>
      </c>
      <c r="H535">
        <v>0.055</v>
      </c>
      <c r="I535">
        <v>0.06895251666512658</v>
      </c>
      <c r="J535" t="s">
        <v>529</v>
      </c>
      <c r="K535" t="s">
        <v>529</v>
      </c>
      <c r="L535">
        <v>1.37</v>
      </c>
      <c r="M535">
        <v>0.76</v>
      </c>
      <c r="N535">
        <v>0.5547445255474452</v>
      </c>
      <c r="O535">
        <v>2</v>
      </c>
      <c r="P535">
        <v>0.01031145931793609</v>
      </c>
      <c r="Q535">
        <v>0.346414161990248</v>
      </c>
      <c r="R535" t="s">
        <v>786</v>
      </c>
      <c r="S535" t="s">
        <v>798</v>
      </c>
      <c r="T535">
        <v>4487.677509</v>
      </c>
      <c r="U535" s="2">
        <v>44512</v>
      </c>
      <c r="V535" t="s">
        <v>806</v>
      </c>
    </row>
    <row r="536" spans="1:22">
      <c r="A536" s="1" t="s">
        <v>556</v>
      </c>
      <c r="B536">
        <f>HYPERLINK("https://www.suredividend.com/sure-analysis-NWL/","Newell Brands Inc")</f>
        <v>0</v>
      </c>
      <c r="C536">
        <v>22.42</v>
      </c>
      <c r="D536">
        <v>23</v>
      </c>
      <c r="E536">
        <v>0.9747826086956523</v>
      </c>
      <c r="F536">
        <v>0.04103479036574487</v>
      </c>
      <c r="G536">
        <v>0.005121228547752432</v>
      </c>
      <c r="H536">
        <v>0.03</v>
      </c>
      <c r="I536">
        <v>0.06875916570055129</v>
      </c>
      <c r="J536" t="s">
        <v>529</v>
      </c>
      <c r="K536" t="s">
        <v>352</v>
      </c>
      <c r="L536">
        <v>1.75</v>
      </c>
      <c r="M536">
        <v>0.92</v>
      </c>
      <c r="N536">
        <v>0.5257142857142857</v>
      </c>
      <c r="O536">
        <v>0</v>
      </c>
      <c r="P536">
        <v>0</v>
      </c>
      <c r="Q536">
        <v>0.168950435048796</v>
      </c>
      <c r="R536" t="s">
        <v>784</v>
      </c>
      <c r="S536" t="s">
        <v>795</v>
      </c>
      <c r="T536">
        <v>9584.262000000001</v>
      </c>
      <c r="U536" s="2">
        <v>44519</v>
      </c>
      <c r="V536" t="s">
        <v>804</v>
      </c>
    </row>
    <row r="537" spans="1:22">
      <c r="A537" s="1" t="s">
        <v>557</v>
      </c>
      <c r="B537">
        <f>HYPERLINK("https://www.suredividend.com/sure-analysis-FRFHF/","Fairfax Financial Holdings Ltd.")</f>
        <v>0</v>
      </c>
      <c r="C537">
        <v>464.23</v>
      </c>
      <c r="D537">
        <v>565</v>
      </c>
      <c r="E537">
        <v>0.821646017699115</v>
      </c>
      <c r="F537">
        <v>0.02154104646403722</v>
      </c>
      <c r="G537">
        <v>0.04007114806649081</v>
      </c>
      <c r="H537">
        <v>0.01</v>
      </c>
      <c r="I537">
        <v>0.06759453938650806</v>
      </c>
      <c r="J537" t="s">
        <v>529</v>
      </c>
      <c r="K537" t="s">
        <v>529</v>
      </c>
      <c r="L537">
        <v>32</v>
      </c>
      <c r="M537">
        <v>10</v>
      </c>
      <c r="N537">
        <v>0.3125</v>
      </c>
      <c r="O537">
        <v>0</v>
      </c>
      <c r="P537">
        <v>0</v>
      </c>
      <c r="Q537">
        <v>0.323706658126874</v>
      </c>
      <c r="R537" t="s">
        <v>784</v>
      </c>
      <c r="S537" t="s">
        <v>793</v>
      </c>
      <c r="T537">
        <v>12270.071776</v>
      </c>
      <c r="U537" s="2">
        <v>44515</v>
      </c>
      <c r="V537" t="s">
        <v>807</v>
      </c>
    </row>
    <row r="538" spans="1:22">
      <c r="A538" s="1" t="s">
        <v>558</v>
      </c>
      <c r="B538">
        <f>HYPERLINK("https://www.suredividend.com/sure-analysis-NSP/","Insperity Inc")</f>
        <v>0</v>
      </c>
      <c r="C538">
        <v>109.42</v>
      </c>
      <c r="D538">
        <v>96</v>
      </c>
      <c r="E538">
        <v>1.139791666666667</v>
      </c>
      <c r="F538">
        <v>0.01645037470297935</v>
      </c>
      <c r="G538">
        <v>-0.02582965597342479</v>
      </c>
      <c r="H538">
        <v>0.08</v>
      </c>
      <c r="I538">
        <v>0.06725186784432924</v>
      </c>
      <c r="J538" t="s">
        <v>529</v>
      </c>
      <c r="K538" t="s">
        <v>782</v>
      </c>
      <c r="L538">
        <v>4.36</v>
      </c>
      <c r="M538">
        <v>1.8</v>
      </c>
      <c r="N538">
        <v>0.4128440366972477</v>
      </c>
      <c r="O538">
        <v>14</v>
      </c>
      <c r="P538">
        <v>0.05024607263868264</v>
      </c>
      <c r="Q538">
        <v>0.308585098935671</v>
      </c>
      <c r="R538" t="s">
        <v>784</v>
      </c>
      <c r="S538" t="s">
        <v>793</v>
      </c>
      <c r="T538">
        <v>4311.0405</v>
      </c>
      <c r="U538" s="2">
        <v>44502</v>
      </c>
      <c r="V538" t="s">
        <v>806</v>
      </c>
    </row>
    <row r="539" spans="1:22">
      <c r="A539" s="1" t="s">
        <v>559</v>
      </c>
      <c r="B539">
        <f>HYPERLINK("https://www.suredividend.com/sure-analysis-FE/","Firstenergy Corp.")</f>
        <v>0</v>
      </c>
      <c r="C539">
        <v>40.31</v>
      </c>
      <c r="D539">
        <v>39</v>
      </c>
      <c r="E539">
        <v>1.033589743589744</v>
      </c>
      <c r="F539">
        <v>0.03870007442322004</v>
      </c>
      <c r="G539">
        <v>-0.006585804104287885</v>
      </c>
      <c r="H539">
        <v>0.04</v>
      </c>
      <c r="I539">
        <v>0.06599959599355776</v>
      </c>
      <c r="J539" t="s">
        <v>529</v>
      </c>
      <c r="K539" t="s">
        <v>529</v>
      </c>
      <c r="L539">
        <v>2.6</v>
      </c>
      <c r="M539">
        <v>1.56</v>
      </c>
      <c r="N539">
        <v>0.6</v>
      </c>
      <c r="O539">
        <v>0</v>
      </c>
      <c r="P539">
        <v>0.01005227214699711</v>
      </c>
      <c r="Q539">
        <v>0.327532166230692</v>
      </c>
      <c r="R539" t="s">
        <v>784</v>
      </c>
      <c r="S539" t="s">
        <v>796</v>
      </c>
      <c r="T539">
        <v>21744.119583</v>
      </c>
      <c r="U539" s="2">
        <v>44498</v>
      </c>
      <c r="V539" t="s">
        <v>799</v>
      </c>
    </row>
    <row r="540" spans="1:22">
      <c r="A540" s="1" t="s">
        <v>560</v>
      </c>
      <c r="B540">
        <f>HYPERLINK("https://www.suredividend.com/sure-analysis-EMRAF/","Emera, Inc.")</f>
        <v>0</v>
      </c>
      <c r="C540">
        <v>48.54</v>
      </c>
      <c r="D540">
        <v>42</v>
      </c>
      <c r="E540">
        <v>1.155714285714286</v>
      </c>
      <c r="F540">
        <v>0.0434693036670787</v>
      </c>
      <c r="G540">
        <v>-0.02852885918193049</v>
      </c>
      <c r="H540">
        <v>0.055</v>
      </c>
      <c r="I540">
        <v>0.06590182513792286</v>
      </c>
      <c r="J540" t="s">
        <v>529</v>
      </c>
      <c r="K540" t="s">
        <v>781</v>
      </c>
      <c r="L540">
        <v>2.26</v>
      </c>
      <c r="M540">
        <v>2.11</v>
      </c>
      <c r="N540">
        <v>0.9336283185840708</v>
      </c>
      <c r="O540">
        <v>14</v>
      </c>
      <c r="P540">
        <v>0.04023181804828235</v>
      </c>
      <c r="Q540">
        <v>0.121181433031069</v>
      </c>
      <c r="R540" t="s">
        <v>784</v>
      </c>
      <c r="S540" t="s">
        <v>796</v>
      </c>
      <c r="T540">
        <v>12488.743794</v>
      </c>
      <c r="U540" s="2">
        <v>44516</v>
      </c>
      <c r="V540" t="s">
        <v>806</v>
      </c>
    </row>
    <row r="541" spans="1:22">
      <c r="A541" s="1" t="s">
        <v>561</v>
      </c>
      <c r="B541">
        <f>HYPERLINK("https://www.suredividend.com/sure-analysis-NGG/","National Grid Plc")</f>
        <v>0</v>
      </c>
      <c r="C541">
        <v>69.56999999999999</v>
      </c>
      <c r="D541">
        <v>62</v>
      </c>
      <c r="E541">
        <v>1.122096774193548</v>
      </c>
      <c r="F541">
        <v>0.0516027023142159</v>
      </c>
      <c r="G541">
        <v>-0.02277642122762602</v>
      </c>
      <c r="H541">
        <v>0.04</v>
      </c>
      <c r="I541">
        <v>0.06576816777786321</v>
      </c>
      <c r="J541" t="s">
        <v>529</v>
      </c>
      <c r="K541" t="s">
        <v>781</v>
      </c>
      <c r="L541">
        <v>4.16</v>
      </c>
      <c r="M541">
        <v>3.59</v>
      </c>
      <c r="N541">
        <v>0.8629807692307692</v>
      </c>
      <c r="O541">
        <v>0</v>
      </c>
      <c r="P541">
        <v>0.0401055114467892</v>
      </c>
      <c r="Q541">
        <v>0.264000460683539</v>
      </c>
      <c r="R541" t="s">
        <v>784</v>
      </c>
      <c r="S541" t="s">
        <v>796</v>
      </c>
      <c r="T541">
        <v>50812.780017</v>
      </c>
      <c r="U541" s="2">
        <v>44528</v>
      </c>
      <c r="V541" t="s">
        <v>805</v>
      </c>
    </row>
    <row r="542" spans="1:22">
      <c r="A542" s="1" t="s">
        <v>562</v>
      </c>
      <c r="B542">
        <f>HYPERLINK("https://www.suredividend.com/sure-analysis-INVH/","Invitation Homes Inc")</f>
        <v>0</v>
      </c>
      <c r="C542">
        <v>42.53</v>
      </c>
      <c r="D542">
        <v>35</v>
      </c>
      <c r="E542">
        <v>1.215142857142857</v>
      </c>
      <c r="F542">
        <v>0.01598871384904773</v>
      </c>
      <c r="G542">
        <v>-0.03822267841556193</v>
      </c>
      <c r="H542">
        <v>0.09</v>
      </c>
      <c r="I542">
        <v>0.06480643376012107</v>
      </c>
      <c r="J542" t="s">
        <v>529</v>
      </c>
      <c r="K542" t="s">
        <v>782</v>
      </c>
      <c r="L542">
        <v>1.28</v>
      </c>
      <c r="M542">
        <v>0.68</v>
      </c>
      <c r="N542">
        <v>0.53125</v>
      </c>
      <c r="O542">
        <v>4</v>
      </c>
      <c r="P542">
        <v>0.08447177119769855</v>
      </c>
      <c r="Q542">
        <v>0.4892596787980291</v>
      </c>
      <c r="R542" t="s">
        <v>786</v>
      </c>
      <c r="S542" t="s">
        <v>798</v>
      </c>
      <c r="T542">
        <v>25577.505368</v>
      </c>
      <c r="U542" s="2">
        <v>44500</v>
      </c>
      <c r="V542" t="s">
        <v>799</v>
      </c>
    </row>
    <row r="543" spans="1:22">
      <c r="A543" s="1" t="s">
        <v>563</v>
      </c>
      <c r="B543">
        <f>HYPERLINK("https://www.suredividend.com/sure-analysis-GRMN/","Garmin Ltd")</f>
        <v>0</v>
      </c>
      <c r="C543">
        <v>134.29</v>
      </c>
      <c r="D543">
        <v>114</v>
      </c>
      <c r="E543">
        <v>1.177982456140351</v>
      </c>
      <c r="F543">
        <v>0.0199568098890461</v>
      </c>
      <c r="G543">
        <v>-0.03222982115244377</v>
      </c>
      <c r="H543">
        <v>0.08</v>
      </c>
      <c r="I543">
        <v>0.06391230100023315</v>
      </c>
      <c r="J543" t="s">
        <v>529</v>
      </c>
      <c r="K543" t="s">
        <v>782</v>
      </c>
      <c r="L543">
        <v>5.7</v>
      </c>
      <c r="M543">
        <v>2.68</v>
      </c>
      <c r="N543">
        <v>0.4701754385964912</v>
      </c>
      <c r="O543">
        <v>4</v>
      </c>
      <c r="P543">
        <v>0.04997331683701267</v>
      </c>
      <c r="Q543">
        <v>0.151519686284646</v>
      </c>
      <c r="R543" t="s">
        <v>784</v>
      </c>
      <c r="S543" t="s">
        <v>790</v>
      </c>
      <c r="T543">
        <v>26046.175096</v>
      </c>
      <c r="U543" s="2">
        <v>44514</v>
      </c>
      <c r="V543" t="s">
        <v>804</v>
      </c>
    </row>
    <row r="544" spans="1:22">
      <c r="A544" s="1" t="s">
        <v>564</v>
      </c>
      <c r="B544">
        <f>HYPERLINK("https://www.suredividend.com/sure-analysis-LMRK/","Landmark Infrastructure Partners LP")</f>
        <v>0</v>
      </c>
      <c r="C544">
        <v>16.44</v>
      </c>
      <c r="D544">
        <v>16.4</v>
      </c>
      <c r="E544">
        <v>1.002439024390244</v>
      </c>
      <c r="F544">
        <v>0.048661800486618</v>
      </c>
      <c r="G544">
        <v>-0.0004870922915896081</v>
      </c>
      <c r="H544">
        <v>0.018</v>
      </c>
      <c r="I544">
        <v>0.06215896477825034</v>
      </c>
      <c r="J544" t="s">
        <v>529</v>
      </c>
      <c r="K544" t="s">
        <v>352</v>
      </c>
      <c r="L544">
        <v>1.49</v>
      </c>
      <c r="M544">
        <v>0.8</v>
      </c>
      <c r="N544">
        <v>0.5369127516778524</v>
      </c>
      <c r="O544">
        <v>0</v>
      </c>
      <c r="P544">
        <v>0.02383625553960966</v>
      </c>
      <c r="Q544">
        <v>0.5627225170655751</v>
      </c>
      <c r="R544" t="s">
        <v>785</v>
      </c>
      <c r="S544" t="s">
        <v>798</v>
      </c>
      <c r="T544">
        <v>419.548808</v>
      </c>
      <c r="U544" s="2">
        <v>44509</v>
      </c>
      <c r="V544" t="s">
        <v>808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17.75</v>
      </c>
      <c r="D545">
        <v>18</v>
      </c>
      <c r="E545">
        <v>0.9861111111111112</v>
      </c>
      <c r="F545">
        <v>0.03380281690140845</v>
      </c>
      <c r="G545">
        <v>0.002801164344682805</v>
      </c>
      <c r="H545">
        <v>0.03</v>
      </c>
      <c r="I545">
        <v>0.06180422897602034</v>
      </c>
      <c r="J545" t="s">
        <v>529</v>
      </c>
      <c r="K545" t="s">
        <v>529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0.334102815856336</v>
      </c>
      <c r="R545" t="s">
        <v>786</v>
      </c>
      <c r="S545" t="s">
        <v>798</v>
      </c>
      <c r="T545">
        <v>2085.052626</v>
      </c>
      <c r="U545" s="2">
        <v>44512</v>
      </c>
      <c r="V545" t="s">
        <v>806</v>
      </c>
    </row>
    <row r="546" spans="1:22">
      <c r="A546" s="1" t="s">
        <v>566</v>
      </c>
      <c r="B546">
        <f>HYPERLINK("https://www.suredividend.com/sure-analysis-CNP/","Centerpoint Energy Inc.")</f>
        <v>0</v>
      </c>
      <c r="C546">
        <v>27.98</v>
      </c>
      <c r="D546">
        <v>21.9</v>
      </c>
      <c r="E546">
        <v>1.277625570776256</v>
      </c>
      <c r="F546">
        <v>0.02430307362401716</v>
      </c>
      <c r="G546">
        <v>-0.04781950491379672</v>
      </c>
      <c r="H546">
        <v>0.083</v>
      </c>
      <c r="I546">
        <v>0.06160643800179577</v>
      </c>
      <c r="J546" t="s">
        <v>529</v>
      </c>
      <c r="K546" t="s">
        <v>529</v>
      </c>
      <c r="L546">
        <v>1.37</v>
      </c>
      <c r="M546">
        <v>0.68</v>
      </c>
      <c r="N546">
        <v>0.4963503649635037</v>
      </c>
      <c r="O546">
        <v>1</v>
      </c>
      <c r="P546">
        <v>0.1383790323022041</v>
      </c>
      <c r="Q546">
        <v>0.296698934112552</v>
      </c>
      <c r="R546" t="s">
        <v>784</v>
      </c>
      <c r="S546" t="s">
        <v>796</v>
      </c>
      <c r="T546">
        <v>17664.838468</v>
      </c>
      <c r="U546" s="2">
        <v>44509</v>
      </c>
      <c r="V546" t="s">
        <v>808</v>
      </c>
    </row>
    <row r="547" spans="1:22">
      <c r="A547" s="1" t="s">
        <v>567</v>
      </c>
      <c r="B547">
        <f>HYPERLINK("https://www.suredividend.com/sure-analysis-MPW/","Medical Properties Trust Inc")</f>
        <v>0</v>
      </c>
      <c r="C547">
        <v>22.11</v>
      </c>
      <c r="D547">
        <v>21.9</v>
      </c>
      <c r="E547">
        <v>1.009589041095891</v>
      </c>
      <c r="F547">
        <v>0.05065581184984171</v>
      </c>
      <c r="G547">
        <v>-0.001906851254061426</v>
      </c>
      <c r="H547">
        <v>0.014</v>
      </c>
      <c r="I547">
        <v>0.0615590138008435</v>
      </c>
      <c r="J547" t="s">
        <v>529</v>
      </c>
      <c r="K547" t="s">
        <v>352</v>
      </c>
      <c r="L547">
        <v>1.75</v>
      </c>
      <c r="M547">
        <v>1.12</v>
      </c>
      <c r="N547">
        <v>0.64</v>
      </c>
      <c r="O547">
        <v>9</v>
      </c>
      <c r="P547">
        <v>0.04111932758460823</v>
      </c>
      <c r="Q547">
        <v>0.087112142381081</v>
      </c>
      <c r="R547" t="s">
        <v>786</v>
      </c>
      <c r="S547" t="s">
        <v>798</v>
      </c>
      <c r="T547">
        <v>13130.526</v>
      </c>
      <c r="U547" s="2">
        <v>44503</v>
      </c>
      <c r="V547" t="s">
        <v>808</v>
      </c>
    </row>
    <row r="548" spans="1:22">
      <c r="A548" s="1" t="s">
        <v>568</v>
      </c>
      <c r="B548">
        <f>HYPERLINK("https://www.suredividend.com/sure-analysis-TJX/","TJX Companies, Inc.")</f>
        <v>0</v>
      </c>
      <c r="C548">
        <v>73.47</v>
      </c>
      <c r="D548">
        <v>55</v>
      </c>
      <c r="E548">
        <v>1.335818181818182</v>
      </c>
      <c r="F548">
        <v>0.01415543759357561</v>
      </c>
      <c r="G548">
        <v>-0.05626398293151791</v>
      </c>
      <c r="H548">
        <v>0.09</v>
      </c>
      <c r="I548">
        <v>0.06031183986296362</v>
      </c>
      <c r="J548" t="s">
        <v>529</v>
      </c>
      <c r="K548" t="s">
        <v>782</v>
      </c>
      <c r="L548">
        <v>2.88</v>
      </c>
      <c r="M548">
        <v>1.04</v>
      </c>
      <c r="N548">
        <v>0.3611111111111112</v>
      </c>
      <c r="O548">
        <v>0</v>
      </c>
      <c r="P548">
        <v>0.3463094632638744</v>
      </c>
      <c r="Q548">
        <v>0.11097932234215</v>
      </c>
      <c r="R548" t="s">
        <v>784</v>
      </c>
      <c r="S548" t="s">
        <v>792</v>
      </c>
      <c r="T548">
        <v>87151.695466</v>
      </c>
      <c r="U548" s="2">
        <v>44526</v>
      </c>
      <c r="V548" t="s">
        <v>809</v>
      </c>
    </row>
    <row r="549" spans="1:22">
      <c r="A549" s="1" t="s">
        <v>569</v>
      </c>
      <c r="B549">
        <f>HYPERLINK("https://www.suredividend.com/sure-analysis-NTAP/","Netapp Inc")</f>
        <v>0</v>
      </c>
      <c r="C549">
        <v>88.15000000000001</v>
      </c>
      <c r="D549">
        <v>79</v>
      </c>
      <c r="E549">
        <v>1.115822784810127</v>
      </c>
      <c r="F549">
        <v>0.02268859897901305</v>
      </c>
      <c r="G549">
        <v>-0.02167994831960773</v>
      </c>
      <c r="H549">
        <v>0.06</v>
      </c>
      <c r="I549">
        <v>0.05948866315825052</v>
      </c>
      <c r="J549" t="s">
        <v>529</v>
      </c>
      <c r="K549" t="s">
        <v>529</v>
      </c>
      <c r="L549">
        <v>4.95</v>
      </c>
      <c r="M549">
        <v>2</v>
      </c>
      <c r="N549">
        <v>0.404040404040404</v>
      </c>
      <c r="O549">
        <v>7</v>
      </c>
      <c r="P549">
        <v>0.0602809527753625</v>
      </c>
      <c r="Q549">
        <v>0.4436566994134231</v>
      </c>
      <c r="R549" t="s">
        <v>784</v>
      </c>
      <c r="S549" t="s">
        <v>790</v>
      </c>
      <c r="T549">
        <v>19716.035627</v>
      </c>
      <c r="U549" s="2">
        <v>44435</v>
      </c>
      <c r="V549" t="s">
        <v>803</v>
      </c>
    </row>
    <row r="550" spans="1:22">
      <c r="A550" s="1" t="s">
        <v>570</v>
      </c>
      <c r="B550">
        <f>HYPERLINK("https://www.suredividend.com/sure-analysis-HBAN/","Huntington Bancshares, Inc.")</f>
        <v>0</v>
      </c>
      <c r="C550">
        <v>15.38</v>
      </c>
      <c r="D550">
        <v>14</v>
      </c>
      <c r="E550">
        <v>1.098571428571429</v>
      </c>
      <c r="F550">
        <v>0.04031209362808842</v>
      </c>
      <c r="G550">
        <v>-0.01862646953802005</v>
      </c>
      <c r="H550">
        <v>0.04</v>
      </c>
      <c r="I550">
        <v>0.05929182565435309</v>
      </c>
      <c r="J550" t="s">
        <v>529</v>
      </c>
      <c r="K550" t="s">
        <v>352</v>
      </c>
      <c r="L550">
        <v>1.25</v>
      </c>
      <c r="M550">
        <v>0.62</v>
      </c>
      <c r="N550">
        <v>0.496</v>
      </c>
      <c r="O550">
        <v>1</v>
      </c>
      <c r="P550">
        <v>0.03880472124431766</v>
      </c>
      <c r="Q550">
        <v>0.273717498243148</v>
      </c>
      <c r="R550" t="s">
        <v>784</v>
      </c>
      <c r="S550" t="s">
        <v>793</v>
      </c>
      <c r="T550">
        <v>22022.372516</v>
      </c>
      <c r="U550" s="2">
        <v>44499</v>
      </c>
      <c r="V550" t="s">
        <v>803</v>
      </c>
    </row>
    <row r="551" spans="1:22">
      <c r="A551" s="1" t="s">
        <v>571</v>
      </c>
      <c r="B551">
        <f>HYPERLINK("https://www.suredividend.com/sure-analysis-SBS/","Companhia de Saneamento Basico do Estado de Sao Paulo.")</f>
        <v>0</v>
      </c>
      <c r="C551">
        <v>7.01</v>
      </c>
      <c r="D551">
        <v>6.6</v>
      </c>
      <c r="E551">
        <v>1.062121212121212</v>
      </c>
      <c r="F551">
        <v>0.02282453637660485</v>
      </c>
      <c r="G551">
        <v>-0.0119812566407439</v>
      </c>
      <c r="H551">
        <v>0.05</v>
      </c>
      <c r="I551">
        <v>0.05907022627091907</v>
      </c>
      <c r="J551" t="s">
        <v>529</v>
      </c>
      <c r="K551" t="s">
        <v>529</v>
      </c>
      <c r="L551">
        <v>0.57</v>
      </c>
      <c r="M551">
        <v>0.16</v>
      </c>
      <c r="N551">
        <v>0.280701754385965</v>
      </c>
      <c r="O551">
        <v>0</v>
      </c>
      <c r="P551">
        <v>0.04563955259127317</v>
      </c>
      <c r="Q551">
        <v>-0.213628940244748</v>
      </c>
      <c r="R551" t="s">
        <v>784</v>
      </c>
      <c r="S551" t="s">
        <v>796</v>
      </c>
      <c r="T551">
        <v>4805.074379</v>
      </c>
      <c r="U551" s="2">
        <v>44513</v>
      </c>
      <c r="V551" t="s">
        <v>799</v>
      </c>
    </row>
    <row r="552" spans="1:22">
      <c r="A552" s="1" t="s">
        <v>572</v>
      </c>
      <c r="B552">
        <f>HYPERLINK("https://www.suredividend.com/sure-analysis-KHC/","Kraft Heinz Co")</f>
        <v>0</v>
      </c>
      <c r="C552">
        <v>36</v>
      </c>
      <c r="D552">
        <v>36</v>
      </c>
      <c r="E552">
        <v>1</v>
      </c>
      <c r="F552">
        <v>0.04444444444444445</v>
      </c>
      <c r="G552">
        <v>0</v>
      </c>
      <c r="H552">
        <v>0.02</v>
      </c>
      <c r="I552">
        <v>0.05810447724855172</v>
      </c>
      <c r="J552" t="s">
        <v>529</v>
      </c>
      <c r="K552" t="s">
        <v>352</v>
      </c>
      <c r="L552">
        <v>2.8</v>
      </c>
      <c r="M552">
        <v>1.6</v>
      </c>
      <c r="N552">
        <v>0.5714285714285715</v>
      </c>
      <c r="O552">
        <v>0</v>
      </c>
      <c r="P552">
        <v>0</v>
      </c>
      <c r="Q552">
        <v>0.05921651989067701</v>
      </c>
      <c r="R552" t="s">
        <v>784</v>
      </c>
      <c r="S552" t="s">
        <v>795</v>
      </c>
      <c r="T552">
        <v>42694.60104</v>
      </c>
      <c r="U552" s="2">
        <v>44508</v>
      </c>
      <c r="V552" t="s">
        <v>802</v>
      </c>
    </row>
    <row r="553" spans="1:22">
      <c r="A553" s="1" t="s">
        <v>573</v>
      </c>
      <c r="B553">
        <f>HYPERLINK("https://www.suredividend.com/sure-analysis-ALV/","Autoliv Inc.")</f>
        <v>0</v>
      </c>
      <c r="C553">
        <v>98.03</v>
      </c>
      <c r="D553">
        <v>71</v>
      </c>
      <c r="E553">
        <v>1.380704225352113</v>
      </c>
      <c r="F553">
        <v>0.02611445475874732</v>
      </c>
      <c r="G553">
        <v>-0.06248145073108247</v>
      </c>
      <c r="H553">
        <v>0.1</v>
      </c>
      <c r="I553">
        <v>0.05791992482485675</v>
      </c>
      <c r="J553" t="s">
        <v>529</v>
      </c>
      <c r="K553" t="s">
        <v>529</v>
      </c>
      <c r="L553">
        <v>5.1</v>
      </c>
      <c r="M553">
        <v>2.56</v>
      </c>
      <c r="N553">
        <v>0.5019607843137255</v>
      </c>
      <c r="O553">
        <v>1</v>
      </c>
      <c r="P553">
        <v>0.06576275663547415</v>
      </c>
      <c r="Q553">
        <v>0.092224405046942</v>
      </c>
      <c r="R553" t="s">
        <v>784</v>
      </c>
      <c r="S553" t="s">
        <v>792</v>
      </c>
      <c r="T553">
        <v>8758.573262</v>
      </c>
      <c r="U553" s="2">
        <v>44493</v>
      </c>
      <c r="V553" t="s">
        <v>804</v>
      </c>
    </row>
    <row r="554" spans="1:22">
      <c r="A554" s="1" t="s">
        <v>574</v>
      </c>
      <c r="B554">
        <f>HYPERLINK("https://www.suredividend.com/sure-analysis-MCY/","Mercury General Corp.")</f>
        <v>0</v>
      </c>
      <c r="C554">
        <v>52.94</v>
      </c>
      <c r="D554">
        <v>53</v>
      </c>
      <c r="E554">
        <v>0.9988679245283019</v>
      </c>
      <c r="F554">
        <v>0.04797884397431054</v>
      </c>
      <c r="G554">
        <v>0.0002265690135161424</v>
      </c>
      <c r="H554">
        <v>0.015</v>
      </c>
      <c r="I554">
        <v>0.05738319672995562</v>
      </c>
      <c r="J554" t="s">
        <v>529</v>
      </c>
      <c r="K554" t="s">
        <v>781</v>
      </c>
      <c r="L554">
        <v>3.5</v>
      </c>
      <c r="M554">
        <v>2.54</v>
      </c>
      <c r="N554">
        <v>0.7257142857142858</v>
      </c>
      <c r="O554">
        <v>33</v>
      </c>
      <c r="P554">
        <v>0.004680391776183512</v>
      </c>
      <c r="Q554">
        <v>0.07322808537818201</v>
      </c>
      <c r="R554" t="s">
        <v>784</v>
      </c>
      <c r="S554" t="s">
        <v>793</v>
      </c>
      <c r="T554">
        <v>2921.362775</v>
      </c>
      <c r="U554" s="2">
        <v>44510</v>
      </c>
      <c r="V554" t="s">
        <v>802</v>
      </c>
    </row>
    <row r="555" spans="1:22">
      <c r="A555" s="1" t="s">
        <v>575</v>
      </c>
      <c r="B555">
        <f>HYPERLINK("https://www.suredividend.com/sure-analysis-GLW/","Corning, Inc.")</f>
        <v>0</v>
      </c>
      <c r="C555">
        <v>37.1</v>
      </c>
      <c r="D555">
        <v>34</v>
      </c>
      <c r="E555">
        <v>1.091176470588235</v>
      </c>
      <c r="F555">
        <v>0.02587601078167116</v>
      </c>
      <c r="G555">
        <v>-0.01729989719551195</v>
      </c>
      <c r="H555">
        <v>0.05</v>
      </c>
      <c r="I555">
        <v>0.05723904165011784</v>
      </c>
      <c r="J555" t="s">
        <v>529</v>
      </c>
      <c r="K555" t="s">
        <v>529</v>
      </c>
      <c r="L555">
        <v>2.15</v>
      </c>
      <c r="M555">
        <v>0.96</v>
      </c>
      <c r="N555">
        <v>0.4465116279069767</v>
      </c>
      <c r="O555">
        <v>11</v>
      </c>
      <c r="P555">
        <v>0.05251935381426631</v>
      </c>
      <c r="Q555">
        <v>0.029202229938164</v>
      </c>
      <c r="R555" t="s">
        <v>784</v>
      </c>
      <c r="S555" t="s">
        <v>790</v>
      </c>
      <c r="T555">
        <v>31746.794675</v>
      </c>
      <c r="U555" s="2">
        <v>44497</v>
      </c>
      <c r="V555" t="s">
        <v>803</v>
      </c>
    </row>
    <row r="556" spans="1:22">
      <c r="A556" s="1" t="s">
        <v>576</v>
      </c>
      <c r="B556">
        <f>HYPERLINK("https://www.suredividend.com/sure-analysis-BBD/","Banco Bradesco S.A.")</f>
        <v>0</v>
      </c>
      <c r="C556">
        <v>3.56</v>
      </c>
      <c r="D556">
        <v>3.5</v>
      </c>
      <c r="E556">
        <v>1.017142857142857</v>
      </c>
      <c r="F556">
        <v>0.06741573033707865</v>
      </c>
      <c r="G556">
        <v>-0.003393743463970367</v>
      </c>
      <c r="H556">
        <v>0</v>
      </c>
      <c r="I556">
        <v>0.05713285832663928</v>
      </c>
      <c r="J556" t="s">
        <v>529</v>
      </c>
      <c r="K556" t="s">
        <v>781</v>
      </c>
      <c r="L556">
        <v>0.5</v>
      </c>
      <c r="M556">
        <v>0.24</v>
      </c>
      <c r="N556">
        <v>0.48</v>
      </c>
      <c r="O556">
        <v>0</v>
      </c>
      <c r="P556">
        <v>0</v>
      </c>
      <c r="Q556">
        <v>-0.232031506399737</v>
      </c>
      <c r="R556" t="s">
        <v>784</v>
      </c>
      <c r="S556" t="s">
        <v>793</v>
      </c>
      <c r="T556">
        <v>31654.326778</v>
      </c>
      <c r="U556" s="2">
        <v>44506</v>
      </c>
      <c r="V556" t="s">
        <v>799</v>
      </c>
    </row>
    <row r="557" spans="1:22">
      <c r="A557" s="1" t="s">
        <v>577</v>
      </c>
      <c r="B557">
        <f>HYPERLINK("https://www.suredividend.com/sure-analysis-RPT/","RPT Realty")</f>
        <v>0</v>
      </c>
      <c r="C557">
        <v>12.7</v>
      </c>
      <c r="D557">
        <v>11.96</v>
      </c>
      <c r="E557">
        <v>1.061872909698997</v>
      </c>
      <c r="F557">
        <v>0.03779527559055118</v>
      </c>
      <c r="G557">
        <v>-0.01193505440660658</v>
      </c>
      <c r="H557">
        <v>0.025</v>
      </c>
      <c r="I557">
        <v>0.05688277988504575</v>
      </c>
      <c r="J557" t="s">
        <v>529</v>
      </c>
      <c r="K557" t="s">
        <v>352</v>
      </c>
      <c r="L557">
        <v>0.92</v>
      </c>
      <c r="M557">
        <v>0.48</v>
      </c>
      <c r="N557">
        <v>0.5217391304347826</v>
      </c>
      <c r="O557">
        <v>1</v>
      </c>
      <c r="P557">
        <v>0.09913211517808418</v>
      </c>
      <c r="Q557">
        <v>0.5007898894154811</v>
      </c>
      <c r="R557" t="s">
        <v>786</v>
      </c>
      <c r="S557" t="s">
        <v>798</v>
      </c>
      <c r="T557">
        <v>1089.022653</v>
      </c>
      <c r="U557" s="2">
        <v>44535</v>
      </c>
      <c r="V557" t="s">
        <v>799</v>
      </c>
    </row>
    <row r="558" spans="1:22">
      <c r="A558" s="1" t="s">
        <v>578</v>
      </c>
      <c r="B558">
        <f>HYPERLINK("https://www.suredividend.com/sure-analysis-KTB/","Kontoor Brands Inc")</f>
        <v>0</v>
      </c>
      <c r="C558">
        <v>51.7</v>
      </c>
      <c r="D558">
        <v>50</v>
      </c>
      <c r="E558">
        <v>1.034</v>
      </c>
      <c r="F558">
        <v>0.0355899419729207</v>
      </c>
      <c r="G558">
        <v>-0.006664647283955216</v>
      </c>
      <c r="H558">
        <v>0.03</v>
      </c>
      <c r="I558">
        <v>0.05548795076701207</v>
      </c>
      <c r="J558" t="s">
        <v>529</v>
      </c>
      <c r="K558" t="s">
        <v>352</v>
      </c>
      <c r="L558">
        <v>4.18</v>
      </c>
      <c r="M558">
        <v>1.84</v>
      </c>
      <c r="N558">
        <v>0.4401913875598087</v>
      </c>
      <c r="O558">
        <v>1</v>
      </c>
      <c r="P558">
        <v>0.01984845658885503</v>
      </c>
      <c r="Q558">
        <v>0.281645493739239</v>
      </c>
      <c r="R558" t="s">
        <v>784</v>
      </c>
      <c r="S558" t="s">
        <v>792</v>
      </c>
      <c r="T558">
        <v>3063.618932</v>
      </c>
      <c r="U558" s="2">
        <v>44511</v>
      </c>
      <c r="V558" t="s">
        <v>802</v>
      </c>
    </row>
    <row r="559" spans="1:22">
      <c r="A559" s="1" t="s">
        <v>579</v>
      </c>
      <c r="B559">
        <f>HYPERLINK("https://www.suredividend.com/sure-analysis-DEA/","Easterly Government Properties Inc")</f>
        <v>0</v>
      </c>
      <c r="C559">
        <v>22.36</v>
      </c>
      <c r="D559">
        <v>20.8</v>
      </c>
      <c r="E559">
        <v>1.075</v>
      </c>
      <c r="F559">
        <v>0.04740608228980323</v>
      </c>
      <c r="G559">
        <v>-0.01436002927853708</v>
      </c>
      <c r="H559">
        <v>0.021</v>
      </c>
      <c r="I559">
        <v>0.05394714587100502</v>
      </c>
      <c r="J559" t="s">
        <v>529</v>
      </c>
      <c r="K559" t="s">
        <v>781</v>
      </c>
      <c r="L559">
        <v>1.31</v>
      </c>
      <c r="M559">
        <v>1.06</v>
      </c>
      <c r="N559">
        <v>0.8091603053435115</v>
      </c>
      <c r="O559">
        <v>1</v>
      </c>
      <c r="P559">
        <v>0.04166362161741732</v>
      </c>
      <c r="Q559">
        <v>0.04467226422971601</v>
      </c>
      <c r="R559" t="s">
        <v>786</v>
      </c>
      <c r="S559" t="s">
        <v>798</v>
      </c>
      <c r="T559">
        <v>1939.828616</v>
      </c>
      <c r="U559" s="2">
        <v>44506</v>
      </c>
      <c r="V559" t="s">
        <v>808</v>
      </c>
    </row>
    <row r="560" spans="1:22">
      <c r="A560" s="1" t="s">
        <v>580</v>
      </c>
      <c r="B560">
        <f>HYPERLINK("https://www.suredividend.com/sure-analysis-BXP/","Boston Properties, Inc.")</f>
        <v>0</v>
      </c>
      <c r="C560">
        <v>114.02</v>
      </c>
      <c r="D560">
        <v>103</v>
      </c>
      <c r="E560">
        <v>1.106990291262136</v>
      </c>
      <c r="F560">
        <v>0.03437993334502719</v>
      </c>
      <c r="G560">
        <v>-0.02012373615788876</v>
      </c>
      <c r="H560">
        <v>0.044</v>
      </c>
      <c r="I560">
        <v>0.05346664606218265</v>
      </c>
      <c r="J560" t="s">
        <v>529</v>
      </c>
      <c r="K560" t="s">
        <v>529</v>
      </c>
      <c r="L560">
        <v>6.45</v>
      </c>
      <c r="M560">
        <v>3.92</v>
      </c>
      <c r="N560">
        <v>0.6077519379844961</v>
      </c>
      <c r="O560">
        <v>5</v>
      </c>
      <c r="P560">
        <v>0.01000199077119301</v>
      </c>
      <c r="Q560">
        <v>0.188620240663226</v>
      </c>
      <c r="R560" t="s">
        <v>786</v>
      </c>
      <c r="S560" t="s">
        <v>798</v>
      </c>
      <c r="T560">
        <v>18066.895143</v>
      </c>
      <c r="U560" s="2">
        <v>44503</v>
      </c>
      <c r="V560" t="s">
        <v>808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72</v>
      </c>
      <c r="D561">
        <v>72</v>
      </c>
      <c r="E561">
        <v>1</v>
      </c>
      <c r="F561">
        <v>0.02388888888888889</v>
      </c>
      <c r="G561">
        <v>0</v>
      </c>
      <c r="H561">
        <v>0.03</v>
      </c>
      <c r="I561">
        <v>0.05285620693279025</v>
      </c>
      <c r="J561" t="s">
        <v>529</v>
      </c>
      <c r="K561" t="s">
        <v>529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0.3976384461434631</v>
      </c>
      <c r="R561" t="s">
        <v>784</v>
      </c>
      <c r="S561" t="s">
        <v>788</v>
      </c>
      <c r="T561">
        <v>16685.401196</v>
      </c>
      <c r="U561" s="2">
        <v>44526</v>
      </c>
      <c r="V561" t="s">
        <v>804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69.8</v>
      </c>
      <c r="D562">
        <v>60</v>
      </c>
      <c r="E562">
        <v>1.163333333333333</v>
      </c>
      <c r="F562">
        <v>0.03008595988538682</v>
      </c>
      <c r="G562">
        <v>-0.02980470190595175</v>
      </c>
      <c r="H562">
        <v>0.05</v>
      </c>
      <c r="I562">
        <v>0.04923492507571248</v>
      </c>
      <c r="J562" t="s">
        <v>529</v>
      </c>
      <c r="K562" t="s">
        <v>529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0.504733390239822</v>
      </c>
      <c r="R562" t="s">
        <v>784</v>
      </c>
      <c r="S562" t="s">
        <v>793</v>
      </c>
      <c r="T562">
        <v>17300.016457</v>
      </c>
      <c r="U562" s="2">
        <v>44522</v>
      </c>
      <c r="V562" t="s">
        <v>804</v>
      </c>
    </row>
    <row r="563" spans="1:22">
      <c r="A563" s="1" t="s">
        <v>583</v>
      </c>
      <c r="B563">
        <f>HYPERLINK("https://www.suredividend.com/sure-analysis-MPWR/","Monolithic Power System Inc")</f>
        <v>0</v>
      </c>
      <c r="C563">
        <v>475.5</v>
      </c>
      <c r="D563">
        <v>266</v>
      </c>
      <c r="E563">
        <v>1.787593984962406</v>
      </c>
      <c r="F563">
        <v>0.005047318611987381</v>
      </c>
      <c r="G563">
        <v>-0.1096798079791287</v>
      </c>
      <c r="H563">
        <v>0.17</v>
      </c>
      <c r="I563">
        <v>0.04921899562105936</v>
      </c>
      <c r="J563" t="s">
        <v>529</v>
      </c>
      <c r="K563" t="s">
        <v>782</v>
      </c>
      <c r="L563">
        <v>7.2</v>
      </c>
      <c r="M563">
        <v>2.4</v>
      </c>
      <c r="N563">
        <v>0.3333333333333333</v>
      </c>
      <c r="O563">
        <v>4</v>
      </c>
      <c r="P563">
        <v>0.1999209000665154</v>
      </c>
      <c r="Q563">
        <v>0.48798822717308</v>
      </c>
      <c r="R563" t="s">
        <v>784</v>
      </c>
      <c r="S563" t="s">
        <v>790</v>
      </c>
      <c r="T563">
        <v>22604.0072</v>
      </c>
      <c r="U563" s="2">
        <v>44500</v>
      </c>
      <c r="V563" t="s">
        <v>799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24.06</v>
      </c>
      <c r="D564">
        <v>19</v>
      </c>
      <c r="E564">
        <v>1.266315789473684</v>
      </c>
      <c r="F564">
        <v>0.02618453865336659</v>
      </c>
      <c r="G564">
        <v>-0.04612471660720441</v>
      </c>
      <c r="H564">
        <v>0.07000000000000001</v>
      </c>
      <c r="I564">
        <v>0.04655756773943343</v>
      </c>
      <c r="J564" t="s">
        <v>529</v>
      </c>
      <c r="K564" t="s">
        <v>529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0.109563026214748</v>
      </c>
      <c r="R564" t="s">
        <v>784</v>
      </c>
      <c r="S564" t="s">
        <v>797</v>
      </c>
      <c r="T564">
        <v>16087.804694</v>
      </c>
      <c r="U564" s="2">
        <v>44513</v>
      </c>
      <c r="V564" t="s">
        <v>806</v>
      </c>
    </row>
    <row r="565" spans="1:22">
      <c r="A565" s="1" t="s">
        <v>585</v>
      </c>
      <c r="B565">
        <f>HYPERLINK("https://www.suredividend.com/sure-analysis-MAC/","Macerich Co.")</f>
        <v>0</v>
      </c>
      <c r="C565">
        <v>16.9</v>
      </c>
      <c r="D565">
        <v>15</v>
      </c>
      <c r="E565">
        <v>1.126666666666666</v>
      </c>
      <c r="F565">
        <v>0.03550295857988166</v>
      </c>
      <c r="G565">
        <v>-0.02357045730373952</v>
      </c>
      <c r="H565">
        <v>0.03</v>
      </c>
      <c r="I565">
        <v>0.04624593521100273</v>
      </c>
      <c r="J565" t="s">
        <v>529</v>
      </c>
      <c r="K565" t="s">
        <v>352</v>
      </c>
      <c r="L565">
        <v>1.93</v>
      </c>
      <c r="M565">
        <v>0.6</v>
      </c>
      <c r="N565">
        <v>0.310880829015544</v>
      </c>
      <c r="O565">
        <v>0</v>
      </c>
      <c r="P565">
        <v>0.0796084730466029</v>
      </c>
      <c r="Q565">
        <v>0.5355189303206891</v>
      </c>
      <c r="R565" t="s">
        <v>786</v>
      </c>
      <c r="S565" t="s">
        <v>798</v>
      </c>
      <c r="T565">
        <v>3659.986999</v>
      </c>
      <c r="U565" s="2">
        <v>44509</v>
      </c>
      <c r="V565" t="s">
        <v>807</v>
      </c>
    </row>
    <row r="566" spans="1:22">
      <c r="A566" s="1" t="s">
        <v>586</v>
      </c>
      <c r="B566">
        <f>HYPERLINK("https://www.suredividend.com/sure-analysis-SKT/","Tanger Factory Outlet Centers, Inc.")</f>
        <v>0</v>
      </c>
      <c r="C566">
        <v>18.71</v>
      </c>
      <c r="D566">
        <v>18</v>
      </c>
      <c r="E566">
        <v>1.039444444444444</v>
      </c>
      <c r="F566">
        <v>0.03901656867985034</v>
      </c>
      <c r="G566">
        <v>-0.007707420804474174</v>
      </c>
      <c r="H566">
        <v>0.015</v>
      </c>
      <c r="I566">
        <v>0.04359964637312097</v>
      </c>
      <c r="J566" t="s">
        <v>529</v>
      </c>
      <c r="K566" t="s">
        <v>352</v>
      </c>
      <c r="L566">
        <v>1.69</v>
      </c>
      <c r="M566">
        <v>0.73</v>
      </c>
      <c r="N566">
        <v>0.4319526627218935</v>
      </c>
      <c r="O566">
        <v>1</v>
      </c>
      <c r="P566">
        <v>0.01072631497080168</v>
      </c>
      <c r="Q566">
        <v>0.7904712401496231</v>
      </c>
      <c r="R566" t="s">
        <v>786</v>
      </c>
      <c r="S566" t="s">
        <v>798</v>
      </c>
      <c r="T566">
        <v>2005.861661</v>
      </c>
      <c r="U566" s="2">
        <v>44511</v>
      </c>
      <c r="V566" t="s">
        <v>806</v>
      </c>
    </row>
    <row r="567" spans="1:22">
      <c r="A567" s="1" t="s">
        <v>587</v>
      </c>
      <c r="B567">
        <f>HYPERLINK("https://www.suredividend.com/sure-analysis-JNPR/","Juniper Networks Inc")</f>
        <v>0</v>
      </c>
      <c r="C567">
        <v>33.47</v>
      </c>
      <c r="D567">
        <v>26</v>
      </c>
      <c r="E567">
        <v>1.287307692307692</v>
      </c>
      <c r="F567">
        <v>0.02390200179265014</v>
      </c>
      <c r="G567">
        <v>-0.04925614493084529</v>
      </c>
      <c r="H567">
        <v>0.07000000000000001</v>
      </c>
      <c r="I567">
        <v>0.0419521179650324</v>
      </c>
      <c r="J567" t="s">
        <v>529</v>
      </c>
      <c r="K567" t="s">
        <v>529</v>
      </c>
      <c r="L567">
        <v>1.8</v>
      </c>
      <c r="M567">
        <v>0.8</v>
      </c>
      <c r="N567">
        <v>0.4444444444444445</v>
      </c>
      <c r="O567">
        <v>3</v>
      </c>
      <c r="P567">
        <v>0.04978904632428516</v>
      </c>
      <c r="Q567">
        <v>0.572799120525836</v>
      </c>
      <c r="R567" t="s">
        <v>784</v>
      </c>
      <c r="S567" t="s">
        <v>790</v>
      </c>
      <c r="T567">
        <v>11072.416898</v>
      </c>
      <c r="U567" s="2">
        <v>44498</v>
      </c>
      <c r="V567" t="s">
        <v>806</v>
      </c>
    </row>
    <row r="568" spans="1:22">
      <c r="A568" s="1" t="s">
        <v>588</v>
      </c>
      <c r="B568">
        <f>HYPERLINK("https://www.suredividend.com/sure-analysis-HMC/","Honda Motor")</f>
        <v>0</v>
      </c>
      <c r="C568">
        <v>28.15</v>
      </c>
      <c r="D568">
        <v>25</v>
      </c>
      <c r="E568">
        <v>1.126</v>
      </c>
      <c r="F568">
        <v>0.03552397868561279</v>
      </c>
      <c r="G568">
        <v>-0.02345486246887929</v>
      </c>
      <c r="H568">
        <v>0.029</v>
      </c>
      <c r="I568">
        <v>0.04020807045509822</v>
      </c>
      <c r="J568" t="s">
        <v>529</v>
      </c>
      <c r="K568" t="s">
        <v>352</v>
      </c>
      <c r="L568">
        <v>2.93</v>
      </c>
      <c r="M568">
        <v>1</v>
      </c>
      <c r="N568">
        <v>0.341296928327645</v>
      </c>
      <c r="O568">
        <v>0</v>
      </c>
      <c r="P568">
        <v>0.02834672210021361</v>
      </c>
      <c r="Q568">
        <v>-0.007953236095888001</v>
      </c>
      <c r="R568" t="s">
        <v>784</v>
      </c>
      <c r="S568" t="s">
        <v>792</v>
      </c>
      <c r="T568">
        <v>51154.738863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HYPERLINK("https://www.suredividend.com/sure-analysis-TU/","Telus Corp.")</f>
        <v>0</v>
      </c>
      <c r="C569">
        <v>22.96</v>
      </c>
      <c r="D569">
        <v>15</v>
      </c>
      <c r="E569">
        <v>1.530666666666667</v>
      </c>
      <c r="F569">
        <v>0.04573170731707317</v>
      </c>
      <c r="G569">
        <v>-0.08161691737189658</v>
      </c>
      <c r="H569">
        <v>0.08</v>
      </c>
      <c r="I569">
        <v>0.03892084623525149</v>
      </c>
      <c r="J569" t="s">
        <v>529</v>
      </c>
      <c r="K569" t="s">
        <v>352</v>
      </c>
      <c r="L569">
        <v>0.95</v>
      </c>
      <c r="M569">
        <v>1.05</v>
      </c>
      <c r="N569">
        <v>1.105263157894737</v>
      </c>
      <c r="O569">
        <v>14</v>
      </c>
      <c r="P569">
        <v>0.03046704262958766</v>
      </c>
      <c r="Q569">
        <v>0.187897094052702</v>
      </c>
      <c r="R569" t="s">
        <v>784</v>
      </c>
      <c r="S569" t="s">
        <v>788</v>
      </c>
      <c r="T569">
        <v>31039.50163</v>
      </c>
      <c r="U569" s="2">
        <v>44522</v>
      </c>
      <c r="V569" t="s">
        <v>807</v>
      </c>
    </row>
    <row r="570" spans="1:22">
      <c r="A570" s="1" t="s">
        <v>590</v>
      </c>
      <c r="B570">
        <f>HYPERLINK("https://www.suredividend.com/sure-analysis-DOC/","Physicians Realty Trust")</f>
        <v>0</v>
      </c>
      <c r="C570">
        <v>18.3</v>
      </c>
      <c r="D570">
        <v>16</v>
      </c>
      <c r="E570">
        <v>1.14375</v>
      </c>
      <c r="F570">
        <v>0.05027322404371585</v>
      </c>
      <c r="G570">
        <v>-0.02650488048558397</v>
      </c>
      <c r="H570">
        <v>0.017</v>
      </c>
      <c r="I570">
        <v>0.03758116655725785</v>
      </c>
      <c r="J570" t="s">
        <v>529</v>
      </c>
      <c r="K570" t="s">
        <v>781</v>
      </c>
      <c r="L570">
        <v>1.06</v>
      </c>
      <c r="M570">
        <v>0.92</v>
      </c>
      <c r="N570">
        <v>0.8679245283018868</v>
      </c>
      <c r="O570">
        <v>0</v>
      </c>
      <c r="P570">
        <v>0</v>
      </c>
      <c r="Q570">
        <v>0.068500579828878</v>
      </c>
      <c r="R570" t="s">
        <v>786</v>
      </c>
      <c r="S570" t="s">
        <v>798</v>
      </c>
      <c r="T570">
        <v>4079.761244</v>
      </c>
      <c r="U570" s="2">
        <v>44506</v>
      </c>
      <c r="V570" t="s">
        <v>800</v>
      </c>
    </row>
    <row r="571" spans="1:22">
      <c r="A571" s="1" t="s">
        <v>591</v>
      </c>
      <c r="B571">
        <f>HYPERLINK("https://www.suredividend.com/sure-analysis-TSM/","Taiwan Semiconductor Manufacturing")</f>
        <v>0</v>
      </c>
      <c r="C571">
        <v>116.57</v>
      </c>
      <c r="D571">
        <v>72</v>
      </c>
      <c r="E571">
        <v>1.619027777777778</v>
      </c>
      <c r="F571">
        <v>0.01715707300334563</v>
      </c>
      <c r="G571">
        <v>-0.09186766388738121</v>
      </c>
      <c r="H571">
        <v>0.12</v>
      </c>
      <c r="I571">
        <v>0.03666251066953286</v>
      </c>
      <c r="J571" t="s">
        <v>529</v>
      </c>
      <c r="K571" t="s">
        <v>782</v>
      </c>
      <c r="L571">
        <v>4.05</v>
      </c>
      <c r="M571">
        <v>2</v>
      </c>
      <c r="N571">
        <v>0.4938271604938272</v>
      </c>
      <c r="O571">
        <v>7</v>
      </c>
      <c r="P571">
        <v>0.08009875865888949</v>
      </c>
      <c r="Q571">
        <v>0.164049826272087</v>
      </c>
      <c r="R571" t="s">
        <v>784</v>
      </c>
      <c r="S571" t="s">
        <v>790</v>
      </c>
      <c r="T571">
        <v>621831.267735</v>
      </c>
      <c r="U571" s="2">
        <v>44490</v>
      </c>
      <c r="V571" t="s">
        <v>807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7.97</v>
      </c>
      <c r="D572">
        <v>7</v>
      </c>
      <c r="E572">
        <v>1.138571428571429</v>
      </c>
      <c r="F572">
        <v>0.03387703889585948</v>
      </c>
      <c r="G572">
        <v>-0.02562093643782393</v>
      </c>
      <c r="H572">
        <v>0.03</v>
      </c>
      <c r="I572">
        <v>0.03497941399017979</v>
      </c>
      <c r="J572" t="s">
        <v>529</v>
      </c>
      <c r="K572" t="s">
        <v>529</v>
      </c>
      <c r="L572">
        <v>0.45</v>
      </c>
      <c r="M572">
        <v>0.27</v>
      </c>
      <c r="N572">
        <v>0.6</v>
      </c>
      <c r="O572">
        <v>0</v>
      </c>
      <c r="P572">
        <v>0</v>
      </c>
      <c r="Q572">
        <v>-0.101204178185982</v>
      </c>
      <c r="R572" t="s">
        <v>784</v>
      </c>
      <c r="S572" t="s">
        <v>788</v>
      </c>
      <c r="T572">
        <v>5880.21513</v>
      </c>
      <c r="U572" s="2">
        <v>44502</v>
      </c>
      <c r="V572" t="s">
        <v>802</v>
      </c>
    </row>
    <row r="573" spans="1:22">
      <c r="A573" s="1" t="s">
        <v>593</v>
      </c>
      <c r="B573">
        <f>HYPERLINK("https://www.suredividend.com/sure-analysis-CAJ/","Canon Inc")</f>
        <v>0</v>
      </c>
      <c r="C573">
        <v>24.92</v>
      </c>
      <c r="D573">
        <v>22</v>
      </c>
      <c r="E573">
        <v>1.132727272727273</v>
      </c>
      <c r="F573">
        <v>0.03089887640449438</v>
      </c>
      <c r="G573">
        <v>-0.02461756914258306</v>
      </c>
      <c r="H573">
        <v>0.03</v>
      </c>
      <c r="I573">
        <v>0.03329407251997929</v>
      </c>
      <c r="J573" t="s">
        <v>529</v>
      </c>
      <c r="K573" t="s">
        <v>529</v>
      </c>
      <c r="L573">
        <v>1.8</v>
      </c>
      <c r="M573">
        <v>0.77</v>
      </c>
      <c r="N573">
        <v>0.4277777777777778</v>
      </c>
      <c r="O573">
        <v>0</v>
      </c>
      <c r="P573">
        <v>0</v>
      </c>
      <c r="Q573">
        <v>0.249336013581776</v>
      </c>
      <c r="R573" t="s">
        <v>784</v>
      </c>
      <c r="S573" t="s">
        <v>790</v>
      </c>
      <c r="T573">
        <v>31996.985501</v>
      </c>
      <c r="U573" s="2">
        <v>44505</v>
      </c>
      <c r="V573" t="s">
        <v>802</v>
      </c>
    </row>
    <row r="574" spans="1:22">
      <c r="A574" s="1" t="s">
        <v>594</v>
      </c>
      <c r="B574">
        <f>HYPERLINK("https://www.suredividend.com/sure-analysis-RGA/","Reinsurance Group Of America, Inc.")</f>
        <v>0</v>
      </c>
      <c r="C574">
        <v>101.68</v>
      </c>
      <c r="D574">
        <v>50</v>
      </c>
      <c r="E574">
        <v>2.0336</v>
      </c>
      <c r="F574">
        <v>0.02871754523996852</v>
      </c>
      <c r="G574">
        <v>-0.1323453605285484</v>
      </c>
      <c r="H574">
        <v>0.15</v>
      </c>
      <c r="I574">
        <v>0.03301186839206438</v>
      </c>
      <c r="J574" t="s">
        <v>529</v>
      </c>
      <c r="K574" t="s">
        <v>529</v>
      </c>
      <c r="L574">
        <v>4.2</v>
      </c>
      <c r="M574">
        <v>2.92</v>
      </c>
      <c r="N574">
        <v>0.6952380952380952</v>
      </c>
      <c r="O574">
        <v>11</v>
      </c>
      <c r="P574">
        <v>0.08986498009382693</v>
      </c>
      <c r="Q574">
        <v>-0.122941534801479</v>
      </c>
      <c r="R574" t="s">
        <v>784</v>
      </c>
      <c r="S574" t="s">
        <v>793</v>
      </c>
      <c r="T574">
        <v>6997.967632</v>
      </c>
      <c r="U574" s="2">
        <v>44511</v>
      </c>
      <c r="V574" t="s">
        <v>806</v>
      </c>
    </row>
    <row r="575" spans="1:22">
      <c r="A575" s="1" t="s">
        <v>595</v>
      </c>
      <c r="B575">
        <f>HYPERLINK("https://www.suredividend.com/sure-analysis-CODI/","Compass Diversified Holdings")</f>
        <v>0</v>
      </c>
      <c r="C575">
        <v>30.95</v>
      </c>
      <c r="D575">
        <v>24</v>
      </c>
      <c r="E575">
        <v>1.289583333333333</v>
      </c>
      <c r="F575">
        <v>0.04652665589660743</v>
      </c>
      <c r="G575">
        <v>-0.04959192478068375</v>
      </c>
      <c r="H575">
        <v>0.04</v>
      </c>
      <c r="I575">
        <v>0.03296916529508254</v>
      </c>
      <c r="J575" t="s">
        <v>529</v>
      </c>
      <c r="K575" t="s">
        <v>352</v>
      </c>
      <c r="L575">
        <v>2.4</v>
      </c>
      <c r="M575">
        <v>1.44</v>
      </c>
      <c r="N575">
        <v>0.6</v>
      </c>
      <c r="O575">
        <v>0</v>
      </c>
      <c r="P575">
        <v>0</v>
      </c>
      <c r="Q575">
        <v>0.7157865277389071</v>
      </c>
      <c r="R575" t="s">
        <v>784</v>
      </c>
      <c r="S575" t="s">
        <v>791</v>
      </c>
      <c r="T575">
        <v>2102.508157</v>
      </c>
      <c r="U575" s="2">
        <v>44504</v>
      </c>
      <c r="V575" t="s">
        <v>802</v>
      </c>
    </row>
    <row r="576" spans="1:22">
      <c r="A576" s="1" t="s">
        <v>596</v>
      </c>
      <c r="B576">
        <f>HYPERLINK("https://www.suredividend.com/sure-analysis-CCI/","Crown Castle International Corp")</f>
        <v>0</v>
      </c>
      <c r="C576">
        <v>200.47</v>
      </c>
      <c r="D576">
        <v>152</v>
      </c>
      <c r="E576">
        <v>1.318881578947368</v>
      </c>
      <c r="F576">
        <v>0.02933107198084501</v>
      </c>
      <c r="G576">
        <v>-0.05385251450566109</v>
      </c>
      <c r="H576">
        <v>0.05</v>
      </c>
      <c r="I576">
        <v>0.02615777414266307</v>
      </c>
      <c r="J576" t="s">
        <v>529</v>
      </c>
      <c r="K576" t="s">
        <v>529</v>
      </c>
      <c r="L576">
        <v>6.35</v>
      </c>
      <c r="M576">
        <v>5.88</v>
      </c>
      <c r="N576">
        <v>0.925984251968504</v>
      </c>
      <c r="O576">
        <v>7</v>
      </c>
      <c r="P576">
        <v>0.04987304960985517</v>
      </c>
      <c r="Q576">
        <v>0.305827437224168</v>
      </c>
      <c r="R576" t="s">
        <v>786</v>
      </c>
      <c r="S576" t="s">
        <v>798</v>
      </c>
      <c r="T576">
        <v>85144.039856</v>
      </c>
      <c r="U576" s="2">
        <v>44493</v>
      </c>
      <c r="V576" t="s">
        <v>804</v>
      </c>
    </row>
    <row r="577" spans="1:22">
      <c r="A577" s="1" t="s">
        <v>597</v>
      </c>
      <c r="B577">
        <f>HYPERLINK("https://www.suredividend.com/sure-analysis-STX/","Seagate Technology Holdings Plc")</f>
        <v>0</v>
      </c>
      <c r="C577">
        <v>104.61</v>
      </c>
      <c r="D577">
        <v>89</v>
      </c>
      <c r="E577">
        <v>1.175393258426966</v>
      </c>
      <c r="F577">
        <v>0.02676608354841793</v>
      </c>
      <c r="G577">
        <v>-0.03180382868914111</v>
      </c>
      <c r="H577">
        <v>0.03</v>
      </c>
      <c r="I577">
        <v>0.02484478830009951</v>
      </c>
      <c r="J577" t="s">
        <v>529</v>
      </c>
      <c r="K577" t="s">
        <v>529</v>
      </c>
      <c r="L577">
        <v>8.9</v>
      </c>
      <c r="M577">
        <v>2.8</v>
      </c>
      <c r="N577">
        <v>0.3146067415730337</v>
      </c>
      <c r="O577">
        <v>3</v>
      </c>
      <c r="P577">
        <v>0.02513307572787737</v>
      </c>
      <c r="Q577">
        <v>0.058469477235767</v>
      </c>
      <c r="R577" t="s">
        <v>784</v>
      </c>
      <c r="S577" t="s">
        <v>790</v>
      </c>
      <c r="T577">
        <v>23272.135331</v>
      </c>
      <c r="U577" s="2">
        <v>44507</v>
      </c>
      <c r="V577" t="s">
        <v>802</v>
      </c>
    </row>
    <row r="578" spans="1:22">
      <c r="A578" s="1" t="s">
        <v>598</v>
      </c>
      <c r="B578">
        <f>HYPERLINK("https://www.suredividend.com/sure-analysis-AVGO/","Broadcom Inc")</f>
        <v>0</v>
      </c>
      <c r="C578">
        <v>620.6799999999999</v>
      </c>
      <c r="D578">
        <v>420</v>
      </c>
      <c r="E578">
        <v>1.477809523809524</v>
      </c>
      <c r="F578">
        <v>0.02642263324096153</v>
      </c>
      <c r="G578">
        <v>-0.07513933753340174</v>
      </c>
      <c r="H578">
        <v>0.075</v>
      </c>
      <c r="I578">
        <v>0.02398127527418659</v>
      </c>
      <c r="J578" t="s">
        <v>529</v>
      </c>
      <c r="K578" t="s">
        <v>529</v>
      </c>
      <c r="L578">
        <v>28</v>
      </c>
      <c r="M578">
        <v>16.4</v>
      </c>
      <c r="N578">
        <v>0.5857142857142856</v>
      </c>
      <c r="O578">
        <v>11</v>
      </c>
      <c r="P578">
        <v>0.05228738264860588</v>
      </c>
      <c r="Q578">
        <v>0.579320590528568</v>
      </c>
      <c r="R578" t="s">
        <v>784</v>
      </c>
      <c r="S578" t="s">
        <v>790</v>
      </c>
      <c r="T578">
        <v>263376.79804</v>
      </c>
      <c r="U578" s="2">
        <v>44453</v>
      </c>
      <c r="V578" t="s">
        <v>802</v>
      </c>
    </row>
    <row r="579" spans="1:22">
      <c r="A579" s="1" t="s">
        <v>599</v>
      </c>
      <c r="B579">
        <f>HYPERLINK("https://www.suredividend.com/sure-analysis-CNQ/","Canadian Natural Resources Ltd.")</f>
        <v>0</v>
      </c>
      <c r="C579">
        <v>39.9</v>
      </c>
      <c r="D579">
        <v>50</v>
      </c>
      <c r="E579">
        <v>0.7979999999999999</v>
      </c>
      <c r="F579">
        <v>0.04736842105263158</v>
      </c>
      <c r="G579">
        <v>0.04616315803786919</v>
      </c>
      <c r="H579">
        <v>-0.07000000000000001</v>
      </c>
      <c r="I579">
        <v>0.02288718102526377</v>
      </c>
      <c r="J579" t="s">
        <v>529</v>
      </c>
      <c r="K579" t="s">
        <v>781</v>
      </c>
      <c r="L579">
        <v>4.2</v>
      </c>
      <c r="M579">
        <v>1.89</v>
      </c>
      <c r="N579">
        <v>0.45</v>
      </c>
      <c r="O579">
        <v>5</v>
      </c>
      <c r="P579">
        <v>0.01539184863075338</v>
      </c>
      <c r="Q579">
        <v>0.6395004058374331</v>
      </c>
      <c r="R579" t="s">
        <v>784</v>
      </c>
      <c r="S579" t="s">
        <v>797</v>
      </c>
      <c r="T579">
        <v>46602.120386</v>
      </c>
      <c r="U579" s="2">
        <v>44522</v>
      </c>
      <c r="V579" t="s">
        <v>807</v>
      </c>
    </row>
    <row r="580" spans="1:22">
      <c r="A580" s="1" t="s">
        <v>600</v>
      </c>
      <c r="B580">
        <f>HYPERLINK("https://www.suredividend.com/sure-analysis-UBS/","UBS Group AG")</f>
        <v>0</v>
      </c>
      <c r="C580">
        <v>17.86</v>
      </c>
      <c r="D580">
        <v>16</v>
      </c>
      <c r="E580">
        <v>1.11625</v>
      </c>
      <c r="F580">
        <v>0.02071668533034714</v>
      </c>
      <c r="G580">
        <v>-0.02175484501578639</v>
      </c>
      <c r="H580">
        <v>0.02</v>
      </c>
      <c r="I580">
        <v>0.02031172399688219</v>
      </c>
      <c r="J580" t="s">
        <v>529</v>
      </c>
      <c r="K580" t="s">
        <v>529</v>
      </c>
      <c r="L580">
        <v>1.35</v>
      </c>
      <c r="M580">
        <v>0.37</v>
      </c>
      <c r="N580">
        <v>0.274074074074074</v>
      </c>
      <c r="O580">
        <v>0</v>
      </c>
      <c r="P580">
        <v>0.03992533304330625</v>
      </c>
      <c r="Q580">
        <v>0.244305480886222</v>
      </c>
      <c r="R580" t="s">
        <v>784</v>
      </c>
      <c r="S580" t="s">
        <v>793</v>
      </c>
      <c r="T580">
        <v>65125.620482</v>
      </c>
      <c r="U580" s="2">
        <v>44498</v>
      </c>
      <c r="V580" t="s">
        <v>807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23.76</v>
      </c>
      <c r="D581">
        <v>20</v>
      </c>
      <c r="E581">
        <v>1.188</v>
      </c>
      <c r="F581">
        <v>0.0404040404040404</v>
      </c>
      <c r="G581">
        <v>-0.033867455145836</v>
      </c>
      <c r="H581">
        <v>0.006</v>
      </c>
      <c r="I581">
        <v>0.01721973961576961</v>
      </c>
      <c r="J581" t="s">
        <v>529</v>
      </c>
      <c r="K581" t="s">
        <v>352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0.467310781030167</v>
      </c>
      <c r="R581" t="s">
        <v>786</v>
      </c>
      <c r="S581" t="s">
        <v>798</v>
      </c>
      <c r="T581">
        <v>7000.017649</v>
      </c>
      <c r="U581" s="2">
        <v>44516</v>
      </c>
      <c r="V581" t="s">
        <v>809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29.7</v>
      </c>
      <c r="D582">
        <v>20</v>
      </c>
      <c r="E582">
        <v>1.485</v>
      </c>
      <c r="F582">
        <v>0.01683501683501683</v>
      </c>
      <c r="G582">
        <v>-0.07603672560021013</v>
      </c>
      <c r="H582">
        <v>0.07000000000000001</v>
      </c>
      <c r="I582">
        <v>0.009411537864492781</v>
      </c>
      <c r="J582" t="s">
        <v>529</v>
      </c>
      <c r="K582" t="s">
        <v>782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0.287101321353761</v>
      </c>
      <c r="R582" t="s">
        <v>784</v>
      </c>
      <c r="S582" t="s">
        <v>797</v>
      </c>
      <c r="T582">
        <v>41111.161096</v>
      </c>
      <c r="U582" s="2">
        <v>44493</v>
      </c>
      <c r="V582" t="s">
        <v>807</v>
      </c>
    </row>
    <row r="583" spans="1:22">
      <c r="A583" s="1" t="s">
        <v>603</v>
      </c>
      <c r="B583">
        <f>HYPERLINK("https://www.suredividend.com/sure-analysis-TM/","Toyota Motor Corporation")</f>
        <v>0</v>
      </c>
      <c r="C583">
        <v>187.34</v>
      </c>
      <c r="D583">
        <v>150</v>
      </c>
      <c r="E583">
        <v>1.248933333333333</v>
      </c>
      <c r="F583">
        <v>0.02348670865805488</v>
      </c>
      <c r="G583">
        <v>-0.04348419909697865</v>
      </c>
      <c r="H583">
        <v>0.03</v>
      </c>
      <c r="I583">
        <v>0.008966722685749495</v>
      </c>
      <c r="J583" t="s">
        <v>529</v>
      </c>
      <c r="K583" t="s">
        <v>529</v>
      </c>
      <c r="L583">
        <v>15.8</v>
      </c>
      <c r="M583">
        <v>4.4</v>
      </c>
      <c r="N583">
        <v>0.2784810126582278</v>
      </c>
      <c r="O583">
        <v>0</v>
      </c>
      <c r="P583">
        <v>0</v>
      </c>
      <c r="Q583">
        <v>0.255670689519537</v>
      </c>
      <c r="R583" t="s">
        <v>784</v>
      </c>
      <c r="S583" t="s">
        <v>792</v>
      </c>
      <c r="T583">
        <v>304682.390816</v>
      </c>
      <c r="U583" s="2">
        <v>44529</v>
      </c>
      <c r="V583" t="s">
        <v>802</v>
      </c>
    </row>
    <row r="584" spans="1:22">
      <c r="A584" s="1" t="s">
        <v>604</v>
      </c>
      <c r="B584">
        <f>HYPERLINK("https://www.suredividend.com/sure-analysis-PLD/","Prologis Inc")</f>
        <v>0</v>
      </c>
      <c r="C584">
        <v>163.25</v>
      </c>
      <c r="D584">
        <v>99</v>
      </c>
      <c r="E584">
        <v>1.648989898989899</v>
      </c>
      <c r="F584">
        <v>0.0154364471669219</v>
      </c>
      <c r="G584">
        <v>-0.09519206434818328</v>
      </c>
      <c r="H584">
        <v>0.09</v>
      </c>
      <c r="I584">
        <v>0.006091281649268643</v>
      </c>
      <c r="J584" t="s">
        <v>529</v>
      </c>
      <c r="K584" t="s">
        <v>782</v>
      </c>
      <c r="L584">
        <v>4.21</v>
      </c>
      <c r="M584">
        <v>2.52</v>
      </c>
      <c r="N584">
        <v>0.5985748218527316</v>
      </c>
      <c r="O584">
        <v>8</v>
      </c>
      <c r="P584">
        <v>0.07984205343909734</v>
      </c>
      <c r="Q584">
        <v>0.675504913859299</v>
      </c>
      <c r="R584" t="s">
        <v>786</v>
      </c>
      <c r="S584" t="s">
        <v>798</v>
      </c>
      <c r="T584">
        <v>120184.99712</v>
      </c>
      <c r="U584" s="2">
        <v>44486</v>
      </c>
      <c r="V584" t="s">
        <v>799</v>
      </c>
    </row>
    <row r="585" spans="1:22">
      <c r="A585" s="1" t="s">
        <v>605</v>
      </c>
      <c r="B585">
        <f>HYPERLINK("https://www.suredividend.com/sure-analysis-ELS/","Equity Lifestyle Properties Inc.")</f>
        <v>0</v>
      </c>
      <c r="C585">
        <v>84</v>
      </c>
      <c r="D585">
        <v>53</v>
      </c>
      <c r="E585">
        <v>1.584905660377359</v>
      </c>
      <c r="F585">
        <v>0.01726190476190476</v>
      </c>
      <c r="G585">
        <v>-0.08799059554470601</v>
      </c>
      <c r="H585">
        <v>0.07000000000000001</v>
      </c>
      <c r="I585">
        <v>-0.00179852216445664</v>
      </c>
      <c r="J585" t="s">
        <v>529</v>
      </c>
      <c r="K585" t="s">
        <v>782</v>
      </c>
      <c r="L585">
        <v>2.51</v>
      </c>
      <c r="M585">
        <v>1.45</v>
      </c>
      <c r="N585">
        <v>0.5776892430278885</v>
      </c>
      <c r="O585">
        <v>17</v>
      </c>
      <c r="P585">
        <v>0.06961037572506878</v>
      </c>
      <c r="Q585">
        <v>0.388495370863215</v>
      </c>
      <c r="R585" t="s">
        <v>786</v>
      </c>
      <c r="S585" t="s">
        <v>798</v>
      </c>
      <c r="T585">
        <v>15584.778114</v>
      </c>
      <c r="U585" s="2">
        <v>44493</v>
      </c>
      <c r="V585" t="s">
        <v>801</v>
      </c>
    </row>
    <row r="586" spans="1:22">
      <c r="A586" s="1" t="s">
        <v>606</v>
      </c>
      <c r="B586">
        <f>HYPERLINK("https://www.suredividend.com/sure-analysis-ARE/","Alexandria Real Estate Equities Inc.")</f>
        <v>0</v>
      </c>
      <c r="C586">
        <v>216.57</v>
      </c>
      <c r="D586">
        <v>140</v>
      </c>
      <c r="E586">
        <v>1.546928571428571</v>
      </c>
      <c r="F586">
        <v>0.02124024564805837</v>
      </c>
      <c r="G586">
        <v>-0.08355596705772739</v>
      </c>
      <c r="H586">
        <v>0.06</v>
      </c>
      <c r="I586">
        <v>-0.002009287554325501</v>
      </c>
      <c r="J586" t="s">
        <v>529</v>
      </c>
      <c r="K586" t="s">
        <v>782</v>
      </c>
      <c r="L586">
        <v>7.75</v>
      </c>
      <c r="M586">
        <v>4.6</v>
      </c>
      <c r="N586">
        <v>0.5935483870967742</v>
      </c>
      <c r="O586">
        <v>12</v>
      </c>
      <c r="P586">
        <v>0.05457794330579446</v>
      </c>
      <c r="Q586">
        <v>0.271584561798707</v>
      </c>
      <c r="R586" t="s">
        <v>786</v>
      </c>
      <c r="S586" t="s">
        <v>798</v>
      </c>
      <c r="T586">
        <v>33870.557324</v>
      </c>
      <c r="U586" s="2">
        <v>44496</v>
      </c>
      <c r="V586" t="s">
        <v>803</v>
      </c>
    </row>
    <row r="587" spans="1:22">
      <c r="A587" s="1" t="s">
        <v>607</v>
      </c>
      <c r="B587">
        <f>HYPERLINK("https://www.suredividend.com/sure-analysis-EXPO/","Exponent Inc.")</f>
        <v>0</v>
      </c>
      <c r="C587">
        <v>117.82</v>
      </c>
      <c r="D587">
        <v>72</v>
      </c>
      <c r="E587">
        <v>1.636388888888889</v>
      </c>
      <c r="F587">
        <v>0.006790018672551351</v>
      </c>
      <c r="G587">
        <v>-0.09380284244263193</v>
      </c>
      <c r="H587">
        <v>0.09</v>
      </c>
      <c r="I587">
        <v>-0.003113584387905433</v>
      </c>
      <c r="J587" t="s">
        <v>529</v>
      </c>
      <c r="K587" t="s">
        <v>782</v>
      </c>
      <c r="L587">
        <v>1.9</v>
      </c>
      <c r="M587">
        <v>0.8</v>
      </c>
      <c r="N587">
        <v>0.4210526315789474</v>
      </c>
      <c r="O587">
        <v>8</v>
      </c>
      <c r="P587">
        <v>0.08984070585040471</v>
      </c>
      <c r="Q587">
        <v>0.371096923437048</v>
      </c>
      <c r="R587" t="s">
        <v>784</v>
      </c>
      <c r="S587" t="s">
        <v>791</v>
      </c>
      <c r="T587">
        <v>6226.804091</v>
      </c>
      <c r="U587" s="2">
        <v>44501</v>
      </c>
      <c r="V587" t="s">
        <v>806</v>
      </c>
    </row>
    <row r="588" spans="1:22">
      <c r="A588" s="1" t="s">
        <v>608</v>
      </c>
      <c r="B588">
        <f>HYPERLINK("https://www.suredividend.com/sure-analysis-TRGP/","Targa Resources Corp")</f>
        <v>0</v>
      </c>
      <c r="C588">
        <v>50.39</v>
      </c>
      <c r="D588">
        <v>36</v>
      </c>
      <c r="E588">
        <v>1.399722222222222</v>
      </c>
      <c r="F588">
        <v>0.027783290335384</v>
      </c>
      <c r="G588">
        <v>-0.06504301943913582</v>
      </c>
      <c r="H588">
        <v>0.03</v>
      </c>
      <c r="I588">
        <v>-0.004270542841002367</v>
      </c>
      <c r="J588" t="s">
        <v>529</v>
      </c>
      <c r="K588" t="s">
        <v>529</v>
      </c>
      <c r="L588">
        <v>5.2</v>
      </c>
      <c r="M588">
        <v>1.4</v>
      </c>
      <c r="N588">
        <v>0.2692307692307692</v>
      </c>
      <c r="O588">
        <v>0</v>
      </c>
      <c r="P588">
        <v>0.02706608708935176</v>
      </c>
      <c r="Q588">
        <v>0.826274393065034</v>
      </c>
      <c r="R588" t="s">
        <v>784</v>
      </c>
      <c r="S588" t="s">
        <v>797</v>
      </c>
      <c r="T588">
        <v>11659.240492</v>
      </c>
      <c r="U588" s="2">
        <v>44515</v>
      </c>
      <c r="V588" t="s">
        <v>807</v>
      </c>
    </row>
    <row r="589" spans="1:22">
      <c r="A589" s="1" t="s">
        <v>609</v>
      </c>
      <c r="B589">
        <f>HYPERLINK("https://www.suredividend.com/sure-analysis-OGZPY/","Gazprom")</f>
        <v>0</v>
      </c>
      <c r="C589">
        <v>8.845000000000001</v>
      </c>
      <c r="D589">
        <v>6.5</v>
      </c>
      <c r="E589">
        <v>1.360769230769231</v>
      </c>
      <c r="F589">
        <v>0.03843979649519502</v>
      </c>
      <c r="G589">
        <v>-0.05975051573670587</v>
      </c>
      <c r="H589">
        <v>0</v>
      </c>
      <c r="I589">
        <v>-0.004324844416537466</v>
      </c>
      <c r="J589" t="s">
        <v>529</v>
      </c>
      <c r="K589" t="s">
        <v>352</v>
      </c>
      <c r="L589">
        <v>1.3</v>
      </c>
      <c r="M589">
        <v>0.34</v>
      </c>
      <c r="N589">
        <v>0.2615384615384616</v>
      </c>
      <c r="O589">
        <v>0</v>
      </c>
      <c r="P589">
        <v>0.0801851873035635</v>
      </c>
      <c r="Q589">
        <v>0.6090239410681401</v>
      </c>
      <c r="R589" t="s">
        <v>784</v>
      </c>
      <c r="S589" t="s">
        <v>797</v>
      </c>
      <c r="T589">
        <v>103417.741104</v>
      </c>
      <c r="U589" s="2">
        <v>44530</v>
      </c>
      <c r="V589" t="s">
        <v>807</v>
      </c>
    </row>
    <row r="590" spans="1:22">
      <c r="A590" s="1" t="s">
        <v>610</v>
      </c>
      <c r="B590">
        <f>HYPERLINK("https://www.suredividend.com/sure-analysis-JCI/","Johnson Controls International plc")</f>
        <v>0</v>
      </c>
      <c r="C590">
        <v>79.09999999999999</v>
      </c>
      <c r="D590">
        <v>52</v>
      </c>
      <c r="E590">
        <v>1.521153846153846</v>
      </c>
      <c r="F590">
        <v>0.01719342604298357</v>
      </c>
      <c r="G590">
        <v>-0.08047112384506394</v>
      </c>
      <c r="H590">
        <v>0.06</v>
      </c>
      <c r="I590">
        <v>-0.006258834800536017</v>
      </c>
      <c r="J590" t="s">
        <v>529</v>
      </c>
      <c r="K590" t="s">
        <v>782</v>
      </c>
      <c r="L590">
        <v>3.27</v>
      </c>
      <c r="M590">
        <v>1.36</v>
      </c>
      <c r="N590">
        <v>0.4159021406727829</v>
      </c>
      <c r="O590">
        <v>2</v>
      </c>
      <c r="P590">
        <v>0.01289824528018912</v>
      </c>
      <c r="Q590">
        <v>0.738699778019509</v>
      </c>
      <c r="R590" t="s">
        <v>784</v>
      </c>
      <c r="S590" t="s">
        <v>791</v>
      </c>
      <c r="T590">
        <v>55388.699543</v>
      </c>
      <c r="U590" s="2">
        <v>44511</v>
      </c>
      <c r="V590" t="s">
        <v>803</v>
      </c>
    </row>
    <row r="591" spans="1:22">
      <c r="A591" s="1" t="s">
        <v>611</v>
      </c>
      <c r="B591">
        <f>HYPERLINK("https://www.suredividend.com/sure-analysis-TRSWF/","TransAlta Renewables, Inc.")</f>
        <v>0</v>
      </c>
      <c r="C591">
        <v>14.28</v>
      </c>
      <c r="D591">
        <v>9</v>
      </c>
      <c r="E591">
        <v>1.586666666666667</v>
      </c>
      <c r="F591">
        <v>0.05322128851540617</v>
      </c>
      <c r="G591">
        <v>-0.08819312929874124</v>
      </c>
      <c r="H591">
        <v>0.02</v>
      </c>
      <c r="I591">
        <v>-0.006865049535692558</v>
      </c>
      <c r="J591" t="s">
        <v>529</v>
      </c>
      <c r="K591" t="s">
        <v>781</v>
      </c>
      <c r="L591">
        <v>0.8</v>
      </c>
      <c r="M591">
        <v>0.76</v>
      </c>
      <c r="N591">
        <v>0.95</v>
      </c>
      <c r="O591">
        <v>0</v>
      </c>
      <c r="P591">
        <v>0.005208615197356048</v>
      </c>
      <c r="Q591">
        <v>-0.025516968032036</v>
      </c>
      <c r="R591" t="s">
        <v>784</v>
      </c>
      <c r="S591" t="s">
        <v>796</v>
      </c>
      <c r="T591">
        <v>3805.476947</v>
      </c>
      <c r="U591" s="2">
        <v>44515</v>
      </c>
      <c r="V591" t="s">
        <v>806</v>
      </c>
    </row>
    <row r="592" spans="1:22">
      <c r="A592" s="1" t="s">
        <v>612</v>
      </c>
      <c r="B592">
        <f>HYPERLINK("https://www.suredividend.com/sure-analysis-DRE/","Duke Realty Corp")</f>
        <v>0</v>
      </c>
      <c r="C592">
        <v>62.58</v>
      </c>
      <c r="D592">
        <v>38</v>
      </c>
      <c r="E592">
        <v>1.646842105263158</v>
      </c>
      <c r="F592">
        <v>0.01789709172259508</v>
      </c>
      <c r="G592">
        <v>-0.09495617921981314</v>
      </c>
      <c r="H592">
        <v>0.07000000000000001</v>
      </c>
      <c r="I592">
        <v>-0.008409257479644938</v>
      </c>
      <c r="J592" t="s">
        <v>529</v>
      </c>
      <c r="K592" t="s">
        <v>782</v>
      </c>
      <c r="L592">
        <v>1.72</v>
      </c>
      <c r="M592">
        <v>1.12</v>
      </c>
      <c r="N592">
        <v>0.6511627906976745</v>
      </c>
      <c r="O592">
        <v>7</v>
      </c>
      <c r="P592">
        <v>0.06016789231717423</v>
      </c>
      <c r="Q592">
        <v>0.6235853660425881</v>
      </c>
      <c r="R592" t="s">
        <v>786</v>
      </c>
      <c r="S592" t="s">
        <v>798</v>
      </c>
      <c r="T592">
        <v>23947.866864</v>
      </c>
      <c r="U592" s="2">
        <v>44499</v>
      </c>
      <c r="V592" t="s">
        <v>801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35.46</v>
      </c>
      <c r="D593">
        <v>22</v>
      </c>
      <c r="E593">
        <v>1.611818181818182</v>
      </c>
      <c r="F593">
        <v>0.03835307388606881</v>
      </c>
      <c r="G593">
        <v>-0.09105670588067116</v>
      </c>
      <c r="H593">
        <v>0.03</v>
      </c>
      <c r="I593">
        <v>-0.01185938305537715</v>
      </c>
      <c r="J593" t="s">
        <v>529</v>
      </c>
      <c r="K593" t="s">
        <v>352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0.173707349388721</v>
      </c>
      <c r="R593" t="s">
        <v>784</v>
      </c>
      <c r="S593" t="s">
        <v>796</v>
      </c>
      <c r="T593">
        <v>3992.215627</v>
      </c>
      <c r="U593" s="2">
        <v>44515</v>
      </c>
      <c r="V593" t="s">
        <v>806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170.13</v>
      </c>
      <c r="D594">
        <v>106</v>
      </c>
      <c r="E594">
        <v>1.605</v>
      </c>
      <c r="F594">
        <v>0.02985951919120673</v>
      </c>
      <c r="G594">
        <v>-0.09028576050207748</v>
      </c>
      <c r="H594">
        <v>0.046</v>
      </c>
      <c r="I594">
        <v>-0.01297543582652327</v>
      </c>
      <c r="J594" t="s">
        <v>529</v>
      </c>
      <c r="K594" t="s">
        <v>529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0.482787116750525</v>
      </c>
      <c r="R594" t="s">
        <v>786</v>
      </c>
      <c r="S594" t="s">
        <v>798</v>
      </c>
      <c r="T594">
        <v>7518.032342</v>
      </c>
      <c r="U594" s="2">
        <v>44503</v>
      </c>
      <c r="V594" t="s">
        <v>808</v>
      </c>
    </row>
    <row r="595" spans="1:22">
      <c r="A595" s="1" t="s">
        <v>615</v>
      </c>
      <c r="B595">
        <f>HYPERLINK("https://www.suredividend.com/sure-analysis-EXC/","Exelon Corp.")</f>
        <v>0</v>
      </c>
      <c r="C595">
        <v>54.36</v>
      </c>
      <c r="D595">
        <v>38</v>
      </c>
      <c r="E595">
        <v>1.430526315789474</v>
      </c>
      <c r="F595">
        <v>0.02814569536423841</v>
      </c>
      <c r="G595">
        <v>-0.0691047169064013</v>
      </c>
      <c r="H595">
        <v>0.02</v>
      </c>
      <c r="I595">
        <v>-0.01627268556303973</v>
      </c>
      <c r="J595" t="s">
        <v>529</v>
      </c>
      <c r="K595" t="s">
        <v>529</v>
      </c>
      <c r="L595">
        <v>2.8</v>
      </c>
      <c r="M595">
        <v>1.53</v>
      </c>
      <c r="N595">
        <v>0.5464285714285715</v>
      </c>
      <c r="O595">
        <v>5</v>
      </c>
      <c r="P595">
        <v>0.02009132612636422</v>
      </c>
      <c r="Q595">
        <v>0.323892519970951</v>
      </c>
      <c r="R595" t="s">
        <v>784</v>
      </c>
      <c r="S595" t="s">
        <v>796</v>
      </c>
      <c r="T595">
        <v>53477.668175</v>
      </c>
      <c r="U595" s="2">
        <v>44504</v>
      </c>
      <c r="V595" t="s">
        <v>800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40.84</v>
      </c>
      <c r="D596">
        <v>38</v>
      </c>
      <c r="E596">
        <v>1.074736842105263</v>
      </c>
      <c r="F596">
        <v>0.01469147894221351</v>
      </c>
      <c r="G596">
        <v>-0.01431176564248537</v>
      </c>
      <c r="H596">
        <v>-0.02</v>
      </c>
      <c r="I596">
        <v>-0.01677947546665659</v>
      </c>
      <c r="J596" t="s">
        <v>529</v>
      </c>
      <c r="K596" t="s">
        <v>782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-0.042652800289453</v>
      </c>
      <c r="R596" t="s">
        <v>784</v>
      </c>
      <c r="S596" t="s">
        <v>794</v>
      </c>
      <c r="T596">
        <v>17641.866338</v>
      </c>
      <c r="U596" s="2">
        <v>44528</v>
      </c>
      <c r="V596" t="s">
        <v>804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64.20999999999999</v>
      </c>
      <c r="D597">
        <v>36</v>
      </c>
      <c r="E597">
        <v>1.783611111111111</v>
      </c>
      <c r="F597">
        <v>0.01681980999844261</v>
      </c>
      <c r="G597">
        <v>-0.1092825386579676</v>
      </c>
      <c r="H597">
        <v>0.07000000000000001</v>
      </c>
      <c r="I597">
        <v>-0.02368286775117323</v>
      </c>
      <c r="J597" t="s">
        <v>529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0.552287780571695</v>
      </c>
      <c r="R597" t="s">
        <v>786</v>
      </c>
      <c r="S597" t="s">
        <v>798</v>
      </c>
      <c r="T597">
        <v>8234.712184</v>
      </c>
      <c r="U597" s="2">
        <v>44492</v>
      </c>
      <c r="V597" t="s">
        <v>801</v>
      </c>
    </row>
    <row r="598" spans="1:22">
      <c r="A598" s="1" t="s">
        <v>618</v>
      </c>
      <c r="B598">
        <f>HYPERLINK("https://www.suredividend.com/sure-analysis-AMH/","American Homes 4 Rent")</f>
        <v>0</v>
      </c>
      <c r="C598">
        <v>41.62</v>
      </c>
      <c r="D598">
        <v>29</v>
      </c>
      <c r="E598">
        <v>1.435172413793103</v>
      </c>
      <c r="F598">
        <v>0.009610764055742432</v>
      </c>
      <c r="G598">
        <v>-0.06970821822290285</v>
      </c>
      <c r="H598">
        <v>0.03</v>
      </c>
      <c r="I598">
        <v>-0.03066073979217732</v>
      </c>
      <c r="J598" t="s">
        <v>529</v>
      </c>
      <c r="K598" t="s">
        <v>782</v>
      </c>
      <c r="L598">
        <v>1.36</v>
      </c>
      <c r="M598">
        <v>0.4</v>
      </c>
      <c r="N598">
        <v>0.2941176470588235</v>
      </c>
      <c r="O598">
        <v>1</v>
      </c>
      <c r="P598">
        <v>0</v>
      </c>
      <c r="Q598">
        <v>0.413825945607581</v>
      </c>
      <c r="R598" t="s">
        <v>786</v>
      </c>
      <c r="S598" t="s">
        <v>798</v>
      </c>
      <c r="T598">
        <v>14021.281042</v>
      </c>
      <c r="U598" s="2">
        <v>44506</v>
      </c>
      <c r="V598" t="s">
        <v>800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229.09</v>
      </c>
      <c r="D599">
        <v>133</v>
      </c>
      <c r="E599">
        <v>1.722481203007519</v>
      </c>
      <c r="F599">
        <v>0.01571434807280981</v>
      </c>
      <c r="G599">
        <v>-0.1030482082577638</v>
      </c>
      <c r="H599">
        <v>0.054</v>
      </c>
      <c r="I599">
        <v>-0.03339289109968635</v>
      </c>
      <c r="J599" t="s">
        <v>529</v>
      </c>
      <c r="K599" t="s">
        <v>782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0.294365345919351</v>
      </c>
      <c r="R599" t="s">
        <v>784</v>
      </c>
      <c r="S599" t="s">
        <v>793</v>
      </c>
      <c r="T599">
        <v>81816.53787299999</v>
      </c>
      <c r="U599" s="2">
        <v>44503</v>
      </c>
      <c r="V599" t="s">
        <v>808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22.75</v>
      </c>
      <c r="D600">
        <v>12.6</v>
      </c>
      <c r="E600">
        <v>1.805555555555556</v>
      </c>
      <c r="F600">
        <v>0.02989010989010989</v>
      </c>
      <c r="G600">
        <v>-0.1114582705291648</v>
      </c>
      <c r="H600">
        <v>0.035</v>
      </c>
      <c r="I600">
        <v>-0.03538187015871797</v>
      </c>
      <c r="J600" t="s">
        <v>529</v>
      </c>
      <c r="K600" t="s">
        <v>529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0.542581609397507</v>
      </c>
      <c r="R600" t="s">
        <v>786</v>
      </c>
      <c r="S600" t="s">
        <v>798</v>
      </c>
      <c r="T600">
        <v>14060.724003</v>
      </c>
      <c r="U600" s="2">
        <v>44509</v>
      </c>
      <c r="V600" t="s">
        <v>808</v>
      </c>
    </row>
    <row r="601" spans="1:22">
      <c r="A601" s="1" t="s">
        <v>621</v>
      </c>
      <c r="B601">
        <f>HYPERLINK("https://www.suredividend.com/sure-analysis-CMP/","Compass Minerals International Inc")</f>
        <v>0</v>
      </c>
      <c r="C601">
        <v>54.31</v>
      </c>
      <c r="D601">
        <v>33</v>
      </c>
      <c r="E601">
        <v>1.645757575757576</v>
      </c>
      <c r="F601">
        <v>0.01104768919167741</v>
      </c>
      <c r="G601">
        <v>-0.09483692859452408</v>
      </c>
      <c r="H601">
        <v>0.05</v>
      </c>
      <c r="I601">
        <v>-0.03640920289078375</v>
      </c>
      <c r="J601" t="s">
        <v>529</v>
      </c>
      <c r="K601" t="s">
        <v>782</v>
      </c>
      <c r="L601">
        <v>1.45</v>
      </c>
      <c r="M601">
        <v>0.6</v>
      </c>
      <c r="N601">
        <v>0.4137931034482759</v>
      </c>
      <c r="O601">
        <v>0</v>
      </c>
      <c r="P601">
        <v>0</v>
      </c>
      <c r="Q601">
        <v>-0.106168088256554</v>
      </c>
      <c r="R601" t="s">
        <v>784</v>
      </c>
      <c r="S601" t="s">
        <v>794</v>
      </c>
      <c r="T601">
        <v>1830.942803</v>
      </c>
      <c r="U601" s="2">
        <v>44520</v>
      </c>
      <c r="V601" t="s">
        <v>799</v>
      </c>
    </row>
    <row r="602" spans="1:22">
      <c r="A602" s="1" t="s">
        <v>622</v>
      </c>
      <c r="B602">
        <f>HYPERLINK("https://www.suredividend.com/sure-analysis-ETN/","Eaton Corporation plc")</f>
        <v>0</v>
      </c>
      <c r="C602">
        <v>168.8</v>
      </c>
      <c r="D602">
        <v>100</v>
      </c>
      <c r="E602">
        <v>1.688</v>
      </c>
      <c r="F602">
        <v>0.01800947867298578</v>
      </c>
      <c r="G602">
        <v>-0.0994133360942091</v>
      </c>
      <c r="H602">
        <v>0.04</v>
      </c>
      <c r="I602">
        <v>-0.03910574396326905</v>
      </c>
      <c r="J602" t="s">
        <v>529</v>
      </c>
      <c r="K602" t="s">
        <v>782</v>
      </c>
      <c r="L602">
        <v>6.64</v>
      </c>
      <c r="M602">
        <v>3.04</v>
      </c>
      <c r="N602">
        <v>0.4578313253012049</v>
      </c>
      <c r="O602">
        <v>12</v>
      </c>
      <c r="P602">
        <v>0.02975477857041309</v>
      </c>
      <c r="Q602">
        <v>0.481185893817715</v>
      </c>
      <c r="R602" t="s">
        <v>784</v>
      </c>
      <c r="S602" t="s">
        <v>791</v>
      </c>
      <c r="T602">
        <v>67467.03599999999</v>
      </c>
      <c r="U602" s="2">
        <v>44502</v>
      </c>
      <c r="V602" t="s">
        <v>800</v>
      </c>
    </row>
    <row r="603" spans="1:22">
      <c r="A603" s="1" t="s">
        <v>623</v>
      </c>
      <c r="B603">
        <f>HYPERLINK("https://www.suredividend.com/sure-analysis-MAA/","Mid-America Apartment Communities, Inc.")</f>
        <v>0</v>
      </c>
      <c r="C603">
        <v>222.89</v>
      </c>
      <c r="D603">
        <v>118</v>
      </c>
      <c r="E603">
        <v>1.888898305084746</v>
      </c>
      <c r="F603">
        <v>0.01951635335815873</v>
      </c>
      <c r="G603">
        <v>-0.1194413561348707</v>
      </c>
      <c r="H603">
        <v>0.06</v>
      </c>
      <c r="I603">
        <v>-0.03956560900555206</v>
      </c>
      <c r="J603" t="s">
        <v>529</v>
      </c>
      <c r="K603" t="s">
        <v>782</v>
      </c>
      <c r="L603">
        <v>6.98</v>
      </c>
      <c r="M603">
        <v>4.35</v>
      </c>
      <c r="N603">
        <v>0.6232091690544411</v>
      </c>
      <c r="O603">
        <v>11</v>
      </c>
      <c r="P603">
        <v>0.03634132731704387</v>
      </c>
      <c r="Q603">
        <v>0.8459703099518731</v>
      </c>
      <c r="R603" t="s">
        <v>786</v>
      </c>
      <c r="S603" t="s">
        <v>798</v>
      </c>
      <c r="T603">
        <v>25583.735371</v>
      </c>
      <c r="U603" s="2">
        <v>44509</v>
      </c>
      <c r="V603" t="s">
        <v>807</v>
      </c>
    </row>
    <row r="604" spans="1:22">
      <c r="A604" s="1" t="s">
        <v>624</v>
      </c>
      <c r="B604">
        <f>HYPERLINK("https://www.suredividend.com/sure-analysis-SCHL/","Scholastic Corp.")</f>
        <v>0</v>
      </c>
      <c r="C604">
        <v>35.78</v>
      </c>
      <c r="D604">
        <v>20</v>
      </c>
      <c r="E604">
        <v>1.789</v>
      </c>
      <c r="F604">
        <v>0.01676914477361655</v>
      </c>
      <c r="G604">
        <v>-0.1098197964969686</v>
      </c>
      <c r="H604">
        <v>0.05</v>
      </c>
      <c r="I604">
        <v>-0.04430572258382215</v>
      </c>
      <c r="J604" t="s">
        <v>529</v>
      </c>
      <c r="K604" t="s">
        <v>782</v>
      </c>
      <c r="L604">
        <v>1.2</v>
      </c>
      <c r="M604">
        <v>0.6</v>
      </c>
      <c r="N604">
        <v>0.5</v>
      </c>
      <c r="O604">
        <v>0</v>
      </c>
      <c r="P604">
        <v>0</v>
      </c>
      <c r="Q604">
        <v>0.401211920105279</v>
      </c>
      <c r="R604" t="s">
        <v>784</v>
      </c>
      <c r="S604" t="s">
        <v>788</v>
      </c>
      <c r="T604">
        <v>1217.131097</v>
      </c>
      <c r="U604" s="2">
        <v>44491</v>
      </c>
      <c r="V604" t="s">
        <v>802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174.49</v>
      </c>
      <c r="D605">
        <v>97</v>
      </c>
      <c r="E605">
        <v>1.798865979381443</v>
      </c>
      <c r="F605">
        <v>0.01902687833113645</v>
      </c>
      <c r="G605">
        <v>-0.1107983941827161</v>
      </c>
      <c r="H605">
        <v>0.04</v>
      </c>
      <c r="I605">
        <v>-0.0476171530752808</v>
      </c>
      <c r="J605" t="s">
        <v>529</v>
      </c>
      <c r="K605" t="s">
        <v>782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0.846919416929346</v>
      </c>
      <c r="R605" t="s">
        <v>786</v>
      </c>
      <c r="S605" t="s">
        <v>798</v>
      </c>
      <c r="T605">
        <v>18077.67739</v>
      </c>
      <c r="U605" s="2">
        <v>44505</v>
      </c>
      <c r="V605" t="s">
        <v>803</v>
      </c>
    </row>
    <row r="606" spans="1:22">
      <c r="A606" s="1" t="s">
        <v>626</v>
      </c>
      <c r="B606">
        <f>HYPERLINK("https://www.suredividend.com/sure-analysis-ACN/","Accenture plc")</f>
        <v>0</v>
      </c>
      <c r="C606">
        <v>400.6</v>
      </c>
      <c r="D606">
        <v>201</v>
      </c>
      <c r="E606">
        <v>1.993034825870647</v>
      </c>
      <c r="F606">
        <v>0.009685471792311532</v>
      </c>
      <c r="G606">
        <v>-0.1288418128252736</v>
      </c>
      <c r="H606">
        <v>0.075</v>
      </c>
      <c r="I606">
        <v>-0.0480675526640808</v>
      </c>
      <c r="J606" t="s">
        <v>529</v>
      </c>
      <c r="K606" t="s">
        <v>782</v>
      </c>
      <c r="L606">
        <v>10.04</v>
      </c>
      <c r="M606">
        <v>3.88</v>
      </c>
      <c r="N606">
        <v>0.3864541832669323</v>
      </c>
      <c r="O606">
        <v>11</v>
      </c>
      <c r="P606">
        <v>0.07996237680867235</v>
      </c>
      <c r="Q606">
        <v>0.53790297729493</v>
      </c>
      <c r="R606" t="s">
        <v>784</v>
      </c>
      <c r="S606" t="s">
        <v>790</v>
      </c>
      <c r="T606">
        <v>247072.291959</v>
      </c>
      <c r="U606" s="2">
        <v>44476</v>
      </c>
      <c r="V606" t="s">
        <v>802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238.65</v>
      </c>
      <c r="D607">
        <v>158</v>
      </c>
      <c r="E607">
        <v>1.510443037974684</v>
      </c>
      <c r="F607">
        <v>0.0251414204902577</v>
      </c>
      <c r="G607">
        <v>-0.07917070014793948</v>
      </c>
      <c r="H607">
        <v>0.25</v>
      </c>
      <c r="I607">
        <v>0.1755506760675396</v>
      </c>
      <c r="J607" t="s">
        <v>782</v>
      </c>
      <c r="K607" t="s">
        <v>782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0.425231729516436</v>
      </c>
      <c r="R607" t="s">
        <v>786</v>
      </c>
      <c r="S607" t="s">
        <v>798</v>
      </c>
      <c r="T607">
        <v>5865.784443</v>
      </c>
      <c r="U607" s="2">
        <v>44509</v>
      </c>
      <c r="V607" t="s">
        <v>799</v>
      </c>
    </row>
    <row r="608" spans="1:22">
      <c r="A608" s="1" t="s">
        <v>628</v>
      </c>
      <c r="B608">
        <f>HYPERLINK("https://www.suredividend.com/sure-analysis-ORAN/","Orange.")</f>
        <v>0</v>
      </c>
      <c r="C608">
        <v>10.38</v>
      </c>
      <c r="D608">
        <v>15</v>
      </c>
      <c r="E608">
        <v>0.6920000000000001</v>
      </c>
      <c r="F608">
        <v>0.1040462427745665</v>
      </c>
      <c r="G608">
        <v>0.07641262065116106</v>
      </c>
      <c r="H608">
        <v>0.02</v>
      </c>
      <c r="I608">
        <v>0.1635785782215311</v>
      </c>
      <c r="J608" t="s">
        <v>782</v>
      </c>
      <c r="K608" t="s">
        <v>781</v>
      </c>
      <c r="L608">
        <v>1.51</v>
      </c>
      <c r="M608">
        <v>1.08</v>
      </c>
      <c r="N608">
        <v>0.7152317880794702</v>
      </c>
      <c r="O608">
        <v>1</v>
      </c>
      <c r="P608">
        <v>0.01087212085035083</v>
      </c>
      <c r="Q608">
        <v>-0.065861740275066</v>
      </c>
      <c r="R608" t="s">
        <v>784</v>
      </c>
      <c r="S608" t="s">
        <v>788</v>
      </c>
      <c r="T608">
        <v>27365.366808</v>
      </c>
      <c r="U608" s="2">
        <v>44496</v>
      </c>
      <c r="V608" t="s">
        <v>810</v>
      </c>
    </row>
    <row r="609" spans="1:22">
      <c r="A609" s="1" t="s">
        <v>629</v>
      </c>
      <c r="B609">
        <f>HYPERLINK("https://www.suredividend.com/sure-analysis-OHI/","Omega Healthcare Investors, Inc.")</f>
        <v>0</v>
      </c>
      <c r="C609">
        <v>27.61</v>
      </c>
      <c r="D609">
        <v>40</v>
      </c>
      <c r="E609">
        <v>0.69025</v>
      </c>
      <c r="F609">
        <v>0.09706628033321262</v>
      </c>
      <c r="G609">
        <v>0.07695787661833431</v>
      </c>
      <c r="H609">
        <v>0.02</v>
      </c>
      <c r="I609">
        <v>0.1599597808366484</v>
      </c>
      <c r="J609" t="s">
        <v>782</v>
      </c>
      <c r="K609" t="s">
        <v>352</v>
      </c>
      <c r="L609">
        <v>3.3</v>
      </c>
      <c r="M609">
        <v>2.68</v>
      </c>
      <c r="N609">
        <v>0.8121212121212122</v>
      </c>
      <c r="O609">
        <v>0</v>
      </c>
      <c r="P609">
        <v>0.01023605168466424</v>
      </c>
      <c r="Q609">
        <v>-0.225799264787791</v>
      </c>
      <c r="R609" t="s">
        <v>786</v>
      </c>
      <c r="S609" t="s">
        <v>798</v>
      </c>
      <c r="T609">
        <v>6643.480592</v>
      </c>
      <c r="U609" s="2">
        <v>44520</v>
      </c>
      <c r="V609" t="s">
        <v>804</v>
      </c>
    </row>
    <row r="610" spans="1:22">
      <c r="A610" s="1" t="s">
        <v>630</v>
      </c>
      <c r="B610">
        <f>HYPERLINK("https://www.suredividend.com/sure-analysis-KNOP/","KNOT Offshore Partners LP")</f>
        <v>0</v>
      </c>
      <c r="C610">
        <v>13.2</v>
      </c>
      <c r="D610">
        <v>17.29</v>
      </c>
      <c r="E610">
        <v>0.763447079236553</v>
      </c>
      <c r="F610">
        <v>0.1575757575757576</v>
      </c>
      <c r="G610">
        <v>0.05546591393187783</v>
      </c>
      <c r="H610">
        <v>0</v>
      </c>
      <c r="I610">
        <v>0.1597110758113314</v>
      </c>
      <c r="J610" t="s">
        <v>782</v>
      </c>
      <c r="K610" t="s">
        <v>352</v>
      </c>
      <c r="L610">
        <v>2.47</v>
      </c>
      <c r="M610">
        <v>2.08</v>
      </c>
      <c r="N610">
        <v>0.8421052631578947</v>
      </c>
      <c r="O610">
        <v>0</v>
      </c>
      <c r="P610">
        <v>0</v>
      </c>
      <c r="Q610">
        <v>-0.07784734537295</v>
      </c>
      <c r="R610" t="s">
        <v>785</v>
      </c>
      <c r="S610" t="s">
        <v>791</v>
      </c>
      <c r="T610">
        <v>419.265578</v>
      </c>
      <c r="U610" s="2">
        <v>44520</v>
      </c>
      <c r="V610" t="s">
        <v>799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58.36</v>
      </c>
      <c r="D611">
        <v>80</v>
      </c>
      <c r="E611">
        <v>0.7295</v>
      </c>
      <c r="F611">
        <v>0.05483207676490747</v>
      </c>
      <c r="G611">
        <v>0.06511117374245723</v>
      </c>
      <c r="H611">
        <v>0.05</v>
      </c>
      <c r="I611">
        <v>0.1563452388029001</v>
      </c>
      <c r="J611" t="s">
        <v>782</v>
      </c>
      <c r="K611" t="s">
        <v>352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-0.010736369038647</v>
      </c>
      <c r="R611" t="s">
        <v>784</v>
      </c>
      <c r="S611" t="s">
        <v>794</v>
      </c>
      <c r="T611">
        <v>44142.94046</v>
      </c>
      <c r="U611" s="2">
        <v>44498</v>
      </c>
      <c r="V611" t="s">
        <v>806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5.3</v>
      </c>
      <c r="D612">
        <v>6</v>
      </c>
      <c r="E612">
        <v>0.8833333333333333</v>
      </c>
      <c r="F612">
        <v>0.02452830188679245</v>
      </c>
      <c r="G612">
        <v>0.02512087219852699</v>
      </c>
      <c r="H612">
        <v>0.1</v>
      </c>
      <c r="I612">
        <v>0.1512335210208537</v>
      </c>
      <c r="J612" t="s">
        <v>782</v>
      </c>
      <c r="K612" t="s">
        <v>782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-0.009863996413092001</v>
      </c>
      <c r="R612" t="s">
        <v>784</v>
      </c>
      <c r="S612" t="s">
        <v>797</v>
      </c>
      <c r="T612">
        <v>905.231138</v>
      </c>
      <c r="U612" s="2">
        <v>44509</v>
      </c>
      <c r="V612" t="s">
        <v>807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35.64</v>
      </c>
      <c r="D613">
        <v>44</v>
      </c>
      <c r="E613">
        <v>0.8100000000000001</v>
      </c>
      <c r="F613">
        <v>0.09820426487093153</v>
      </c>
      <c r="G613">
        <v>0.04304488151063257</v>
      </c>
      <c r="H613">
        <v>0.04</v>
      </c>
      <c r="I613">
        <v>0.147900273518353</v>
      </c>
      <c r="J613" t="s">
        <v>782</v>
      </c>
      <c r="K613" t="s">
        <v>781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0.306680897110923</v>
      </c>
      <c r="R613" t="s">
        <v>785</v>
      </c>
      <c r="S613" t="s">
        <v>797</v>
      </c>
      <c r="T613">
        <v>8051.273548</v>
      </c>
      <c r="U613" s="2">
        <v>44501</v>
      </c>
      <c r="V613" t="s">
        <v>807</v>
      </c>
    </row>
    <row r="614" spans="1:22">
      <c r="A614" s="1" t="s">
        <v>634</v>
      </c>
      <c r="B614">
        <f>HYPERLINK("https://www.suredividend.com/sure-analysis-IEP/","Icahn Enterprises L P")</f>
        <v>0</v>
      </c>
      <c r="C614">
        <v>49.94</v>
      </c>
      <c r="D614">
        <v>57</v>
      </c>
      <c r="E614">
        <v>0.876140350877193</v>
      </c>
      <c r="F614">
        <v>0.1601922306768122</v>
      </c>
      <c r="G614">
        <v>0.02679858977509531</v>
      </c>
      <c r="H614">
        <v>0</v>
      </c>
      <c r="I614">
        <v>0.1419961486075347</v>
      </c>
      <c r="J614" t="s">
        <v>782</v>
      </c>
      <c r="K614" t="s">
        <v>352</v>
      </c>
      <c r="L614">
        <v>8</v>
      </c>
      <c r="M614">
        <v>8</v>
      </c>
      <c r="N614">
        <v>1</v>
      </c>
      <c r="O614">
        <v>0</v>
      </c>
      <c r="P614">
        <v>0</v>
      </c>
      <c r="Q614">
        <v>0.124407732358081</v>
      </c>
      <c r="R614" t="s">
        <v>785</v>
      </c>
      <c r="S614" t="s">
        <v>791</v>
      </c>
      <c r="T614">
        <v>13910.775511</v>
      </c>
      <c r="U614" s="2">
        <v>44513</v>
      </c>
      <c r="V614" t="s">
        <v>799</v>
      </c>
    </row>
    <row r="615" spans="1:22">
      <c r="A615" s="1" t="s">
        <v>635</v>
      </c>
      <c r="B615">
        <f>HYPERLINK("https://www.suredividend.com/sure-analysis-GECC/","Great Elm Capital Corp")</f>
        <v>0</v>
      </c>
      <c r="C615">
        <v>3.26</v>
      </c>
      <c r="D615">
        <v>3.5</v>
      </c>
      <c r="E615">
        <v>0.9314285714285714</v>
      </c>
      <c r="F615">
        <v>0.1226993865030675</v>
      </c>
      <c r="G615">
        <v>0.01430855588331936</v>
      </c>
      <c r="H615">
        <v>0.042</v>
      </c>
      <c r="I615">
        <v>0.140817439725289</v>
      </c>
      <c r="J615" t="s">
        <v>782</v>
      </c>
      <c r="K615" t="s">
        <v>352</v>
      </c>
      <c r="L615">
        <v>0.33</v>
      </c>
      <c r="M615">
        <v>0.4</v>
      </c>
      <c r="N615">
        <v>1.212121212121212</v>
      </c>
      <c r="O615">
        <v>0</v>
      </c>
      <c r="P615">
        <v>0</v>
      </c>
      <c r="Q615">
        <v>-0.09781054021344401</v>
      </c>
      <c r="R615" t="s">
        <v>787</v>
      </c>
      <c r="S615" t="s">
        <v>793</v>
      </c>
      <c r="T615">
        <v>88.250591</v>
      </c>
      <c r="U615" s="2">
        <v>44509</v>
      </c>
      <c r="V615" t="s">
        <v>808</v>
      </c>
    </row>
    <row r="616" spans="1:22">
      <c r="A616" s="1" t="s">
        <v>636</v>
      </c>
      <c r="B616">
        <f>HYPERLINK("https://www.suredividend.com/sure-analysis-APAM/","Artisan Partners Asset Management Inc")</f>
        <v>0</v>
      </c>
      <c r="C616">
        <v>46.73</v>
      </c>
      <c r="D616">
        <v>55</v>
      </c>
      <c r="E616">
        <v>0.8496363636363636</v>
      </c>
      <c r="F616">
        <v>0.09158998502032957</v>
      </c>
      <c r="G616">
        <v>0.03312621507026292</v>
      </c>
      <c r="H616">
        <v>0.04</v>
      </c>
      <c r="I616">
        <v>0.1391709070943177</v>
      </c>
      <c r="J616" t="s">
        <v>782</v>
      </c>
      <c r="K616" t="s">
        <v>352</v>
      </c>
      <c r="L616">
        <v>5</v>
      </c>
      <c r="M616">
        <v>4.28</v>
      </c>
      <c r="N616">
        <v>0.8560000000000001</v>
      </c>
      <c r="O616">
        <v>2</v>
      </c>
      <c r="P616">
        <v>0.02019566627646463</v>
      </c>
      <c r="Q616">
        <v>0.004962179315315</v>
      </c>
      <c r="R616" t="s">
        <v>784</v>
      </c>
      <c r="S616" t="s">
        <v>793</v>
      </c>
      <c r="T616">
        <v>2982.322695</v>
      </c>
      <c r="U616" s="2">
        <v>44520</v>
      </c>
      <c r="V616" t="s">
        <v>804</v>
      </c>
    </row>
    <row r="617" spans="1:22">
      <c r="A617" s="1" t="s">
        <v>637</v>
      </c>
      <c r="B617">
        <f>HYPERLINK("https://www.suredividend.com/sure-analysis-EIFZF/","Exchange Income Corp.")</f>
        <v>0</v>
      </c>
      <c r="C617">
        <v>31.1924</v>
      </c>
      <c r="D617">
        <v>35</v>
      </c>
      <c r="E617">
        <v>0.8912114285714285</v>
      </c>
      <c r="F617">
        <v>0.05898872802349291</v>
      </c>
      <c r="G617">
        <v>0.02330206513148925</v>
      </c>
      <c r="H617">
        <v>0.07000000000000001</v>
      </c>
      <c r="I617">
        <v>0.1377113576667479</v>
      </c>
      <c r="J617" t="s">
        <v>782</v>
      </c>
      <c r="K617" t="s">
        <v>352</v>
      </c>
      <c r="L617">
        <v>2.3</v>
      </c>
      <c r="M617">
        <v>1.84</v>
      </c>
      <c r="N617">
        <v>0.8</v>
      </c>
      <c r="O617">
        <v>0</v>
      </c>
      <c r="P617">
        <v>0.04012620718096094</v>
      </c>
      <c r="Q617">
        <v>0.05808683853459901</v>
      </c>
      <c r="R617" t="s">
        <v>784</v>
      </c>
      <c r="S617" t="s">
        <v>791</v>
      </c>
      <c r="T617">
        <v>1442.760169</v>
      </c>
      <c r="U617" s="2">
        <v>44516</v>
      </c>
      <c r="V617" t="s">
        <v>799</v>
      </c>
    </row>
    <row r="618" spans="1:22">
      <c r="A618" s="1" t="s">
        <v>638</v>
      </c>
      <c r="B618">
        <f>HYPERLINK("https://www.suredividend.com/sure-analysis-CLPR/","Clipper Realty Inc")</f>
        <v>0</v>
      </c>
      <c r="C618">
        <v>9.06</v>
      </c>
      <c r="D618">
        <v>11.7</v>
      </c>
      <c r="E618">
        <v>0.7743589743589745</v>
      </c>
      <c r="F618">
        <v>0.04194260485651214</v>
      </c>
      <c r="G618">
        <v>0.05247438012039551</v>
      </c>
      <c r="H618">
        <v>0.055</v>
      </c>
      <c r="I618">
        <v>0.1366762127385859</v>
      </c>
      <c r="J618" t="s">
        <v>782</v>
      </c>
      <c r="K618" t="s">
        <v>529</v>
      </c>
      <c r="L618">
        <v>0.35</v>
      </c>
      <c r="M618">
        <v>0.38</v>
      </c>
      <c r="N618">
        <v>1.085714285714286</v>
      </c>
      <c r="O618">
        <v>0</v>
      </c>
      <c r="P618">
        <v>0</v>
      </c>
      <c r="Q618">
        <v>0.472036155273989</v>
      </c>
      <c r="R618" t="s">
        <v>786</v>
      </c>
      <c r="S618" t="s">
        <v>798</v>
      </c>
      <c r="T618">
        <v>146.496639</v>
      </c>
      <c r="U618" s="2">
        <v>44511</v>
      </c>
      <c r="V618" t="s">
        <v>808</v>
      </c>
    </row>
    <row r="619" spans="1:22">
      <c r="A619" s="1" t="s">
        <v>639</v>
      </c>
      <c r="B619">
        <f>HYPERLINK("https://www.suredividend.com/sure-analysis-SU/","Suncor Energy, Inc.")</f>
        <v>0</v>
      </c>
      <c r="C619">
        <v>23.69</v>
      </c>
      <c r="D619">
        <v>29</v>
      </c>
      <c r="E619">
        <v>0.816896551724138</v>
      </c>
      <c r="F619">
        <v>0.05740818910932883</v>
      </c>
      <c r="G619">
        <v>0.04127774745834412</v>
      </c>
      <c r="H619">
        <v>0.05</v>
      </c>
      <c r="I619">
        <v>0.136487827944906</v>
      </c>
      <c r="J619" t="s">
        <v>782</v>
      </c>
      <c r="K619" t="s">
        <v>529</v>
      </c>
      <c r="L619">
        <v>1.36</v>
      </c>
      <c r="M619">
        <v>1.36</v>
      </c>
      <c r="N619">
        <v>1</v>
      </c>
      <c r="O619">
        <v>1</v>
      </c>
      <c r="P619">
        <v>0.0505145404837426</v>
      </c>
      <c r="Q619">
        <v>0.353576528027267</v>
      </c>
      <c r="R619" t="s">
        <v>784</v>
      </c>
      <c r="S619" t="s">
        <v>797</v>
      </c>
      <c r="T619">
        <v>34214.524393</v>
      </c>
      <c r="U619" s="2">
        <v>44502</v>
      </c>
      <c r="V619" t="s">
        <v>807</v>
      </c>
    </row>
    <row r="620" spans="1:22">
      <c r="A620" s="1" t="s">
        <v>640</v>
      </c>
      <c r="B620">
        <f>HYPERLINK("https://www.suredividend.com/sure-analysis-CORR/","CorEnergy Infrastructure Trust Inc")</f>
        <v>0</v>
      </c>
      <c r="C620">
        <v>3.31</v>
      </c>
      <c r="D620">
        <v>4.69</v>
      </c>
      <c r="E620">
        <v>0.7057569296375266</v>
      </c>
      <c r="F620">
        <v>0.06042296072507553</v>
      </c>
      <c r="G620">
        <v>0.07218313035507884</v>
      </c>
      <c r="H620">
        <v>0.02</v>
      </c>
      <c r="I620">
        <v>0.1329374575148148</v>
      </c>
      <c r="J620" t="s">
        <v>782</v>
      </c>
      <c r="K620" t="s">
        <v>529</v>
      </c>
      <c r="L620">
        <v>-1.19</v>
      </c>
      <c r="M620">
        <v>0.2</v>
      </c>
      <c r="N620">
        <v>9.99</v>
      </c>
      <c r="O620">
        <v>0</v>
      </c>
      <c r="P620">
        <v>0</v>
      </c>
      <c r="Q620">
        <v>-0.5815730699889671</v>
      </c>
      <c r="R620" t="s">
        <v>784</v>
      </c>
      <c r="S620" t="s">
        <v>798</v>
      </c>
      <c r="T620">
        <v>46.235745</v>
      </c>
      <c r="U620" s="2">
        <v>44514</v>
      </c>
      <c r="V620" t="s">
        <v>800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27.56</v>
      </c>
      <c r="D621">
        <v>31</v>
      </c>
      <c r="E621">
        <v>0.8890322580645161</v>
      </c>
      <c r="F621">
        <v>0.05224963715529753</v>
      </c>
      <c r="G621">
        <v>0.02380323175940546</v>
      </c>
      <c r="H621">
        <v>0.06</v>
      </c>
      <c r="I621">
        <v>0.1269578425603068</v>
      </c>
      <c r="J621" t="s">
        <v>782</v>
      </c>
      <c r="K621" t="s">
        <v>352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0.113154661033964</v>
      </c>
      <c r="R621" t="s">
        <v>786</v>
      </c>
      <c r="S621" t="s">
        <v>798</v>
      </c>
      <c r="T621">
        <v>17434.384035</v>
      </c>
      <c r="U621" s="2">
        <v>44509</v>
      </c>
      <c r="V621" t="s">
        <v>807</v>
      </c>
    </row>
    <row r="622" spans="1:22">
      <c r="A622" s="1" t="s">
        <v>642</v>
      </c>
      <c r="B622">
        <f>HYPERLINK("https://www.suredividend.com/sure-analysis-TEF/","Telefonica S.A")</f>
        <v>0</v>
      </c>
      <c r="C622">
        <v>4.26</v>
      </c>
      <c r="D622">
        <v>4.95</v>
      </c>
      <c r="E622">
        <v>0.8606060606060605</v>
      </c>
      <c r="F622">
        <v>0.1056338028169014</v>
      </c>
      <c r="G622">
        <v>0.03047893876501417</v>
      </c>
      <c r="H622">
        <v>0.02</v>
      </c>
      <c r="I622">
        <v>0.1261273796498239</v>
      </c>
      <c r="J622" t="s">
        <v>782</v>
      </c>
      <c r="K622" t="s">
        <v>352</v>
      </c>
      <c r="L622">
        <v>0.55</v>
      </c>
      <c r="M622">
        <v>0.45</v>
      </c>
      <c r="N622">
        <v>0.8181818181818181</v>
      </c>
      <c r="O622">
        <v>0</v>
      </c>
      <c r="P622">
        <v>0</v>
      </c>
      <c r="Q622">
        <v>0.05273394763074001</v>
      </c>
      <c r="R622" t="s">
        <v>784</v>
      </c>
      <c r="S622" t="s">
        <v>788</v>
      </c>
      <c r="T622">
        <v>24412.771685</v>
      </c>
      <c r="U622" s="2">
        <v>44529</v>
      </c>
      <c r="V622" t="s">
        <v>802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13.15</v>
      </c>
      <c r="D623">
        <v>14.5</v>
      </c>
      <c r="E623">
        <v>0.906896551724138</v>
      </c>
      <c r="F623">
        <v>0.09125475285171102</v>
      </c>
      <c r="G623">
        <v>0.01973763962909492</v>
      </c>
      <c r="H623">
        <v>0.038</v>
      </c>
      <c r="I623">
        <v>0.1256881175780584</v>
      </c>
      <c r="J623" t="s">
        <v>782</v>
      </c>
      <c r="K623" t="s">
        <v>352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-0.205561072492552</v>
      </c>
      <c r="R623" t="s">
        <v>786</v>
      </c>
      <c r="S623" t="s">
        <v>798</v>
      </c>
      <c r="T623">
        <v>3018.550814</v>
      </c>
      <c r="U623" s="2">
        <v>44509</v>
      </c>
      <c r="V623" t="s">
        <v>808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5.83</v>
      </c>
      <c r="D624">
        <v>6.3</v>
      </c>
      <c r="E624">
        <v>0.9253968253968254</v>
      </c>
      <c r="F624">
        <v>0.1166380789022299</v>
      </c>
      <c r="G624">
        <v>0.01562737663744285</v>
      </c>
      <c r="H624">
        <v>0.018</v>
      </c>
      <c r="I624">
        <v>0.121589158850762</v>
      </c>
      <c r="J624" t="s">
        <v>782</v>
      </c>
      <c r="K624" t="s">
        <v>352</v>
      </c>
      <c r="L624">
        <v>0.75</v>
      </c>
      <c r="M624">
        <v>0.68</v>
      </c>
      <c r="N624">
        <v>0.9066666666666667</v>
      </c>
      <c r="O624">
        <v>0</v>
      </c>
      <c r="P624">
        <v>0.005814345444414393</v>
      </c>
      <c r="Q624">
        <v>-0.015587908165806</v>
      </c>
      <c r="R624" t="s">
        <v>786</v>
      </c>
      <c r="S624" t="s">
        <v>798</v>
      </c>
      <c r="T624">
        <v>2039.357403</v>
      </c>
      <c r="U624" s="2">
        <v>44511</v>
      </c>
      <c r="V624" t="s">
        <v>808</v>
      </c>
    </row>
    <row r="625" spans="1:22">
      <c r="A625" s="1" t="s">
        <v>645</v>
      </c>
      <c r="B625">
        <f>HYPERLINK("https://www.suredividend.com/sure-analysis-USAC/","USA Compression Partners LP")</f>
        <v>0</v>
      </c>
      <c r="C625">
        <v>14.88</v>
      </c>
      <c r="D625">
        <v>14.8</v>
      </c>
      <c r="E625">
        <v>1.005405405405405</v>
      </c>
      <c r="F625">
        <v>0.1411290322580645</v>
      </c>
      <c r="G625">
        <v>-0.001077588710825306</v>
      </c>
      <c r="H625">
        <v>0.01</v>
      </c>
      <c r="I625">
        <v>0.1185552959565284</v>
      </c>
      <c r="J625" t="s">
        <v>782</v>
      </c>
      <c r="K625" t="s">
        <v>352</v>
      </c>
      <c r="L625">
        <v>2.11</v>
      </c>
      <c r="M625">
        <v>2.1</v>
      </c>
      <c r="N625">
        <v>0.9952606635071091</v>
      </c>
      <c r="O625">
        <v>0</v>
      </c>
      <c r="P625">
        <v>0</v>
      </c>
      <c r="Q625">
        <v>0.351399824237315</v>
      </c>
      <c r="R625" t="s">
        <v>785</v>
      </c>
      <c r="S625" t="s">
        <v>797</v>
      </c>
      <c r="T625">
        <v>1462.803005</v>
      </c>
      <c r="U625" s="2">
        <v>44502</v>
      </c>
      <c r="V625" t="s">
        <v>806</v>
      </c>
    </row>
    <row r="626" spans="1:22">
      <c r="A626" s="1" t="s">
        <v>646</v>
      </c>
      <c r="B626">
        <f>HYPERLINK("https://www.suredividend.com/sure-analysis-EFC/","Ellington Financial Inc")</f>
        <v>0</v>
      </c>
      <c r="C626">
        <v>16.63</v>
      </c>
      <c r="D626">
        <v>18.8</v>
      </c>
      <c r="E626">
        <v>0.8845744680851063</v>
      </c>
      <c r="F626">
        <v>0.1082381238725195</v>
      </c>
      <c r="G626">
        <v>0.02483304390295293</v>
      </c>
      <c r="H626">
        <v>0.01</v>
      </c>
      <c r="I626">
        <v>0.1178478006009116</v>
      </c>
      <c r="J626" t="s">
        <v>782</v>
      </c>
      <c r="K626" t="s">
        <v>352</v>
      </c>
      <c r="L626">
        <v>1.88</v>
      </c>
      <c r="M626">
        <v>1.8</v>
      </c>
      <c r="N626">
        <v>0.9574468085106383</v>
      </c>
      <c r="O626">
        <v>1</v>
      </c>
      <c r="P626">
        <v>0.009805797673485328</v>
      </c>
      <c r="Q626">
        <v>0.199839830678145</v>
      </c>
      <c r="R626" t="s">
        <v>786</v>
      </c>
      <c r="S626" t="s">
        <v>793</v>
      </c>
      <c r="T626">
        <v>963.636252</v>
      </c>
      <c r="U626" s="2">
        <v>44509</v>
      </c>
      <c r="V626" t="s">
        <v>799</v>
      </c>
    </row>
    <row r="627" spans="1:22">
      <c r="A627" s="1" t="s">
        <v>647</v>
      </c>
      <c r="B627">
        <f>HYPERLINK("https://www.suredividend.com/sure-analysis-EPR/","EPR Properties")</f>
        <v>0</v>
      </c>
      <c r="C627">
        <v>44.76</v>
      </c>
      <c r="D627">
        <v>42</v>
      </c>
      <c r="E627">
        <v>1.065714285714286</v>
      </c>
      <c r="F627">
        <v>0.06702412868632708</v>
      </c>
      <c r="G627">
        <v>-0.01264838129092727</v>
      </c>
      <c r="H627">
        <v>0.08</v>
      </c>
      <c r="I627">
        <v>0.1178360029931935</v>
      </c>
      <c r="J627" t="s">
        <v>782</v>
      </c>
      <c r="K627" t="s">
        <v>352</v>
      </c>
      <c r="L627">
        <v>3</v>
      </c>
      <c r="M627">
        <v>3</v>
      </c>
      <c r="N627">
        <v>1</v>
      </c>
      <c r="O627">
        <v>0</v>
      </c>
      <c r="P627">
        <v>0.03012896281839894</v>
      </c>
      <c r="Q627">
        <v>0.432123823241125</v>
      </c>
      <c r="R627" t="s">
        <v>786</v>
      </c>
      <c r="S627" t="s">
        <v>798</v>
      </c>
      <c r="T627">
        <v>3399.158876</v>
      </c>
      <c r="U627" s="2">
        <v>44522</v>
      </c>
      <c r="V627" t="s">
        <v>804</v>
      </c>
    </row>
    <row r="628" spans="1:22">
      <c r="A628" s="1" t="s">
        <v>648</v>
      </c>
      <c r="B628">
        <f>HYPERLINK("https://www.suredividend.com/sure-analysis-MGP/","MGM Growth Properties LLC")</f>
        <v>0</v>
      </c>
      <c r="C628">
        <v>37.24</v>
      </c>
      <c r="D628">
        <v>38</v>
      </c>
      <c r="E628">
        <v>0.9800000000000001</v>
      </c>
      <c r="F628">
        <v>0.05639097744360902</v>
      </c>
      <c r="G628">
        <v>0.004048715456574481</v>
      </c>
      <c r="H628">
        <v>0.07000000000000001</v>
      </c>
      <c r="I628">
        <v>0.1175389230947814</v>
      </c>
      <c r="J628" t="s">
        <v>782</v>
      </c>
      <c r="K628" t="s">
        <v>352</v>
      </c>
      <c r="L628">
        <v>2.54</v>
      </c>
      <c r="M628">
        <v>2.1</v>
      </c>
      <c r="N628">
        <v>0.8267716535433071</v>
      </c>
      <c r="O628">
        <v>5</v>
      </c>
      <c r="P628">
        <v>0.03382368391565871</v>
      </c>
      <c r="Q628">
        <v>0.207215660064521</v>
      </c>
      <c r="R628" t="s">
        <v>786</v>
      </c>
      <c r="S628" t="s">
        <v>798</v>
      </c>
      <c r="T628">
        <v>5885.747533</v>
      </c>
      <c r="U628" s="2">
        <v>44507</v>
      </c>
      <c r="V628" t="s">
        <v>801</v>
      </c>
    </row>
    <row r="629" spans="1:22">
      <c r="A629" s="1" t="s">
        <v>649</v>
      </c>
      <c r="B629">
        <f>HYPERLINK("https://www.suredividend.com/sure-analysis-PINE/","Alpine Income Property Trust Inc")</f>
        <v>0</v>
      </c>
      <c r="C629">
        <v>19.01</v>
      </c>
      <c r="D629">
        <v>18.88</v>
      </c>
      <c r="E629">
        <v>1.006885593220339</v>
      </c>
      <c r="F629">
        <v>0.05681220410310363</v>
      </c>
      <c r="G629">
        <v>-0.001371457847540669</v>
      </c>
      <c r="H629">
        <v>0.07000000000000001</v>
      </c>
      <c r="I629">
        <v>0.1173837370208242</v>
      </c>
      <c r="J629" t="s">
        <v>782</v>
      </c>
      <c r="K629" t="s">
        <v>352</v>
      </c>
      <c r="L629">
        <v>1.51</v>
      </c>
      <c r="M629">
        <v>1.08</v>
      </c>
      <c r="N629">
        <v>0.7152317880794702</v>
      </c>
      <c r="O629">
        <v>3</v>
      </c>
      <c r="P629">
        <v>0.06932726018096602</v>
      </c>
      <c r="Q629">
        <v>0.306831954015028</v>
      </c>
      <c r="R629" t="s">
        <v>786</v>
      </c>
      <c r="S629" t="s">
        <v>798</v>
      </c>
      <c r="T629">
        <v>213.29029</v>
      </c>
      <c r="U629" s="2">
        <v>44494</v>
      </c>
      <c r="V629" t="s">
        <v>799</v>
      </c>
    </row>
    <row r="630" spans="1:22">
      <c r="A630" s="1" t="s">
        <v>650</v>
      </c>
      <c r="B630">
        <f>HYPERLINK("https://www.suredividend.com/sure-analysis-NEWT/","Newtek Business Services Corp")</f>
        <v>0</v>
      </c>
      <c r="C630">
        <v>29.92</v>
      </c>
      <c r="D630">
        <v>30</v>
      </c>
      <c r="E630">
        <v>0.9973333333333334</v>
      </c>
      <c r="F630">
        <v>0.1052807486631016</v>
      </c>
      <c r="G630">
        <v>0.0005341883389753388</v>
      </c>
      <c r="H630">
        <v>0.03</v>
      </c>
      <c r="I630">
        <v>0.1166311630999273</v>
      </c>
      <c r="J630" t="s">
        <v>782</v>
      </c>
      <c r="K630" t="s">
        <v>352</v>
      </c>
      <c r="L630">
        <v>3.3</v>
      </c>
      <c r="M630">
        <v>3.15</v>
      </c>
      <c r="N630">
        <v>0.9545454545454546</v>
      </c>
      <c r="O630">
        <v>0</v>
      </c>
      <c r="P630">
        <v>0.02877218634269907</v>
      </c>
      <c r="Q630">
        <v>0.7686371738966341</v>
      </c>
      <c r="R630" t="s">
        <v>787</v>
      </c>
      <c r="S630" t="s">
        <v>793</v>
      </c>
      <c r="T630">
        <v>686.79222</v>
      </c>
      <c r="U630" s="2">
        <v>44516</v>
      </c>
      <c r="V630" t="s">
        <v>799</v>
      </c>
    </row>
    <row r="631" spans="1:22">
      <c r="A631" s="1" t="s">
        <v>651</v>
      </c>
      <c r="B631">
        <f>HYPERLINK("https://www.suredividend.com/sure-analysis-TRP/","TC Energy Corporation")</f>
        <v>0</v>
      </c>
      <c r="C631">
        <v>45.84</v>
      </c>
      <c r="D631">
        <v>53</v>
      </c>
      <c r="E631">
        <v>0.8649056603773586</v>
      </c>
      <c r="F631">
        <v>0.06020942408376963</v>
      </c>
      <c r="G631">
        <v>0.0294523566078102</v>
      </c>
      <c r="H631">
        <v>0.04</v>
      </c>
      <c r="I631">
        <v>0.1166270183552895</v>
      </c>
      <c r="J631" t="s">
        <v>782</v>
      </c>
      <c r="K631" t="s">
        <v>352</v>
      </c>
      <c r="L631">
        <v>3.3</v>
      </c>
      <c r="M631">
        <v>2.76</v>
      </c>
      <c r="N631">
        <v>0.8363636363636363</v>
      </c>
      <c r="O631">
        <v>6</v>
      </c>
      <c r="P631">
        <v>0.03002598081465924</v>
      </c>
      <c r="Q631">
        <v>0.073588126545039</v>
      </c>
      <c r="R631" t="s">
        <v>784</v>
      </c>
      <c r="S631" t="s">
        <v>797</v>
      </c>
      <c r="T631">
        <v>44526.926237</v>
      </c>
      <c r="U631" s="2">
        <v>44510</v>
      </c>
      <c r="V631" t="s">
        <v>807</v>
      </c>
    </row>
    <row r="632" spans="1:22">
      <c r="A632" s="1" t="s">
        <v>652</v>
      </c>
      <c r="B632">
        <f>HYPERLINK("https://www.suredividend.com/sure-analysis-SFL/","SFL Corporation Ltd")</f>
        <v>0</v>
      </c>
      <c r="C632">
        <v>8.06</v>
      </c>
      <c r="D632">
        <v>8.640000000000001</v>
      </c>
      <c r="E632">
        <v>0.9328703703703703</v>
      </c>
      <c r="F632">
        <v>0.08933002481389578</v>
      </c>
      <c r="G632">
        <v>0.01399482870494761</v>
      </c>
      <c r="H632">
        <v>0.03</v>
      </c>
      <c r="I632">
        <v>0.1157959083346849</v>
      </c>
      <c r="J632" t="s">
        <v>782</v>
      </c>
      <c r="K632" t="s">
        <v>352</v>
      </c>
      <c r="L632">
        <v>0.96</v>
      </c>
      <c r="M632">
        <v>0.72</v>
      </c>
      <c r="N632">
        <v>0.75</v>
      </c>
      <c r="O632">
        <v>1</v>
      </c>
      <c r="P632">
        <v>0.02884302866442456</v>
      </c>
      <c r="Q632">
        <v>0.358769314177283</v>
      </c>
      <c r="R632" t="s">
        <v>784</v>
      </c>
      <c r="S632" t="s">
        <v>791</v>
      </c>
      <c r="T632">
        <v>1027.563102</v>
      </c>
      <c r="U632" s="2">
        <v>44517</v>
      </c>
      <c r="V632" t="s">
        <v>799</v>
      </c>
    </row>
    <row r="633" spans="1:22">
      <c r="A633" s="1" t="s">
        <v>653</v>
      </c>
      <c r="B633">
        <f>HYPERLINK("https://www.suredividend.com/sure-analysis-VGR/","Vector Group Ltd")</f>
        <v>0</v>
      </c>
      <c r="C633">
        <v>15.72</v>
      </c>
      <c r="D633">
        <v>20</v>
      </c>
      <c r="E633">
        <v>0.786</v>
      </c>
      <c r="F633">
        <v>0.05089058524173028</v>
      </c>
      <c r="G633">
        <v>0.04933821843580466</v>
      </c>
      <c r="H633">
        <v>0.03</v>
      </c>
      <c r="I633">
        <v>0.1157756965232304</v>
      </c>
      <c r="J633" t="s">
        <v>782</v>
      </c>
      <c r="K633" t="s">
        <v>352</v>
      </c>
      <c r="L633">
        <v>1</v>
      </c>
      <c r="M633">
        <v>0.8</v>
      </c>
      <c r="N633">
        <v>0.8</v>
      </c>
      <c r="O633">
        <v>0</v>
      </c>
      <c r="P633">
        <v>0</v>
      </c>
      <c r="Q633">
        <v>0.311065628774661</v>
      </c>
      <c r="R633" t="s">
        <v>784</v>
      </c>
      <c r="S633" t="s">
        <v>795</v>
      </c>
      <c r="T633">
        <v>2406.385844</v>
      </c>
      <c r="U633" s="2">
        <v>44454</v>
      </c>
      <c r="V633" t="s">
        <v>805</v>
      </c>
    </row>
    <row r="634" spans="1:22">
      <c r="A634" s="1" t="s">
        <v>654</v>
      </c>
      <c r="B634">
        <f>HYPERLINK("https://www.suredividend.com/sure-analysis-CQP/","Cheniere Energy Partners LP")</f>
        <v>0</v>
      </c>
      <c r="C634">
        <v>40.44</v>
      </c>
      <c r="D634">
        <v>45</v>
      </c>
      <c r="E634">
        <v>0.8986666666666666</v>
      </c>
      <c r="F634">
        <v>0.06577645895153314</v>
      </c>
      <c r="G634">
        <v>0.02159856300559615</v>
      </c>
      <c r="H634">
        <v>0.04</v>
      </c>
      <c r="I634">
        <v>0.112946564719516</v>
      </c>
      <c r="J634" t="s">
        <v>782</v>
      </c>
      <c r="K634" t="s">
        <v>352</v>
      </c>
      <c r="L634">
        <v>2.9</v>
      </c>
      <c r="M634">
        <v>2.66</v>
      </c>
      <c r="N634">
        <v>0.9172413793103449</v>
      </c>
      <c r="O634">
        <v>5</v>
      </c>
      <c r="P634">
        <v>0.02434894295516754</v>
      </c>
      <c r="Q634">
        <v>0.139848271660453</v>
      </c>
      <c r="R634" t="s">
        <v>785</v>
      </c>
      <c r="S634" t="s">
        <v>797</v>
      </c>
      <c r="T634">
        <v>19017.366728</v>
      </c>
      <c r="U634" s="2">
        <v>44509</v>
      </c>
      <c r="V634" t="s">
        <v>807</v>
      </c>
    </row>
    <row r="635" spans="1:22">
      <c r="A635" s="1" t="s">
        <v>655</v>
      </c>
      <c r="B635">
        <f>HYPERLINK("https://www.suredividend.com/sure-analysis-LTC/","LTC Properties, Inc.")</f>
        <v>0</v>
      </c>
      <c r="C635">
        <v>33.64</v>
      </c>
      <c r="D635">
        <v>36</v>
      </c>
      <c r="E635">
        <v>0.9344444444444444</v>
      </c>
      <c r="F635">
        <v>0.06777645659928655</v>
      </c>
      <c r="G635">
        <v>0.01365298291097217</v>
      </c>
      <c r="H635">
        <v>0.05</v>
      </c>
      <c r="I635">
        <v>0.1125758660768093</v>
      </c>
      <c r="J635" t="s">
        <v>782</v>
      </c>
      <c r="K635" t="s">
        <v>352</v>
      </c>
      <c r="L635">
        <v>2.4</v>
      </c>
      <c r="M635">
        <v>2.28</v>
      </c>
      <c r="N635">
        <v>0.95</v>
      </c>
      <c r="O635">
        <v>0</v>
      </c>
      <c r="P635">
        <v>0</v>
      </c>
      <c r="Q635">
        <v>-0.114821653153514</v>
      </c>
      <c r="R635" t="s">
        <v>786</v>
      </c>
      <c r="S635" t="s">
        <v>798</v>
      </c>
      <c r="T635">
        <v>1302.493376</v>
      </c>
      <c r="U635" s="2">
        <v>44510</v>
      </c>
      <c r="V635" t="s">
        <v>807</v>
      </c>
    </row>
    <row r="636" spans="1:22">
      <c r="A636" s="1" t="s">
        <v>656</v>
      </c>
      <c r="B636">
        <f>HYPERLINK("https://www.suredividend.com/sure-analysis-ORC/","Orchid Island Capital Inc")</f>
        <v>0</v>
      </c>
      <c r="C636">
        <v>4.48</v>
      </c>
      <c r="D636">
        <v>3.6</v>
      </c>
      <c r="E636">
        <v>1.244444444444444</v>
      </c>
      <c r="F636">
        <v>0.1741071428571428</v>
      </c>
      <c r="G636">
        <v>-0.04279513477459473</v>
      </c>
      <c r="H636">
        <v>0.003</v>
      </c>
      <c r="I636">
        <v>0.1119067543204999</v>
      </c>
      <c r="J636" t="s">
        <v>782</v>
      </c>
      <c r="K636" t="s">
        <v>781</v>
      </c>
      <c r="L636">
        <v>0.96</v>
      </c>
      <c r="M636">
        <v>0.78</v>
      </c>
      <c r="N636">
        <v>0.8125000000000001</v>
      </c>
      <c r="O636">
        <v>0</v>
      </c>
      <c r="P636">
        <v>0.005076403090295889</v>
      </c>
      <c r="Q636">
        <v>-0.03619113038251801</v>
      </c>
      <c r="R636" t="s">
        <v>786</v>
      </c>
      <c r="S636" t="s">
        <v>798</v>
      </c>
      <c r="T636">
        <v>794.69879</v>
      </c>
      <c r="U636" s="2">
        <v>44506</v>
      </c>
      <c r="V636" t="s">
        <v>808</v>
      </c>
    </row>
    <row r="637" spans="1:22">
      <c r="A637" s="1" t="s">
        <v>657</v>
      </c>
      <c r="B637">
        <f>HYPERLINK("https://www.suredividend.com/sure-analysis-QSR/","Restaurant Brands International Inc")</f>
        <v>0</v>
      </c>
      <c r="C637">
        <v>57.73</v>
      </c>
      <c r="D637">
        <v>53</v>
      </c>
      <c r="E637">
        <v>1.089245283018868</v>
      </c>
      <c r="F637">
        <v>0.03672267451931405</v>
      </c>
      <c r="G637">
        <v>-0.01695168659336022</v>
      </c>
      <c r="H637">
        <v>0.1</v>
      </c>
      <c r="I637">
        <v>0.1096597163793922</v>
      </c>
      <c r="J637" t="s">
        <v>782</v>
      </c>
      <c r="K637" t="s">
        <v>529</v>
      </c>
      <c r="L637">
        <v>2.8</v>
      </c>
      <c r="M637">
        <v>2.12</v>
      </c>
      <c r="N637">
        <v>0.7571428571428572</v>
      </c>
      <c r="O637">
        <v>9</v>
      </c>
      <c r="P637">
        <v>0.03517300006217261</v>
      </c>
      <c r="Q637">
        <v>-0.04812765473488501</v>
      </c>
      <c r="R637" t="s">
        <v>784</v>
      </c>
      <c r="S637" t="s">
        <v>792</v>
      </c>
      <c r="T637">
        <v>18216.233285</v>
      </c>
      <c r="U637" s="2">
        <v>44495</v>
      </c>
      <c r="V637" t="s">
        <v>807</v>
      </c>
    </row>
    <row r="638" spans="1:22">
      <c r="A638" s="1" t="s">
        <v>658</v>
      </c>
      <c r="B638">
        <f>HYPERLINK("https://www.suredividend.com/sure-analysis-NYMT/","New York Mortgage Trust Inc")</f>
        <v>0</v>
      </c>
      <c r="C638">
        <v>3.79</v>
      </c>
      <c r="D638">
        <v>3.9</v>
      </c>
      <c r="E638">
        <v>0.9717948717948718</v>
      </c>
      <c r="F638">
        <v>0.1055408970976253</v>
      </c>
      <c r="G638">
        <v>0.00573850933215625</v>
      </c>
      <c r="H638">
        <v>0.02</v>
      </c>
      <c r="I638">
        <v>0.1071890508014448</v>
      </c>
      <c r="J638" t="s">
        <v>782</v>
      </c>
      <c r="K638" t="s">
        <v>352</v>
      </c>
      <c r="L638">
        <v>0.43</v>
      </c>
      <c r="M638">
        <v>0.4</v>
      </c>
      <c r="N638">
        <v>0.930232558139535</v>
      </c>
      <c r="O638">
        <v>0</v>
      </c>
      <c r="P638">
        <v>0</v>
      </c>
      <c r="Q638">
        <v>0.112740446821357</v>
      </c>
      <c r="R638" t="s">
        <v>784</v>
      </c>
      <c r="S638" t="s">
        <v>798</v>
      </c>
      <c r="T638">
        <v>1467.838658</v>
      </c>
      <c r="U638" s="2">
        <v>44526</v>
      </c>
      <c r="V638" t="s">
        <v>804</v>
      </c>
    </row>
    <row r="639" spans="1:22">
      <c r="A639" s="1" t="s">
        <v>659</v>
      </c>
      <c r="B639">
        <f>HYPERLINK("https://www.suredividend.com/sure-analysis-CTO/","CTO Realty Growth Inc")</f>
        <v>0</v>
      </c>
      <c r="C639">
        <v>55.63</v>
      </c>
      <c r="D639">
        <v>56</v>
      </c>
      <c r="E639">
        <v>0.9933928571428572</v>
      </c>
      <c r="F639">
        <v>0.07190364911019234</v>
      </c>
      <c r="G639">
        <v>0.001326692608625724</v>
      </c>
      <c r="H639">
        <v>0.045</v>
      </c>
      <c r="I639">
        <v>0.1035055979902098</v>
      </c>
      <c r="J639" t="s">
        <v>782</v>
      </c>
      <c r="K639" t="s">
        <v>352</v>
      </c>
      <c r="L639">
        <v>4.15</v>
      </c>
      <c r="M639">
        <v>4</v>
      </c>
      <c r="N639">
        <v>0.9638554216867469</v>
      </c>
      <c r="O639">
        <v>8</v>
      </c>
      <c r="P639">
        <v>0.02016978262061087</v>
      </c>
      <c r="Q639">
        <v>0.283129705728232</v>
      </c>
      <c r="R639" t="s">
        <v>786</v>
      </c>
      <c r="S639" t="s">
        <v>798</v>
      </c>
      <c r="T639">
        <v>332.866835</v>
      </c>
      <c r="U639" s="2">
        <v>44502</v>
      </c>
      <c r="V639" t="s">
        <v>806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35.38</v>
      </c>
      <c r="D640">
        <v>38</v>
      </c>
      <c r="E640">
        <v>0.9310526315789475</v>
      </c>
      <c r="F640">
        <v>0.03391746749576031</v>
      </c>
      <c r="G640">
        <v>0.01439045403181405</v>
      </c>
      <c r="H640">
        <v>0.06</v>
      </c>
      <c r="I640">
        <v>0.1031887724371847</v>
      </c>
      <c r="J640" t="s">
        <v>782</v>
      </c>
      <c r="K640" t="s">
        <v>529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0.23241636926666</v>
      </c>
      <c r="R640" t="s">
        <v>786</v>
      </c>
      <c r="S640" t="s">
        <v>798</v>
      </c>
      <c r="T640">
        <v>2146.758308</v>
      </c>
      <c r="U640" s="2">
        <v>44502</v>
      </c>
      <c r="V640" t="s">
        <v>807</v>
      </c>
    </row>
    <row r="641" spans="1:22">
      <c r="A641" s="1" t="s">
        <v>661</v>
      </c>
      <c r="B641">
        <f>HYPERLINK("https://www.suredividend.com/sure-analysis-EPRT/","Essential Properties Realty Trust Inc")</f>
        <v>0</v>
      </c>
      <c r="C641">
        <v>27.24</v>
      </c>
      <c r="D641">
        <v>27.05</v>
      </c>
      <c r="E641">
        <v>1.007024029574861</v>
      </c>
      <c r="F641">
        <v>0.03817914831130691</v>
      </c>
      <c r="G641">
        <v>-0.001398915801552492</v>
      </c>
      <c r="H641">
        <v>0.07000000000000001</v>
      </c>
      <c r="I641">
        <v>0.09984356156405161</v>
      </c>
      <c r="J641" t="s">
        <v>782</v>
      </c>
      <c r="K641" t="s">
        <v>529</v>
      </c>
      <c r="L641">
        <v>1.48</v>
      </c>
      <c r="M641">
        <v>1.04</v>
      </c>
      <c r="N641">
        <v>0.7027027027027027</v>
      </c>
      <c r="O641">
        <v>3</v>
      </c>
      <c r="P641">
        <v>0.0424022162772979</v>
      </c>
      <c r="Q641">
        <v>0.344169132694374</v>
      </c>
      <c r="R641" t="s">
        <v>786</v>
      </c>
      <c r="S641" t="s">
        <v>798</v>
      </c>
      <c r="T641">
        <v>3329.90808</v>
      </c>
      <c r="U641" s="2">
        <v>44508</v>
      </c>
      <c r="V641" t="s">
        <v>806</v>
      </c>
    </row>
    <row r="642" spans="1:22">
      <c r="A642" s="1" t="s">
        <v>662</v>
      </c>
      <c r="B642">
        <f>HYPERLINK("https://www.suredividend.com/sure-analysis-AFIN/","American Fin Tr Inc")</f>
        <v>0</v>
      </c>
      <c r="C642">
        <v>8.24</v>
      </c>
      <c r="D642">
        <v>9</v>
      </c>
      <c r="E642">
        <v>0.9155555555555556</v>
      </c>
      <c r="F642">
        <v>0.1031553398058252</v>
      </c>
      <c r="G642">
        <v>0.0178014366362711</v>
      </c>
      <c r="H642">
        <v>0</v>
      </c>
      <c r="I642">
        <v>0.09965824118912203</v>
      </c>
      <c r="J642" t="s">
        <v>782</v>
      </c>
      <c r="K642" t="s">
        <v>352</v>
      </c>
      <c r="L642">
        <v>1</v>
      </c>
      <c r="M642">
        <v>0.85</v>
      </c>
      <c r="N642">
        <v>0.85</v>
      </c>
      <c r="O642">
        <v>0</v>
      </c>
      <c r="P642">
        <v>0</v>
      </c>
      <c r="Q642">
        <v>0.144803708047132</v>
      </c>
      <c r="R642" t="s">
        <v>786</v>
      </c>
      <c r="S642" t="s">
        <v>798</v>
      </c>
      <c r="T642">
        <v>1012.753087</v>
      </c>
      <c r="U642" s="2">
        <v>44509</v>
      </c>
      <c r="V642" t="s">
        <v>799</v>
      </c>
    </row>
    <row r="643" spans="1:22">
      <c r="A643" s="1" t="s">
        <v>663</v>
      </c>
      <c r="B643">
        <f>HYPERLINK("https://www.suredividend.com/sure-analysis-CWCO/","Consolidated Water Co. Ltd.")</f>
        <v>0</v>
      </c>
      <c r="C643">
        <v>10.74</v>
      </c>
      <c r="D643">
        <v>12.4</v>
      </c>
      <c r="E643">
        <v>0.8661290322580645</v>
      </c>
      <c r="F643">
        <v>0.03165735567970205</v>
      </c>
      <c r="G643">
        <v>0.02916138028339765</v>
      </c>
      <c r="H643">
        <v>0.042</v>
      </c>
      <c r="I643">
        <v>0.09940057876248387</v>
      </c>
      <c r="J643" t="s">
        <v>782</v>
      </c>
      <c r="K643" t="s">
        <v>782</v>
      </c>
      <c r="L643">
        <v>0.33</v>
      </c>
      <c r="M643">
        <v>0.34</v>
      </c>
      <c r="N643">
        <v>1.03030303030303</v>
      </c>
      <c r="O643">
        <v>0</v>
      </c>
      <c r="P643">
        <v>0.0576615571948691</v>
      </c>
      <c r="Q643">
        <v>-0.08088394535547501</v>
      </c>
      <c r="R643" t="s">
        <v>784</v>
      </c>
      <c r="S643" t="s">
        <v>796</v>
      </c>
      <c r="T643">
        <v>161.385516</v>
      </c>
      <c r="U643" s="2">
        <v>44517</v>
      </c>
      <c r="V643" t="s">
        <v>808</v>
      </c>
    </row>
    <row r="644" spans="1:22">
      <c r="A644" s="1" t="s">
        <v>664</v>
      </c>
      <c r="B644">
        <f>HYPERLINK("https://www.suredividend.com/sure-analysis-CBRL/","Cracker Barrel Old Country Store Inc")</f>
        <v>0</v>
      </c>
      <c r="C644">
        <v>120.76</v>
      </c>
      <c r="D644">
        <v>127</v>
      </c>
      <c r="E644">
        <v>0.9508661417322835</v>
      </c>
      <c r="F644">
        <v>0.04306061609804571</v>
      </c>
      <c r="G644">
        <v>0.01012733415158196</v>
      </c>
      <c r="H644">
        <v>0.054</v>
      </c>
      <c r="I644">
        <v>0.09894346817276389</v>
      </c>
      <c r="J644" t="s">
        <v>782</v>
      </c>
      <c r="K644" t="s">
        <v>352</v>
      </c>
      <c r="L644">
        <v>8.460000000000001</v>
      </c>
      <c r="M644">
        <v>5.2</v>
      </c>
      <c r="N644">
        <v>0.6146572104018913</v>
      </c>
      <c r="O644">
        <v>1</v>
      </c>
      <c r="P644">
        <v>0.02903366107118788</v>
      </c>
      <c r="Q644">
        <v>-0.08003311049327901</v>
      </c>
      <c r="R644" t="s">
        <v>784</v>
      </c>
      <c r="S644" t="s">
        <v>792</v>
      </c>
      <c r="T644">
        <v>2914.832237</v>
      </c>
      <c r="U644" s="2">
        <v>44524</v>
      </c>
      <c r="V644" t="s">
        <v>808</v>
      </c>
    </row>
    <row r="645" spans="1:22">
      <c r="A645" s="1" t="s">
        <v>665</v>
      </c>
      <c r="B645">
        <f>HYPERLINK("https://www.suredividend.com/sure-analysis-ACRE/","Ares Commercial Real Estate Corp")</f>
        <v>0</v>
      </c>
      <c r="C645">
        <v>14.06</v>
      </c>
      <c r="D645">
        <v>15.87</v>
      </c>
      <c r="E645">
        <v>0.8859483301827348</v>
      </c>
      <c r="F645">
        <v>0.09388335704125178</v>
      </c>
      <c r="G645">
        <v>0.02451499974703863</v>
      </c>
      <c r="H645">
        <v>0</v>
      </c>
      <c r="I645">
        <v>0.09830649113778422</v>
      </c>
      <c r="J645" t="s">
        <v>782</v>
      </c>
      <c r="K645" t="s">
        <v>352</v>
      </c>
      <c r="L645">
        <v>1.38</v>
      </c>
      <c r="M645">
        <v>1.32</v>
      </c>
      <c r="N645">
        <v>0.9565217391304349</v>
      </c>
      <c r="O645">
        <v>0</v>
      </c>
      <c r="P645">
        <v>0</v>
      </c>
      <c r="Q645">
        <v>0.194242793000713</v>
      </c>
      <c r="R645" t="s">
        <v>786</v>
      </c>
      <c r="S645" t="s">
        <v>798</v>
      </c>
      <c r="T645">
        <v>668.835913</v>
      </c>
      <c r="U645" s="2">
        <v>44506</v>
      </c>
      <c r="V645" t="s">
        <v>799</v>
      </c>
    </row>
    <row r="646" spans="1:22">
      <c r="A646" s="1" t="s">
        <v>666</v>
      </c>
      <c r="B646">
        <f>HYPERLINK("https://www.suredividend.com/sure-analysis-ORCC/","Owl Rock Capital Corp")</f>
        <v>0</v>
      </c>
      <c r="C646">
        <v>14.06</v>
      </c>
      <c r="D646">
        <v>14.64</v>
      </c>
      <c r="E646">
        <v>0.9603825136612022</v>
      </c>
      <c r="F646">
        <v>0.08819345661450924</v>
      </c>
      <c r="G646">
        <v>0.008117494066314679</v>
      </c>
      <c r="H646">
        <v>0.02</v>
      </c>
      <c r="I646">
        <v>0.09726577752859855</v>
      </c>
      <c r="J646" t="s">
        <v>782</v>
      </c>
      <c r="K646" t="s">
        <v>352</v>
      </c>
      <c r="L646">
        <v>1.22</v>
      </c>
      <c r="M646">
        <v>1.24</v>
      </c>
      <c r="N646">
        <v>1.016393442622951</v>
      </c>
      <c r="O646">
        <v>0</v>
      </c>
      <c r="P646">
        <v>0</v>
      </c>
      <c r="Q646">
        <v>0.184485496948926</v>
      </c>
      <c r="R646" t="s">
        <v>787</v>
      </c>
      <c r="S646" t="s">
        <v>793</v>
      </c>
      <c r="T646">
        <v>5570.97169</v>
      </c>
      <c r="U646" s="2">
        <v>44509</v>
      </c>
      <c r="V646" t="s">
        <v>799</v>
      </c>
    </row>
    <row r="647" spans="1:22">
      <c r="A647" s="1" t="s">
        <v>667</v>
      </c>
      <c r="B647">
        <f>HYPERLINK("https://www.suredividend.com/sure-analysis-CTRE/","CareTrust REIT Inc")</f>
        <v>0</v>
      </c>
      <c r="C647">
        <v>21.54</v>
      </c>
      <c r="D647">
        <v>22</v>
      </c>
      <c r="E647">
        <v>0.979090909090909</v>
      </c>
      <c r="F647">
        <v>0.04921077065923863</v>
      </c>
      <c r="G647">
        <v>0.004235099118101715</v>
      </c>
      <c r="H647">
        <v>0.05</v>
      </c>
      <c r="I647">
        <v>0.09700167912800683</v>
      </c>
      <c r="J647" t="s">
        <v>782</v>
      </c>
      <c r="K647" t="s">
        <v>352</v>
      </c>
      <c r="L647">
        <v>1.5</v>
      </c>
      <c r="M647">
        <v>1.06</v>
      </c>
      <c r="N647">
        <v>0.7066666666666667</v>
      </c>
      <c r="O647">
        <v>5</v>
      </c>
      <c r="P647">
        <v>0.04955591526723868</v>
      </c>
      <c r="Q647">
        <v>-0.030136986301369</v>
      </c>
      <c r="R647" t="s">
        <v>786</v>
      </c>
      <c r="S647" t="s">
        <v>798</v>
      </c>
      <c r="T647">
        <v>2060.977649</v>
      </c>
      <c r="U647" s="2">
        <v>44508</v>
      </c>
      <c r="V647" t="s">
        <v>806</v>
      </c>
    </row>
    <row r="648" spans="1:22">
      <c r="A648" s="1" t="s">
        <v>668</v>
      </c>
      <c r="B648">
        <f>HYPERLINK("https://www.suredividend.com/sure-analysis-GNL/","Global Net Lease Inc")</f>
        <v>0</v>
      </c>
      <c r="C648">
        <v>14.84</v>
      </c>
      <c r="D648">
        <v>12.4</v>
      </c>
      <c r="E648">
        <v>1.196774193548387</v>
      </c>
      <c r="F648">
        <v>0.1078167115902965</v>
      </c>
      <c r="G648">
        <v>-0.03528827517720245</v>
      </c>
      <c r="H648">
        <v>0.04</v>
      </c>
      <c r="I648">
        <v>0.09658358250742993</v>
      </c>
      <c r="J648" t="s">
        <v>782</v>
      </c>
      <c r="K648" t="s">
        <v>352</v>
      </c>
      <c r="L648">
        <v>1.77</v>
      </c>
      <c r="M648">
        <v>1.6</v>
      </c>
      <c r="N648">
        <v>0.903954802259887</v>
      </c>
      <c r="O648">
        <v>0</v>
      </c>
      <c r="P648">
        <v>0.01808400232019891</v>
      </c>
      <c r="Q648">
        <v>-0.070454672975854</v>
      </c>
      <c r="R648" t="s">
        <v>786</v>
      </c>
      <c r="S648" t="s">
        <v>798</v>
      </c>
      <c r="T648">
        <v>1544.739785</v>
      </c>
      <c r="U648" s="2">
        <v>44509</v>
      </c>
      <c r="V648" t="s">
        <v>808</v>
      </c>
    </row>
    <row r="649" spans="1:22">
      <c r="A649" s="1" t="s">
        <v>669</v>
      </c>
      <c r="B649">
        <f>HYPERLINK("https://www.suredividend.com/sure-analysis-AQN/","Algonquin Power &amp; Utilities Corp")</f>
        <v>0</v>
      </c>
      <c r="C649">
        <v>13.83</v>
      </c>
      <c r="D649">
        <v>13</v>
      </c>
      <c r="E649">
        <v>1.063846153846154</v>
      </c>
      <c r="F649">
        <v>0.04916847433116414</v>
      </c>
      <c r="G649">
        <v>-0.01230186336834072</v>
      </c>
      <c r="H649">
        <v>0.065</v>
      </c>
      <c r="I649">
        <v>0.09547061791098033</v>
      </c>
      <c r="J649" t="s">
        <v>782</v>
      </c>
      <c r="K649" t="s">
        <v>529</v>
      </c>
      <c r="L649">
        <v>0.73</v>
      </c>
      <c r="M649">
        <v>0.68</v>
      </c>
      <c r="N649">
        <v>0.9315068493150686</v>
      </c>
      <c r="O649">
        <v>9</v>
      </c>
      <c r="P649">
        <v>0.05530068195228077</v>
      </c>
      <c r="Q649">
        <v>-0.114782552794831</v>
      </c>
      <c r="R649" t="s">
        <v>784</v>
      </c>
      <c r="S649" t="s">
        <v>796</v>
      </c>
      <c r="T649">
        <v>9251.723528</v>
      </c>
      <c r="U649" s="2">
        <v>44513</v>
      </c>
      <c r="V649" t="s">
        <v>809</v>
      </c>
    </row>
    <row r="650" spans="1:22">
      <c r="A650" s="1" t="s">
        <v>670</v>
      </c>
      <c r="B650">
        <f>HYPERLINK("https://www.suredividend.com/sure-analysis-SRC/","Spirit Realty Capital Inc")</f>
        <v>0</v>
      </c>
      <c r="C650">
        <v>47.27</v>
      </c>
      <c r="D650">
        <v>50</v>
      </c>
      <c r="E650">
        <v>0.9454</v>
      </c>
      <c r="F650">
        <v>0.05394541992807277</v>
      </c>
      <c r="G650">
        <v>0.01129271886706817</v>
      </c>
      <c r="H650">
        <v>0.04</v>
      </c>
      <c r="I650">
        <v>0.09490437234688276</v>
      </c>
      <c r="J650" t="s">
        <v>782</v>
      </c>
      <c r="K650" t="s">
        <v>352</v>
      </c>
      <c r="L650">
        <v>3.3</v>
      </c>
      <c r="M650">
        <v>2.55</v>
      </c>
      <c r="N650">
        <v>0.7727272727272727</v>
      </c>
      <c r="O650">
        <v>1</v>
      </c>
      <c r="P650">
        <v>0.02033265364950054</v>
      </c>
      <c r="Q650">
        <v>0.208419725305564</v>
      </c>
      <c r="R650" t="s">
        <v>786</v>
      </c>
      <c r="S650" t="s">
        <v>798</v>
      </c>
      <c r="T650">
        <v>5814.327522</v>
      </c>
      <c r="U650" s="2">
        <v>44509</v>
      </c>
      <c r="V650" t="s">
        <v>799</v>
      </c>
    </row>
    <row r="651" spans="1:22">
      <c r="A651" s="1" t="s">
        <v>671</v>
      </c>
      <c r="B651">
        <f>HYPERLINK("https://www.suredividend.com/sure-analysis-NTST/","Netstreit Corp")</f>
        <v>0</v>
      </c>
      <c r="C651">
        <v>21.69</v>
      </c>
      <c r="D651">
        <v>21</v>
      </c>
      <c r="E651">
        <v>1.032857142857143</v>
      </c>
      <c r="F651">
        <v>0.03688335638543108</v>
      </c>
      <c r="G651">
        <v>-0.006444919263181248</v>
      </c>
      <c r="H651">
        <v>0.07000000000000001</v>
      </c>
      <c r="I651">
        <v>0.09465979831945837</v>
      </c>
      <c r="J651" t="s">
        <v>782</v>
      </c>
      <c r="K651" t="s">
        <v>529</v>
      </c>
      <c r="L651">
        <v>0.9399999999999999</v>
      </c>
      <c r="M651">
        <v>0.8</v>
      </c>
      <c r="N651">
        <v>0.8510638297872342</v>
      </c>
      <c r="O651">
        <v>1</v>
      </c>
      <c r="P651">
        <v>0.04978904632428516</v>
      </c>
      <c r="Q651">
        <v>0.197402208455578</v>
      </c>
      <c r="R651" t="s">
        <v>786</v>
      </c>
      <c r="S651" t="s">
        <v>798</v>
      </c>
      <c r="T651">
        <v>855.502109</v>
      </c>
      <c r="U651" s="2">
        <v>44502</v>
      </c>
      <c r="V651" t="s">
        <v>806</v>
      </c>
    </row>
    <row r="652" spans="1:22">
      <c r="A652" s="1" t="s">
        <v>672</v>
      </c>
      <c r="B652">
        <f>HYPERLINK("https://www.suredividend.com/sure-analysis-VOD/","Vodafone Group plc")</f>
        <v>0</v>
      </c>
      <c r="C652">
        <v>15.06</v>
      </c>
      <c r="D652">
        <v>16</v>
      </c>
      <c r="E652">
        <v>0.94125</v>
      </c>
      <c r="F652">
        <v>0.06772908366533864</v>
      </c>
      <c r="G652">
        <v>0.01218291438611208</v>
      </c>
      <c r="H652">
        <v>0.03</v>
      </c>
      <c r="I652">
        <v>0.0944484329252715</v>
      </c>
      <c r="J652" t="s">
        <v>782</v>
      </c>
      <c r="K652" t="s">
        <v>352</v>
      </c>
      <c r="L652">
        <v>1.15</v>
      </c>
      <c r="M652">
        <v>1.02</v>
      </c>
      <c r="N652">
        <v>0.8869565217391305</v>
      </c>
      <c r="O652">
        <v>0</v>
      </c>
      <c r="P652">
        <v>0</v>
      </c>
      <c r="Q652">
        <v>-0.06798691428607101</v>
      </c>
      <c r="R652" t="s">
        <v>784</v>
      </c>
      <c r="S652" t="s">
        <v>788</v>
      </c>
      <c r="T652">
        <v>40665.685089</v>
      </c>
      <c r="U652" s="2">
        <v>44528</v>
      </c>
      <c r="V652" t="s">
        <v>804</v>
      </c>
    </row>
    <row r="653" spans="1:22">
      <c r="A653" s="1" t="s">
        <v>673</v>
      </c>
      <c r="B653">
        <f>HYPERLINK("https://www.suredividend.com/sure-analysis-FCPT/","Four Corners Property Trust Inc")</f>
        <v>0</v>
      </c>
      <c r="C653">
        <v>28.2</v>
      </c>
      <c r="D653">
        <v>29</v>
      </c>
      <c r="E653">
        <v>0.9724137931034482</v>
      </c>
      <c r="F653">
        <v>0.04716312056737589</v>
      </c>
      <c r="G653">
        <v>0.005610450364722963</v>
      </c>
      <c r="H653">
        <v>0.05</v>
      </c>
      <c r="I653">
        <v>0.09372112690287571</v>
      </c>
      <c r="J653" t="s">
        <v>782</v>
      </c>
      <c r="K653" t="s">
        <v>529</v>
      </c>
      <c r="L653">
        <v>1.53</v>
      </c>
      <c r="M653">
        <v>1.33</v>
      </c>
      <c r="N653">
        <v>0.869281045751634</v>
      </c>
      <c r="O653">
        <v>4</v>
      </c>
      <c r="P653">
        <v>0.02297948759813462</v>
      </c>
      <c r="Q653">
        <v>-0.00010883646794</v>
      </c>
      <c r="R653" t="s">
        <v>786</v>
      </c>
      <c r="S653" t="s">
        <v>798</v>
      </c>
      <c r="T653">
        <v>2203.002988</v>
      </c>
      <c r="U653" s="2">
        <v>44499</v>
      </c>
      <c r="V653" t="s">
        <v>801</v>
      </c>
    </row>
    <row r="654" spans="1:22">
      <c r="A654" s="1" t="s">
        <v>674</v>
      </c>
      <c r="B654">
        <f>HYPERLINK("https://www.suredividend.com/sure-analysis-HR/","Healthcare Realty Trust, Inc.")</f>
        <v>0</v>
      </c>
      <c r="C654">
        <v>31.48</v>
      </c>
      <c r="D654">
        <v>32</v>
      </c>
      <c r="E654">
        <v>0.98375</v>
      </c>
      <c r="F654">
        <v>0.03843710292249047</v>
      </c>
      <c r="G654">
        <v>0.003282070086261024</v>
      </c>
      <c r="H654">
        <v>0.06</v>
      </c>
      <c r="I654">
        <v>0.09275927198991418</v>
      </c>
      <c r="J654" t="s">
        <v>782</v>
      </c>
      <c r="K654" t="s">
        <v>529</v>
      </c>
      <c r="L654">
        <v>1.72</v>
      </c>
      <c r="M654">
        <v>1.21</v>
      </c>
      <c r="N654">
        <v>0.7034883720930233</v>
      </c>
      <c r="O654">
        <v>1</v>
      </c>
      <c r="P654">
        <v>0.00972630418295628</v>
      </c>
      <c r="Q654">
        <v>0.100901525658807</v>
      </c>
      <c r="R654" t="s">
        <v>786</v>
      </c>
      <c r="S654" t="s">
        <v>798</v>
      </c>
      <c r="T654">
        <v>4684.453166</v>
      </c>
      <c r="U654" s="2">
        <v>44513</v>
      </c>
      <c r="V654" t="s">
        <v>806</v>
      </c>
    </row>
    <row r="655" spans="1:22">
      <c r="A655" s="1" t="s">
        <v>675</v>
      </c>
      <c r="B655">
        <f>HYPERLINK("https://www.suredividend.com/sure-analysis-PMT/","Pennymac Mortgage Investment Trust")</f>
        <v>0</v>
      </c>
      <c r="C655">
        <v>17.51</v>
      </c>
      <c r="D655">
        <v>17</v>
      </c>
      <c r="E655">
        <v>1.03</v>
      </c>
      <c r="F655">
        <v>0.107367218732153</v>
      </c>
      <c r="G655">
        <v>-0.005894320376609419</v>
      </c>
      <c r="H655">
        <v>0.01</v>
      </c>
      <c r="I655">
        <v>0.09262412803598075</v>
      </c>
      <c r="J655" t="s">
        <v>782</v>
      </c>
      <c r="K655" t="s">
        <v>352</v>
      </c>
      <c r="L655">
        <v>1.9</v>
      </c>
      <c r="M655">
        <v>1.88</v>
      </c>
      <c r="N655">
        <v>0.9894736842105263</v>
      </c>
      <c r="O655">
        <v>1</v>
      </c>
      <c r="P655">
        <v>0</v>
      </c>
      <c r="Q655">
        <v>0.103421784680961</v>
      </c>
      <c r="R655" t="s">
        <v>786</v>
      </c>
      <c r="S655" t="s">
        <v>793</v>
      </c>
      <c r="T655">
        <v>1727.68922</v>
      </c>
      <c r="U655" s="2">
        <v>44512</v>
      </c>
      <c r="V655" t="s">
        <v>806</v>
      </c>
    </row>
    <row r="656" spans="1:22">
      <c r="A656" s="1" t="s">
        <v>676</v>
      </c>
      <c r="B656">
        <f>HYPERLINK("https://www.suredividend.com/sure-analysis-KREF/","KKR Real Estate Finance Trust Inc")</f>
        <v>0</v>
      </c>
      <c r="C656">
        <v>20.63</v>
      </c>
      <c r="D656">
        <v>21.53</v>
      </c>
      <c r="E656">
        <v>0.9581978634463538</v>
      </c>
      <c r="F656">
        <v>0.08337372758119244</v>
      </c>
      <c r="G656">
        <v>0.008576768374995769</v>
      </c>
      <c r="H656">
        <v>0.015</v>
      </c>
      <c r="I656">
        <v>0.09219080605720298</v>
      </c>
      <c r="J656" t="s">
        <v>782</v>
      </c>
      <c r="K656" t="s">
        <v>352</v>
      </c>
      <c r="L656">
        <v>2.05</v>
      </c>
      <c r="M656">
        <v>1.72</v>
      </c>
      <c r="N656">
        <v>0.8390243902439025</v>
      </c>
      <c r="O656">
        <v>0</v>
      </c>
      <c r="P656">
        <v>0.01025271344829148</v>
      </c>
      <c r="Q656">
        <v>0.210744042416826</v>
      </c>
      <c r="R656" t="s">
        <v>786</v>
      </c>
      <c r="S656" t="s">
        <v>798</v>
      </c>
      <c r="T656">
        <v>1160.009629</v>
      </c>
      <c r="U656" s="2">
        <v>44495</v>
      </c>
      <c r="V656" t="s">
        <v>799</v>
      </c>
    </row>
    <row r="657" spans="1:22">
      <c r="A657" s="1" t="s">
        <v>677</v>
      </c>
      <c r="B657">
        <f>HYPERLINK("https://www.suredividend.com/sure-analysis-IDEXY/","Industria De Diseno Textil SA")</f>
        <v>0</v>
      </c>
      <c r="C657">
        <v>15.6</v>
      </c>
      <c r="D657">
        <v>13.5</v>
      </c>
      <c r="E657">
        <v>1.155555555555555</v>
      </c>
      <c r="F657">
        <v>0.02692307692307692</v>
      </c>
      <c r="G657">
        <v>-0.02850217188062054</v>
      </c>
      <c r="H657">
        <v>0.1</v>
      </c>
      <c r="I657">
        <v>0.0916958562850736</v>
      </c>
      <c r="J657" t="s">
        <v>782</v>
      </c>
      <c r="K657" t="s">
        <v>782</v>
      </c>
      <c r="L657">
        <v>0.54</v>
      </c>
      <c r="M657">
        <v>0.42</v>
      </c>
      <c r="N657">
        <v>0.7777777777777777</v>
      </c>
      <c r="O657">
        <v>0</v>
      </c>
      <c r="P657">
        <v>0.05154749679728043</v>
      </c>
      <c r="Q657">
        <v>-0.050548112058465</v>
      </c>
      <c r="R657" t="s">
        <v>784</v>
      </c>
      <c r="S657" t="s">
        <v>792</v>
      </c>
      <c r="T657">
        <v>97177.20935999999</v>
      </c>
      <c r="U657" s="2">
        <v>44458</v>
      </c>
      <c r="V657" t="s">
        <v>799</v>
      </c>
    </row>
    <row r="658" spans="1:22">
      <c r="A658" s="1" t="s">
        <v>678</v>
      </c>
      <c r="B658">
        <f>HYPERLINK("https://www.suredividend.com/sure-analysis-GSBD/","Goldman Sachs BDC Inc")</f>
        <v>0</v>
      </c>
      <c r="C658">
        <v>19.16</v>
      </c>
      <c r="D658">
        <v>20.64</v>
      </c>
      <c r="E658">
        <v>0.9282945736434108</v>
      </c>
      <c r="F658">
        <v>0.09394572025052192</v>
      </c>
      <c r="G658">
        <v>0.01499251046481676</v>
      </c>
      <c r="H658">
        <v>0</v>
      </c>
      <c r="I658">
        <v>0.09118035581605843</v>
      </c>
      <c r="J658" t="s">
        <v>782</v>
      </c>
      <c r="K658" t="s">
        <v>352</v>
      </c>
      <c r="L658">
        <v>2.15</v>
      </c>
      <c r="M658">
        <v>1.8</v>
      </c>
      <c r="N658">
        <v>0.8372093023255814</v>
      </c>
      <c r="O658">
        <v>0</v>
      </c>
      <c r="P658">
        <v>0</v>
      </c>
      <c r="Q658">
        <v>0.09760945845504901</v>
      </c>
      <c r="R658" t="s">
        <v>787</v>
      </c>
      <c r="S658" t="s">
        <v>793</v>
      </c>
      <c r="T658">
        <v>1939.64835</v>
      </c>
      <c r="U658" s="2">
        <v>44513</v>
      </c>
      <c r="V658" t="s">
        <v>799</v>
      </c>
    </row>
    <row r="659" spans="1:22">
      <c r="A659" s="1" t="s">
        <v>679</v>
      </c>
      <c r="B659">
        <f>HYPERLINK("https://www.suredividend.com/sure-analysis-SACH/","Sachem Capital Corp")</f>
        <v>0</v>
      </c>
      <c r="C659">
        <v>5.33</v>
      </c>
      <c r="D659">
        <v>5.26</v>
      </c>
      <c r="E659">
        <v>1.013307984790875</v>
      </c>
      <c r="F659">
        <v>0.0900562851782364</v>
      </c>
      <c r="G659">
        <v>-0.002640549884519672</v>
      </c>
      <c r="H659">
        <v>0.02</v>
      </c>
      <c r="I659">
        <v>0.09017537104665529</v>
      </c>
      <c r="J659" t="s">
        <v>782</v>
      </c>
      <c r="K659" t="s">
        <v>352</v>
      </c>
      <c r="L659">
        <v>0.47</v>
      </c>
      <c r="M659">
        <v>0.48</v>
      </c>
      <c r="N659">
        <v>1.021276595744681</v>
      </c>
      <c r="O659">
        <v>0</v>
      </c>
      <c r="P659">
        <v>0</v>
      </c>
      <c r="Q659">
        <v>0.4254975793437331</v>
      </c>
      <c r="R659" t="s">
        <v>786</v>
      </c>
      <c r="S659" t="s">
        <v>798</v>
      </c>
      <c r="T659">
        <v>156.049055</v>
      </c>
      <c r="U659" s="2">
        <v>44517</v>
      </c>
      <c r="V659" t="s">
        <v>799</v>
      </c>
    </row>
    <row r="660" spans="1:22">
      <c r="A660" s="1" t="s">
        <v>680</v>
      </c>
      <c r="B660">
        <f>HYPERLINK("https://www.suredividend.com/sure-analysis-NLY/","Annaly Capital Management Inc")</f>
        <v>0</v>
      </c>
      <c r="C660">
        <v>8.06</v>
      </c>
      <c r="D660">
        <v>7.8</v>
      </c>
      <c r="E660">
        <v>1.033333333333333</v>
      </c>
      <c r="F660">
        <v>0.1091811414392059</v>
      </c>
      <c r="G660">
        <v>-0.00653650804430439</v>
      </c>
      <c r="H660">
        <v>-0.004</v>
      </c>
      <c r="I660">
        <v>0.08996131824005849</v>
      </c>
      <c r="J660" t="s">
        <v>782</v>
      </c>
      <c r="K660" t="s">
        <v>781</v>
      </c>
      <c r="L660">
        <v>1.12</v>
      </c>
      <c r="M660">
        <v>0.88</v>
      </c>
      <c r="N660">
        <v>0.7857142857142857</v>
      </c>
      <c r="O660">
        <v>0</v>
      </c>
      <c r="P660">
        <v>0.02589630491023409</v>
      </c>
      <c r="Q660">
        <v>0.06826334669761501</v>
      </c>
      <c r="R660" t="s">
        <v>786</v>
      </c>
      <c r="S660" t="s">
        <v>798</v>
      </c>
      <c r="T660">
        <v>11745.977573</v>
      </c>
      <c r="U660" s="2">
        <v>44503</v>
      </c>
      <c r="V660" t="s">
        <v>808</v>
      </c>
    </row>
    <row r="661" spans="1:22">
      <c r="A661" s="1" t="s">
        <v>681</v>
      </c>
      <c r="B661">
        <f>HYPERLINK("https://www.suredividend.com/sure-analysis-VST/","Vistra Corp")</f>
        <v>0</v>
      </c>
      <c r="C661">
        <v>20.93</v>
      </c>
      <c r="D661">
        <v>19</v>
      </c>
      <c r="E661">
        <v>1.101578947368421</v>
      </c>
      <c r="F661">
        <v>0.02866698518872432</v>
      </c>
      <c r="G661">
        <v>-0.01916292276226905</v>
      </c>
      <c r="H661">
        <v>0.08</v>
      </c>
      <c r="I661">
        <v>0.08666976337374721</v>
      </c>
      <c r="J661" t="s">
        <v>782</v>
      </c>
      <c r="K661" t="s">
        <v>782</v>
      </c>
      <c r="L661">
        <v>-0.55</v>
      </c>
      <c r="M661">
        <v>0.6</v>
      </c>
      <c r="N661">
        <v>9.99</v>
      </c>
      <c r="O661">
        <v>2</v>
      </c>
      <c r="P661">
        <v>0.0796084730466029</v>
      </c>
      <c r="Q661">
        <v>0.157698696330598</v>
      </c>
      <c r="R661" t="s">
        <v>784</v>
      </c>
      <c r="S661" t="s">
        <v>796</v>
      </c>
      <c r="T661">
        <v>9990.389664</v>
      </c>
      <c r="U661" s="2">
        <v>44515</v>
      </c>
      <c r="V661" t="s">
        <v>806</v>
      </c>
    </row>
    <row r="662" spans="1:22">
      <c r="A662" s="1" t="s">
        <v>682</v>
      </c>
      <c r="B662">
        <f>HYPERLINK("https://www.suredividend.com/sure-analysis-NRZ/","New Residential Investment Corp")</f>
        <v>0</v>
      </c>
      <c r="C662">
        <v>10.9</v>
      </c>
      <c r="D662">
        <v>10</v>
      </c>
      <c r="E662">
        <v>1.09</v>
      </c>
      <c r="F662">
        <v>0.09174311926605504</v>
      </c>
      <c r="G662">
        <v>-0.01708785701980808</v>
      </c>
      <c r="H662">
        <v>0.02</v>
      </c>
      <c r="I662">
        <v>0.08660330411512862</v>
      </c>
      <c r="J662" t="s">
        <v>782</v>
      </c>
      <c r="K662" t="s">
        <v>352</v>
      </c>
      <c r="L662">
        <v>1.3</v>
      </c>
      <c r="M662">
        <v>1</v>
      </c>
      <c r="N662">
        <v>0.7692307692307692</v>
      </c>
      <c r="O662">
        <v>1</v>
      </c>
      <c r="P662">
        <v>0.03012896281839894</v>
      </c>
      <c r="Q662">
        <v>0.246826260428001</v>
      </c>
      <c r="R662" t="s">
        <v>786</v>
      </c>
      <c r="S662" t="s">
        <v>798</v>
      </c>
      <c r="T662">
        <v>5132.37912</v>
      </c>
      <c r="U662" s="2">
        <v>44503</v>
      </c>
      <c r="V662" t="s">
        <v>802</v>
      </c>
    </row>
    <row r="663" spans="1:22">
      <c r="A663" s="1" t="s">
        <v>683</v>
      </c>
      <c r="B663">
        <f>HYPERLINK("https://www.suredividend.com/sure-analysis-MRCC/","Monroe Capital Corp")</f>
        <v>0</v>
      </c>
      <c r="C663">
        <v>11.28</v>
      </c>
      <c r="D663">
        <v>11.6</v>
      </c>
      <c r="E663">
        <v>0.9724137931034482</v>
      </c>
      <c r="F663">
        <v>0.08865248226950355</v>
      </c>
      <c r="G663">
        <v>0.005610450364722963</v>
      </c>
      <c r="H663">
        <v>0</v>
      </c>
      <c r="I663">
        <v>0.08416636006971112</v>
      </c>
      <c r="J663" t="s">
        <v>782</v>
      </c>
      <c r="K663" t="s">
        <v>781</v>
      </c>
      <c r="L663">
        <v>1.45</v>
      </c>
      <c r="M663">
        <v>1</v>
      </c>
      <c r="N663">
        <v>0.6896551724137931</v>
      </c>
      <c r="O663">
        <v>0</v>
      </c>
      <c r="P663">
        <v>0.01924487649145656</v>
      </c>
      <c r="Q663">
        <v>0.44842557013823</v>
      </c>
      <c r="R663" t="s">
        <v>787</v>
      </c>
      <c r="S663" t="s">
        <v>793</v>
      </c>
      <c r="T663">
        <v>250.120499</v>
      </c>
      <c r="U663" s="2">
        <v>44507</v>
      </c>
      <c r="V663" t="s">
        <v>799</v>
      </c>
    </row>
    <row r="664" spans="1:22">
      <c r="A664" s="1" t="s">
        <v>684</v>
      </c>
      <c r="B664">
        <f>HYPERLINK("https://www.suredividend.com/sure-analysis-ILPT/","Industrial Logistics Properties Trust")</f>
        <v>0</v>
      </c>
      <c r="C664">
        <v>23.31</v>
      </c>
      <c r="D664">
        <v>24</v>
      </c>
      <c r="E664">
        <v>0.9712499999999999</v>
      </c>
      <c r="F664">
        <v>0.05662805662805663</v>
      </c>
      <c r="G664">
        <v>0.005851327992054456</v>
      </c>
      <c r="H664">
        <v>0.03</v>
      </c>
      <c r="I664">
        <v>0.08367618591667059</v>
      </c>
      <c r="J664" t="s">
        <v>782</v>
      </c>
      <c r="K664" t="s">
        <v>352</v>
      </c>
      <c r="L664">
        <v>1.87</v>
      </c>
      <c r="M664">
        <v>1.32</v>
      </c>
      <c r="N664">
        <v>0.7058823529411765</v>
      </c>
      <c r="O664">
        <v>0</v>
      </c>
      <c r="P664">
        <v>0.02036554426441151</v>
      </c>
      <c r="Q664">
        <v>0.006819688143161</v>
      </c>
      <c r="R664" t="s">
        <v>786</v>
      </c>
      <c r="S664" t="s">
        <v>798</v>
      </c>
      <c r="T664">
        <v>1510.192029</v>
      </c>
      <c r="U664" s="2">
        <v>44498</v>
      </c>
      <c r="V664" t="s">
        <v>799</v>
      </c>
    </row>
    <row r="665" spans="1:22">
      <c r="A665" s="1" t="s">
        <v>685</v>
      </c>
      <c r="B665">
        <f>HYPERLINK("https://www.suredividend.com/sure-analysis-WSO/","Watsco Inc.")</f>
        <v>0</v>
      </c>
      <c r="C665">
        <v>313.7</v>
      </c>
      <c r="D665">
        <v>257</v>
      </c>
      <c r="E665">
        <v>1.220622568093385</v>
      </c>
      <c r="F665">
        <v>0.02486452024226968</v>
      </c>
      <c r="G665">
        <v>-0.03908776993420837</v>
      </c>
      <c r="H665">
        <v>0.1</v>
      </c>
      <c r="I665">
        <v>0.08249525261820878</v>
      </c>
      <c r="J665" t="s">
        <v>782</v>
      </c>
      <c r="K665" t="s">
        <v>782</v>
      </c>
      <c r="L665">
        <v>10.29</v>
      </c>
      <c r="M665">
        <v>7.8</v>
      </c>
      <c r="N665">
        <v>0.7580174927113703</v>
      </c>
      <c r="O665">
        <v>8</v>
      </c>
      <c r="P665">
        <v>0.0999653567765697</v>
      </c>
      <c r="Q665">
        <v>0.447848847439732</v>
      </c>
      <c r="R665" t="s">
        <v>786</v>
      </c>
      <c r="S665" t="s">
        <v>798</v>
      </c>
      <c r="T665">
        <v>12200.302163</v>
      </c>
      <c r="U665" s="2">
        <v>44490</v>
      </c>
      <c r="V665" t="s">
        <v>800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24.9</v>
      </c>
      <c r="D666">
        <v>23</v>
      </c>
      <c r="E666">
        <v>1.082608695652174</v>
      </c>
      <c r="F666">
        <v>0.07550200803212852</v>
      </c>
      <c r="G666">
        <v>-0.01574937829830325</v>
      </c>
      <c r="H666">
        <v>0.03</v>
      </c>
      <c r="I666">
        <v>0.08211282415924215</v>
      </c>
      <c r="J666" t="s">
        <v>782</v>
      </c>
      <c r="K666" t="s">
        <v>352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0.614272492260556</v>
      </c>
      <c r="R666" t="s">
        <v>787</v>
      </c>
      <c r="S666" t="s">
        <v>793</v>
      </c>
      <c r="T666">
        <v>590.294876</v>
      </c>
      <c r="U666" s="2">
        <v>44504</v>
      </c>
      <c r="V666" t="s">
        <v>799</v>
      </c>
    </row>
    <row r="667" spans="1:22">
      <c r="A667" s="1" t="s">
        <v>687</v>
      </c>
      <c r="B667">
        <f>HYPERLINK("https://www.suredividend.com/sure-analysis-VNO/","Vornado Realty Trust")</f>
        <v>0</v>
      </c>
      <c r="C667">
        <v>40.44</v>
      </c>
      <c r="D667">
        <v>42</v>
      </c>
      <c r="E667">
        <v>0.9628571428571429</v>
      </c>
      <c r="F667">
        <v>0.05242334322453018</v>
      </c>
      <c r="G667">
        <v>0.007598770053559356</v>
      </c>
      <c r="H667">
        <v>0.03</v>
      </c>
      <c r="I667">
        <v>0.0818880212416877</v>
      </c>
      <c r="J667" t="s">
        <v>782</v>
      </c>
      <c r="K667" t="s">
        <v>352</v>
      </c>
      <c r="L667">
        <v>2.8</v>
      </c>
      <c r="M667">
        <v>2.12</v>
      </c>
      <c r="N667">
        <v>0.7571428571428572</v>
      </c>
      <c r="O667">
        <v>0</v>
      </c>
      <c r="P667">
        <v>0.01994322923769842</v>
      </c>
      <c r="Q667">
        <v>0.105084635557771</v>
      </c>
      <c r="R667" t="s">
        <v>786</v>
      </c>
      <c r="S667" t="s">
        <v>798</v>
      </c>
      <c r="T667">
        <v>7813.763237</v>
      </c>
      <c r="U667" s="2">
        <v>44503</v>
      </c>
      <c r="V667" t="s">
        <v>799</v>
      </c>
    </row>
    <row r="668" spans="1:22">
      <c r="A668" s="1" t="s">
        <v>688</v>
      </c>
      <c r="B668">
        <f>HYPERLINK("https://www.suredividend.com/sure-analysis-E/","Eni Spa")</f>
        <v>0</v>
      </c>
      <c r="C668">
        <v>27.46</v>
      </c>
      <c r="D668">
        <v>29</v>
      </c>
      <c r="E668">
        <v>0.946896551724138</v>
      </c>
      <c r="F668">
        <v>0.05753823743627094</v>
      </c>
      <c r="G668">
        <v>0.01097285086033106</v>
      </c>
      <c r="H668">
        <v>0.02</v>
      </c>
      <c r="I668">
        <v>0.08163273596172638</v>
      </c>
      <c r="J668" t="s">
        <v>782</v>
      </c>
      <c r="K668" t="s">
        <v>352</v>
      </c>
      <c r="L668">
        <v>2.3</v>
      </c>
      <c r="M668">
        <v>1.58</v>
      </c>
      <c r="N668">
        <v>0.6869565217391305</v>
      </c>
      <c r="O668">
        <v>1</v>
      </c>
      <c r="P668">
        <v>0.02981402116536103</v>
      </c>
      <c r="Q668">
        <v>0.361608032192517</v>
      </c>
      <c r="R668" t="s">
        <v>784</v>
      </c>
      <c r="S668" t="s">
        <v>797</v>
      </c>
      <c r="T668">
        <v>49288.481572</v>
      </c>
      <c r="U668" s="2">
        <v>44502</v>
      </c>
      <c r="V668" t="s">
        <v>807</v>
      </c>
    </row>
    <row r="669" spans="1:22">
      <c r="A669" s="1" t="s">
        <v>689</v>
      </c>
      <c r="B669">
        <f>HYPERLINK("https://www.suredividend.com/sure-analysis-STWD/","Starwood Property Trust Inc")</f>
        <v>0</v>
      </c>
      <c r="C669">
        <v>23.39</v>
      </c>
      <c r="D669">
        <v>25</v>
      </c>
      <c r="E669">
        <v>0.9356</v>
      </c>
      <c r="F669">
        <v>0.0820863616930312</v>
      </c>
      <c r="G669">
        <v>0.01340246742400386</v>
      </c>
      <c r="H669">
        <v>0</v>
      </c>
      <c r="I669">
        <v>0.08145679913682802</v>
      </c>
      <c r="J669" t="s">
        <v>782</v>
      </c>
      <c r="K669" t="s">
        <v>352</v>
      </c>
      <c r="L669">
        <v>2</v>
      </c>
      <c r="M669">
        <v>1.92</v>
      </c>
      <c r="N669">
        <v>0.96</v>
      </c>
      <c r="O669">
        <v>0</v>
      </c>
      <c r="P669">
        <v>0</v>
      </c>
      <c r="Q669">
        <v>0.315393447557046</v>
      </c>
      <c r="R669" t="s">
        <v>786</v>
      </c>
      <c r="S669" t="s">
        <v>798</v>
      </c>
      <c r="T669">
        <v>6811.374746</v>
      </c>
      <c r="U669" s="2">
        <v>44509</v>
      </c>
      <c r="V669" t="s">
        <v>799</v>
      </c>
    </row>
    <row r="670" spans="1:22">
      <c r="A670" s="1" t="s">
        <v>690</v>
      </c>
      <c r="B670">
        <f>HYPERLINK("https://www.suredividend.com/sure-analysis-EIC/","Eagle Point Income Company Inc")</f>
        <v>0</v>
      </c>
      <c r="C670">
        <v>16.86</v>
      </c>
      <c r="D670">
        <v>15.86</v>
      </c>
      <c r="E670">
        <v>1.063051702395965</v>
      </c>
      <c r="F670">
        <v>0.07888493475682089</v>
      </c>
      <c r="G670">
        <v>-0.01215427999970087</v>
      </c>
      <c r="H670">
        <v>0.02</v>
      </c>
      <c r="I670">
        <v>0.08129857116647998</v>
      </c>
      <c r="J670" t="s">
        <v>782</v>
      </c>
      <c r="K670" t="s">
        <v>352</v>
      </c>
      <c r="L670">
        <v>1.22</v>
      </c>
      <c r="M670">
        <v>1.33</v>
      </c>
      <c r="N670">
        <v>1.090163934426229</v>
      </c>
      <c r="O670">
        <v>1</v>
      </c>
      <c r="P670">
        <v>0.03635631157614205</v>
      </c>
      <c r="Q670">
        <v>0.213597465025543</v>
      </c>
      <c r="R670" t="s">
        <v>784</v>
      </c>
      <c r="S670" t="s">
        <v>793</v>
      </c>
      <c r="T670">
        <v>103.138076</v>
      </c>
      <c r="U670" s="2">
        <v>44517</v>
      </c>
      <c r="V670" t="s">
        <v>799</v>
      </c>
    </row>
    <row r="671" spans="1:22">
      <c r="A671" s="1" t="s">
        <v>691</v>
      </c>
      <c r="B671">
        <f>HYPERLINK("https://www.suredividend.com/sure-analysis-CHCT/","Community Healthcare Trust Inc")</f>
        <v>0</v>
      </c>
      <c r="C671">
        <v>45.2</v>
      </c>
      <c r="D671">
        <v>43</v>
      </c>
      <c r="E671">
        <v>1.051162790697674</v>
      </c>
      <c r="F671">
        <v>0.03849557522123893</v>
      </c>
      <c r="G671">
        <v>-0.00992976530041656</v>
      </c>
      <c r="H671">
        <v>0.06</v>
      </c>
      <c r="I671">
        <v>0.08117797739784138</v>
      </c>
      <c r="J671" t="s">
        <v>782</v>
      </c>
      <c r="K671" t="s">
        <v>529</v>
      </c>
      <c r="L671">
        <v>2.21</v>
      </c>
      <c r="M671">
        <v>1.74</v>
      </c>
      <c r="N671">
        <v>0.7873303167420814</v>
      </c>
      <c r="O671">
        <v>6</v>
      </c>
      <c r="P671">
        <v>0.01988310171094443</v>
      </c>
      <c r="Q671">
        <v>-0.032513538389092</v>
      </c>
      <c r="R671" t="s">
        <v>786</v>
      </c>
      <c r="S671" t="s">
        <v>798</v>
      </c>
      <c r="T671">
        <v>1129.209271</v>
      </c>
      <c r="U671" s="2">
        <v>44508</v>
      </c>
      <c r="V671" t="s">
        <v>806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13.25</v>
      </c>
      <c r="D672">
        <v>14</v>
      </c>
      <c r="E672">
        <v>0.9464285714285714</v>
      </c>
      <c r="F672">
        <v>0.09056603773584905</v>
      </c>
      <c r="G672">
        <v>0.01107281018934803</v>
      </c>
      <c r="H672">
        <v>-0.005</v>
      </c>
      <c r="I672">
        <v>0.08104733102500039</v>
      </c>
      <c r="J672" t="s">
        <v>782</v>
      </c>
      <c r="K672" t="s">
        <v>352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0.261826662368935</v>
      </c>
      <c r="R672" t="s">
        <v>787</v>
      </c>
      <c r="S672" t="s">
        <v>793</v>
      </c>
      <c r="T672">
        <v>1289.83201</v>
      </c>
      <c r="U672" s="2">
        <v>44509</v>
      </c>
      <c r="V672" t="s">
        <v>799</v>
      </c>
    </row>
    <row r="673" spans="1:22">
      <c r="A673" s="1" t="s">
        <v>693</v>
      </c>
      <c r="B673">
        <f>HYPERLINK("https://www.suredividend.com/sure-analysis-SSREY/","Swiss Re Ltd")</f>
        <v>0</v>
      </c>
      <c r="C673">
        <v>24.19</v>
      </c>
      <c r="D673">
        <v>21</v>
      </c>
      <c r="E673">
        <v>1.151904761904762</v>
      </c>
      <c r="F673">
        <v>0.06655642827614718</v>
      </c>
      <c r="G673">
        <v>-0.02788714702715345</v>
      </c>
      <c r="H673">
        <v>0.05</v>
      </c>
      <c r="I673">
        <v>0.07885532967668873</v>
      </c>
      <c r="J673" t="s">
        <v>782</v>
      </c>
      <c r="K673" t="s">
        <v>352</v>
      </c>
      <c r="L673">
        <v>1.75</v>
      </c>
      <c r="M673">
        <v>1.61</v>
      </c>
      <c r="N673">
        <v>0.92</v>
      </c>
      <c r="O673">
        <v>5</v>
      </c>
      <c r="P673">
        <v>0.02027871203234244</v>
      </c>
      <c r="Q673">
        <v>0.039587817126459</v>
      </c>
      <c r="R673" t="s">
        <v>784</v>
      </c>
      <c r="S673" t="s">
        <v>793</v>
      </c>
      <c r="T673">
        <v>30365.442346</v>
      </c>
      <c r="U673" s="2">
        <v>44503</v>
      </c>
      <c r="V673" t="s">
        <v>799</v>
      </c>
    </row>
    <row r="674" spans="1:22">
      <c r="A674" s="1" t="s">
        <v>694</v>
      </c>
      <c r="B674">
        <f>HYPERLINK("https://www.suredividend.com/sure-analysis-TSLX/","Sixth Street Specialty Lending Inc")</f>
        <v>0</v>
      </c>
      <c r="C674">
        <v>22.43</v>
      </c>
      <c r="D674">
        <v>21.78</v>
      </c>
      <c r="E674">
        <v>1.029843893480257</v>
      </c>
      <c r="F674">
        <v>0.07311636201515827</v>
      </c>
      <c r="G674">
        <v>-0.00586418435884728</v>
      </c>
      <c r="H674">
        <v>0.02</v>
      </c>
      <c r="I674">
        <v>0.07864086057588127</v>
      </c>
      <c r="J674" t="s">
        <v>782</v>
      </c>
      <c r="K674" t="s">
        <v>352</v>
      </c>
      <c r="L674">
        <v>1.98</v>
      </c>
      <c r="M674">
        <v>1.64</v>
      </c>
      <c r="N674">
        <v>0.8282828282828283</v>
      </c>
      <c r="O674">
        <v>6</v>
      </c>
      <c r="P674">
        <v>0.01992196624507558</v>
      </c>
      <c r="Q674">
        <v>0.288640680886018</v>
      </c>
      <c r="R674" t="s">
        <v>787</v>
      </c>
      <c r="S674" t="s">
        <v>793</v>
      </c>
      <c r="T674">
        <v>1651.41186</v>
      </c>
      <c r="U674" s="2">
        <v>44504</v>
      </c>
      <c r="V674" t="s">
        <v>799</v>
      </c>
    </row>
    <row r="675" spans="1:22">
      <c r="A675" s="1" t="s">
        <v>695</v>
      </c>
      <c r="B675">
        <f>HYPERLINK("https://www.suredividend.com/sure-analysis-BEP/","Brookfield Renewable Partners LP")</f>
        <v>0</v>
      </c>
      <c r="C675">
        <v>34.25</v>
      </c>
      <c r="D675">
        <v>32</v>
      </c>
      <c r="E675">
        <v>1.0703125</v>
      </c>
      <c r="F675">
        <v>0.03562043795620438</v>
      </c>
      <c r="G675">
        <v>-0.01349820344595853</v>
      </c>
      <c r="H675">
        <v>0.06</v>
      </c>
      <c r="I675">
        <v>0.07821429489410558</v>
      </c>
      <c r="J675" t="s">
        <v>782</v>
      </c>
      <c r="K675" t="s">
        <v>529</v>
      </c>
      <c r="L675">
        <v>1.9</v>
      </c>
      <c r="M675">
        <v>1.22</v>
      </c>
      <c r="N675">
        <v>0.6421052631578947</v>
      </c>
      <c r="O675">
        <v>0</v>
      </c>
      <c r="P675">
        <v>0.05039574430966676</v>
      </c>
      <c r="Q675">
        <v>-0.165889700943386</v>
      </c>
      <c r="R675" t="s">
        <v>785</v>
      </c>
      <c r="S675" t="s">
        <v>796</v>
      </c>
      <c r="T675">
        <v>9152.346278000001</v>
      </c>
      <c r="U675" s="2">
        <v>44518</v>
      </c>
      <c r="V675" t="s">
        <v>807</v>
      </c>
    </row>
    <row r="676" spans="1:22">
      <c r="A676" s="1" t="s">
        <v>696</v>
      </c>
      <c r="B676">
        <f>HYPERLINK("https://www.suredividend.com/sure-analysis-UMH/","UMH Properties Inc")</f>
        <v>0</v>
      </c>
      <c r="C676">
        <v>24.89</v>
      </c>
      <c r="D676">
        <v>25.7</v>
      </c>
      <c r="E676">
        <v>0.9684824902723735</v>
      </c>
      <c r="F676">
        <v>0.03053435114503817</v>
      </c>
      <c r="G676">
        <v>0.006425530820226788</v>
      </c>
      <c r="H676">
        <v>0.045</v>
      </c>
      <c r="I676">
        <v>0.07801910078691154</v>
      </c>
      <c r="J676" t="s">
        <v>782</v>
      </c>
      <c r="K676" t="s">
        <v>529</v>
      </c>
      <c r="L676">
        <v>0.89</v>
      </c>
      <c r="M676">
        <v>0.76</v>
      </c>
      <c r="N676">
        <v>0.8539325842696629</v>
      </c>
      <c r="O676">
        <v>1</v>
      </c>
      <c r="P676">
        <v>0.03439350143683439</v>
      </c>
      <c r="Q676">
        <v>0.665743786847333</v>
      </c>
      <c r="R676" t="s">
        <v>786</v>
      </c>
      <c r="S676" t="s">
        <v>798</v>
      </c>
      <c r="T676">
        <v>1253.295472</v>
      </c>
      <c r="U676" s="2">
        <v>44509</v>
      </c>
      <c r="V676" t="s">
        <v>808</v>
      </c>
    </row>
    <row r="677" spans="1:22">
      <c r="A677" s="1" t="s">
        <v>697</v>
      </c>
      <c r="B677">
        <f>HYPERLINK("https://www.suredividend.com/sure-analysis-ARR/","ARMOUR Residential REIT Inc")</f>
        <v>0</v>
      </c>
      <c r="C677">
        <v>9.640000000000001</v>
      </c>
      <c r="D677">
        <v>6.7</v>
      </c>
      <c r="E677">
        <v>1.438805970149254</v>
      </c>
      <c r="F677">
        <v>0.1244813278008299</v>
      </c>
      <c r="G677">
        <v>-0.0701785648126737</v>
      </c>
      <c r="H677">
        <v>0.046</v>
      </c>
      <c r="I677">
        <v>0.07642497791901759</v>
      </c>
      <c r="J677" t="s">
        <v>782</v>
      </c>
      <c r="K677" t="s">
        <v>352</v>
      </c>
      <c r="L677">
        <v>0.96</v>
      </c>
      <c r="M677">
        <v>1.2</v>
      </c>
      <c r="N677">
        <v>1.25</v>
      </c>
      <c r="O677">
        <v>0</v>
      </c>
      <c r="P677">
        <v>-0.0263528193848318</v>
      </c>
      <c r="Q677">
        <v>-0.012459150326797</v>
      </c>
      <c r="R677" t="s">
        <v>786</v>
      </c>
      <c r="S677" t="s">
        <v>798</v>
      </c>
      <c r="T677">
        <v>867.29291</v>
      </c>
      <c r="U677" s="2">
        <v>44503</v>
      </c>
      <c r="V677" t="s">
        <v>808</v>
      </c>
    </row>
    <row r="678" spans="1:22">
      <c r="A678" s="1" t="s">
        <v>698</v>
      </c>
      <c r="B678">
        <f>HYPERLINK("https://www.suredividend.com/sure-analysis-CRT/","Cross Timbers Royalty Trust")</f>
        <v>0</v>
      </c>
      <c r="C678">
        <v>10.66</v>
      </c>
      <c r="D678">
        <v>9.9</v>
      </c>
      <c r="E678">
        <v>1.076767676767677</v>
      </c>
      <c r="F678">
        <v>0.1031894934333959</v>
      </c>
      <c r="G678">
        <v>-0.01468385736850186</v>
      </c>
      <c r="H678">
        <v>0</v>
      </c>
      <c r="I678">
        <v>0.07634798774193907</v>
      </c>
      <c r="J678" t="s">
        <v>782</v>
      </c>
      <c r="K678" t="s">
        <v>352</v>
      </c>
      <c r="L678">
        <v>1.1</v>
      </c>
      <c r="M678">
        <v>1.1</v>
      </c>
      <c r="N678">
        <v>1</v>
      </c>
      <c r="O678">
        <v>0</v>
      </c>
      <c r="P678">
        <v>0</v>
      </c>
      <c r="Q678">
        <v>0.450129524801601</v>
      </c>
      <c r="R678" t="s">
        <v>784</v>
      </c>
      <c r="S678" t="s">
        <v>797</v>
      </c>
      <c r="T678">
        <v>63.48</v>
      </c>
      <c r="U678" s="2">
        <v>44519</v>
      </c>
      <c r="V678" t="s">
        <v>807</v>
      </c>
    </row>
    <row r="679" spans="1:22">
      <c r="A679" s="1" t="s">
        <v>699</v>
      </c>
      <c r="B679">
        <f>HYPERLINK("https://www.suredividend.com/sure-analysis-HRZN/","Horizon Technology Finance Corp")</f>
        <v>0</v>
      </c>
      <c r="C679">
        <v>16.24</v>
      </c>
      <c r="D679">
        <v>15.76</v>
      </c>
      <c r="E679">
        <v>1.030456852791878</v>
      </c>
      <c r="F679">
        <v>0.07389162561576355</v>
      </c>
      <c r="G679">
        <v>-0.005982483314444176</v>
      </c>
      <c r="H679">
        <v>0.02</v>
      </c>
      <c r="I679">
        <v>0.07578907614878383</v>
      </c>
      <c r="J679" t="s">
        <v>782</v>
      </c>
      <c r="K679" t="s">
        <v>352</v>
      </c>
      <c r="L679">
        <v>1.37</v>
      </c>
      <c r="M679">
        <v>1.2</v>
      </c>
      <c r="N679">
        <v>0.875912408759124</v>
      </c>
      <c r="O679">
        <v>0</v>
      </c>
      <c r="P679">
        <v>0</v>
      </c>
      <c r="Q679">
        <v>0.347352152968449</v>
      </c>
      <c r="R679" t="s">
        <v>787</v>
      </c>
      <c r="S679" t="s">
        <v>793</v>
      </c>
      <c r="T679">
        <v>334.802513</v>
      </c>
      <c r="U679" s="2">
        <v>44502</v>
      </c>
      <c r="V679" t="s">
        <v>799</v>
      </c>
    </row>
    <row r="680" spans="1:22">
      <c r="A680" s="1" t="s">
        <v>700</v>
      </c>
      <c r="B680">
        <f>HYPERLINK("https://www.suredividend.com/sure-analysis-VTR/","Ventas Inc")</f>
        <v>0</v>
      </c>
      <c r="C680">
        <v>49.14</v>
      </c>
      <c r="D680">
        <v>41</v>
      </c>
      <c r="E680">
        <v>1.198536585365854</v>
      </c>
      <c r="F680">
        <v>0.03663003663003663</v>
      </c>
      <c r="G680">
        <v>-0.03557215486511178</v>
      </c>
      <c r="H680">
        <v>0.08</v>
      </c>
      <c r="I680">
        <v>0.07561764776827817</v>
      </c>
      <c r="J680" t="s">
        <v>782</v>
      </c>
      <c r="K680" t="s">
        <v>529</v>
      </c>
      <c r="L680">
        <v>2.9</v>
      </c>
      <c r="M680">
        <v>1.8</v>
      </c>
      <c r="N680">
        <v>0.6206896551724138</v>
      </c>
      <c r="O680">
        <v>0</v>
      </c>
      <c r="P680">
        <v>0.05206626739843068</v>
      </c>
      <c r="Q680">
        <v>0.011740159957609</v>
      </c>
      <c r="R680" t="s">
        <v>786</v>
      </c>
      <c r="S680" t="s">
        <v>798</v>
      </c>
      <c r="T680">
        <v>19511.717601</v>
      </c>
      <c r="U680" s="2">
        <v>44518</v>
      </c>
      <c r="V680" t="s">
        <v>807</v>
      </c>
    </row>
    <row r="681" spans="1:22">
      <c r="A681" s="1" t="s">
        <v>701</v>
      </c>
      <c r="B681">
        <f>HYPERLINK("https://www.suredividend.com/sure-analysis-GBDC/","Golub Capital BDC Inc")</f>
        <v>0</v>
      </c>
      <c r="C681">
        <v>15.01</v>
      </c>
      <c r="D681">
        <v>15.6</v>
      </c>
      <c r="E681">
        <v>0.9621794871794872</v>
      </c>
      <c r="F681">
        <v>0.07994670219853431</v>
      </c>
      <c r="G681">
        <v>0.007740658913157228</v>
      </c>
      <c r="H681">
        <v>0</v>
      </c>
      <c r="I681">
        <v>0.07551039377181445</v>
      </c>
      <c r="J681" t="s">
        <v>782</v>
      </c>
      <c r="K681" t="s">
        <v>352</v>
      </c>
      <c r="L681">
        <v>1.2</v>
      </c>
      <c r="M681">
        <v>1.2</v>
      </c>
      <c r="N681">
        <v>1</v>
      </c>
      <c r="O681">
        <v>0</v>
      </c>
      <c r="P681">
        <v>0</v>
      </c>
      <c r="Q681">
        <v>0.145038167938931</v>
      </c>
      <c r="R681" t="s">
        <v>787</v>
      </c>
      <c r="S681" t="s">
        <v>793</v>
      </c>
      <c r="T681">
        <v>2540.227045</v>
      </c>
      <c r="U681" s="2">
        <v>44532</v>
      </c>
      <c r="V681" t="s">
        <v>799</v>
      </c>
    </row>
    <row r="682" spans="1:22">
      <c r="A682" s="1" t="s">
        <v>702</v>
      </c>
      <c r="B682">
        <f>HYPERLINK("https://www.suredividend.com/sure-analysis-PFLT/","PennantPark Floating Rate Capital Ltd")</f>
        <v>0</v>
      </c>
      <c r="C682">
        <v>12.75</v>
      </c>
      <c r="D682">
        <v>11.9</v>
      </c>
      <c r="E682">
        <v>1.071428571428571</v>
      </c>
      <c r="F682">
        <v>0.08941176470588234</v>
      </c>
      <c r="G682">
        <v>-0.01370381034097057</v>
      </c>
      <c r="H682">
        <v>0.008</v>
      </c>
      <c r="I682">
        <v>0.07239631292234794</v>
      </c>
      <c r="J682" t="s">
        <v>782</v>
      </c>
      <c r="K682" t="s">
        <v>352</v>
      </c>
      <c r="L682">
        <v>1.12</v>
      </c>
      <c r="M682">
        <v>1.14</v>
      </c>
      <c r="N682">
        <v>1.017857142857143</v>
      </c>
      <c r="O682">
        <v>0</v>
      </c>
      <c r="P682">
        <v>0</v>
      </c>
      <c r="Q682">
        <v>0.301312426119199</v>
      </c>
      <c r="R682" t="s">
        <v>787</v>
      </c>
      <c r="S682" t="s">
        <v>793</v>
      </c>
      <c r="T682">
        <v>501.53991</v>
      </c>
      <c r="U682" s="2">
        <v>44521</v>
      </c>
      <c r="V682" t="s">
        <v>808</v>
      </c>
    </row>
    <row r="683" spans="1:22">
      <c r="A683" s="1" t="s">
        <v>703</v>
      </c>
      <c r="B683">
        <f>HYPERLINK("https://www.suredividend.com/sure-analysis-BRMK/","Broadmark Realty Capital Inc")</f>
        <v>0</v>
      </c>
      <c r="C683">
        <v>9.34</v>
      </c>
      <c r="D683">
        <v>7.8</v>
      </c>
      <c r="E683">
        <v>1.197435897435897</v>
      </c>
      <c r="F683">
        <v>0.08993576017130621</v>
      </c>
      <c r="G683">
        <v>-0.03539491882278578</v>
      </c>
      <c r="H683">
        <v>0.03</v>
      </c>
      <c r="I683">
        <v>0.07231790346614875</v>
      </c>
      <c r="J683" t="s">
        <v>782</v>
      </c>
      <c r="K683" t="s">
        <v>352</v>
      </c>
      <c r="L683">
        <v>0.78</v>
      </c>
      <c r="M683">
        <v>0.84</v>
      </c>
      <c r="N683">
        <v>1.076923076923077</v>
      </c>
      <c r="O683">
        <v>1</v>
      </c>
      <c r="P683">
        <v>0</v>
      </c>
      <c r="Q683">
        <v>-0.020267821079776</v>
      </c>
      <c r="R683" t="s">
        <v>786</v>
      </c>
      <c r="S683" t="s">
        <v>798</v>
      </c>
      <c r="T683">
        <v>1255.264835</v>
      </c>
      <c r="U683" s="2">
        <v>44509</v>
      </c>
      <c r="V683" t="s">
        <v>800</v>
      </c>
    </row>
    <row r="684" spans="1:22">
      <c r="A684" s="1" t="s">
        <v>704</v>
      </c>
      <c r="B684">
        <f>HYPERLINK("https://www.suredividend.com/sure-analysis-VLO/","Valero Energy Corp.")</f>
        <v>0</v>
      </c>
      <c r="C684">
        <v>68.75</v>
      </c>
      <c r="D684">
        <v>64</v>
      </c>
      <c r="E684">
        <v>1.07421875</v>
      </c>
      <c r="F684">
        <v>0.05701818181818182</v>
      </c>
      <c r="G684">
        <v>-0.01421670515284268</v>
      </c>
      <c r="H684">
        <v>0.04</v>
      </c>
      <c r="I684">
        <v>0.07229899060253997</v>
      </c>
      <c r="J684" t="s">
        <v>782</v>
      </c>
      <c r="K684" t="s">
        <v>529</v>
      </c>
      <c r="L684">
        <v>0.5</v>
      </c>
      <c r="M684">
        <v>3.92</v>
      </c>
      <c r="N684">
        <v>7.84</v>
      </c>
      <c r="O684">
        <v>10</v>
      </c>
      <c r="P684">
        <v>0</v>
      </c>
      <c r="Q684">
        <v>0.254079802405245</v>
      </c>
      <c r="R684" t="s">
        <v>784</v>
      </c>
      <c r="S684" t="s">
        <v>797</v>
      </c>
      <c r="T684">
        <v>27898.942368</v>
      </c>
      <c r="U684" s="2">
        <v>44491</v>
      </c>
      <c r="V684" t="s">
        <v>807</v>
      </c>
    </row>
    <row r="685" spans="1:22">
      <c r="A685" s="1" t="s">
        <v>705</v>
      </c>
      <c r="B685">
        <f>HYPERLINK("https://www.suredividend.com/sure-analysis-SUNS/","SLR Senior Investment Corp")</f>
        <v>0</v>
      </c>
      <c r="C685">
        <v>13.72</v>
      </c>
      <c r="D685">
        <v>12.1</v>
      </c>
      <c r="E685">
        <v>1.133884297520661</v>
      </c>
      <c r="F685">
        <v>0.08746355685131195</v>
      </c>
      <c r="G685">
        <v>-0.02481670807932879</v>
      </c>
      <c r="H685">
        <v>0.02</v>
      </c>
      <c r="I685">
        <v>0.07129100004096145</v>
      </c>
      <c r="J685" t="s">
        <v>782</v>
      </c>
      <c r="K685" t="s">
        <v>352</v>
      </c>
      <c r="L685">
        <v>1.1</v>
      </c>
      <c r="M685">
        <v>1.2</v>
      </c>
      <c r="N685">
        <v>1.090909090909091</v>
      </c>
      <c r="O685">
        <v>0</v>
      </c>
      <c r="P685">
        <v>0</v>
      </c>
      <c r="Q685">
        <v>0.054719192283421</v>
      </c>
      <c r="R685" t="s">
        <v>787</v>
      </c>
      <c r="S685" t="s">
        <v>793</v>
      </c>
      <c r="T685">
        <v>225.328437</v>
      </c>
      <c r="U685" s="2">
        <v>44504</v>
      </c>
      <c r="V685" t="s">
        <v>799</v>
      </c>
    </row>
    <row r="686" spans="1:22">
      <c r="A686" s="1" t="s">
        <v>706</v>
      </c>
      <c r="B686">
        <f>HYPERLINK("https://www.suredividend.com/sure-analysis-AM/","Antero Midstream Corp")</f>
        <v>0</v>
      </c>
      <c r="C686">
        <v>9.460000000000001</v>
      </c>
      <c r="D686">
        <v>8.800000000000001</v>
      </c>
      <c r="E686">
        <v>1.075</v>
      </c>
      <c r="F686">
        <v>0.09513742071881606</v>
      </c>
      <c r="G686">
        <v>-0.01436002927853708</v>
      </c>
      <c r="H686">
        <v>0</v>
      </c>
      <c r="I686">
        <v>0.070513382816491</v>
      </c>
      <c r="J686" t="s">
        <v>782</v>
      </c>
      <c r="K686" t="s">
        <v>781</v>
      </c>
      <c r="L686">
        <v>1.25</v>
      </c>
      <c r="M686">
        <v>0.9</v>
      </c>
      <c r="N686">
        <v>0.72</v>
      </c>
      <c r="O686">
        <v>0</v>
      </c>
      <c r="P686">
        <v>0</v>
      </c>
      <c r="Q686">
        <v>0.269691028328037</v>
      </c>
      <c r="R686" t="s">
        <v>784</v>
      </c>
      <c r="S686" t="s">
        <v>797</v>
      </c>
      <c r="T686">
        <v>4483.76056</v>
      </c>
      <c r="U686" s="2">
        <v>44504</v>
      </c>
      <c r="V686" t="s">
        <v>808</v>
      </c>
    </row>
    <row r="687" spans="1:22">
      <c r="A687" s="1" t="s">
        <v>707</v>
      </c>
      <c r="B687">
        <f>HYPERLINK("https://www.suredividend.com/sure-analysis-TPVG/","TriplePoint Venture Growth BDC Corp")</f>
        <v>0</v>
      </c>
      <c r="C687">
        <v>16.91</v>
      </c>
      <c r="D687">
        <v>15</v>
      </c>
      <c r="E687">
        <v>1.127333333333333</v>
      </c>
      <c r="F687">
        <v>0.08515671200473092</v>
      </c>
      <c r="G687">
        <v>-0.023685970088553</v>
      </c>
      <c r="H687">
        <v>0.02</v>
      </c>
      <c r="I687">
        <v>0.07039727914191474</v>
      </c>
      <c r="J687" t="s">
        <v>782</v>
      </c>
      <c r="K687" t="s">
        <v>352</v>
      </c>
      <c r="L687">
        <v>1.25</v>
      </c>
      <c r="M687">
        <v>1.44</v>
      </c>
      <c r="N687">
        <v>1.152</v>
      </c>
      <c r="O687">
        <v>0</v>
      </c>
      <c r="P687">
        <v>0</v>
      </c>
      <c r="Q687">
        <v>0.5189293486401</v>
      </c>
      <c r="R687" t="s">
        <v>787</v>
      </c>
      <c r="S687" t="s">
        <v>793</v>
      </c>
      <c r="T687">
        <v>534.165453</v>
      </c>
      <c r="U687" s="2">
        <v>44506</v>
      </c>
      <c r="V687" t="s">
        <v>799</v>
      </c>
    </row>
    <row r="688" spans="1:22">
      <c r="A688" s="1" t="s">
        <v>708</v>
      </c>
      <c r="B688">
        <f>HYPERLINK("https://www.suredividend.com/sure-analysis-LWSCF/","Sienna Senior Living, Inc.")</f>
        <v>0</v>
      </c>
      <c r="C688">
        <v>11.17</v>
      </c>
      <c r="D688">
        <v>11.88</v>
      </c>
      <c r="E688">
        <v>0.9402356902356902</v>
      </c>
      <c r="F688">
        <v>0.06714413607878246</v>
      </c>
      <c r="G688">
        <v>0.01240120524453836</v>
      </c>
      <c r="H688">
        <v>0</v>
      </c>
      <c r="I688">
        <v>0.06950091627326871</v>
      </c>
      <c r="J688" t="s">
        <v>782</v>
      </c>
      <c r="K688" t="s">
        <v>352</v>
      </c>
      <c r="L688">
        <v>0.88</v>
      </c>
      <c r="M688">
        <v>0.75</v>
      </c>
      <c r="N688">
        <v>0.8522727272727273</v>
      </c>
      <c r="O688">
        <v>0</v>
      </c>
      <c r="P688">
        <v>0</v>
      </c>
      <c r="Q688">
        <v>0.008174386920980001</v>
      </c>
      <c r="R688" t="s">
        <v>784</v>
      </c>
      <c r="S688" t="s">
        <v>789</v>
      </c>
      <c r="T688">
        <v>744.134265</v>
      </c>
      <c r="U688" s="2">
        <v>44516</v>
      </c>
      <c r="V688" t="s">
        <v>799</v>
      </c>
    </row>
    <row r="689" spans="1:22">
      <c r="A689" s="1" t="s">
        <v>709</v>
      </c>
      <c r="B689">
        <f>HYPERLINK("https://www.suredividend.com/sure-analysis-FDUS/","Fidus Investment Corp")</f>
        <v>0</v>
      </c>
      <c r="C689">
        <v>17.43</v>
      </c>
      <c r="D689">
        <v>17.97</v>
      </c>
      <c r="E689">
        <v>0.9699499165275459</v>
      </c>
      <c r="F689">
        <v>0.07343660355708549</v>
      </c>
      <c r="G689">
        <v>0.006120824409764802</v>
      </c>
      <c r="H689">
        <v>0</v>
      </c>
      <c r="I689">
        <v>0.06932969791081001</v>
      </c>
      <c r="J689" t="s">
        <v>782</v>
      </c>
      <c r="K689" t="s">
        <v>352</v>
      </c>
      <c r="L689">
        <v>1.51</v>
      </c>
      <c r="M689">
        <v>1.28</v>
      </c>
      <c r="N689">
        <v>0.847682119205298</v>
      </c>
      <c r="O689">
        <v>0</v>
      </c>
      <c r="P689">
        <v>0</v>
      </c>
      <c r="Q689">
        <v>0.400498963193364</v>
      </c>
      <c r="R689" t="s">
        <v>787</v>
      </c>
      <c r="S689" t="s">
        <v>793</v>
      </c>
      <c r="T689">
        <v>422.522646</v>
      </c>
      <c r="U689" s="2">
        <v>44513</v>
      </c>
      <c r="V689" t="s">
        <v>799</v>
      </c>
    </row>
    <row r="690" spans="1:22">
      <c r="A690" s="1" t="s">
        <v>710</v>
      </c>
      <c r="B690">
        <f>HYPERLINK("https://www.suredividend.com/sure-analysis-EXR/","Extra Space Storage Inc.")</f>
        <v>0</v>
      </c>
      <c r="C690">
        <v>214.41</v>
      </c>
      <c r="D690">
        <v>150</v>
      </c>
      <c r="E690">
        <v>1.4294</v>
      </c>
      <c r="F690">
        <v>0.02331980784478336</v>
      </c>
      <c r="G690">
        <v>-0.06895806072263388</v>
      </c>
      <c r="H690">
        <v>0.12</v>
      </c>
      <c r="I690">
        <v>0.06872088281449873</v>
      </c>
      <c r="J690" t="s">
        <v>782</v>
      </c>
      <c r="K690" t="s">
        <v>782</v>
      </c>
      <c r="L690">
        <v>6.8</v>
      </c>
      <c r="M690">
        <v>5</v>
      </c>
      <c r="N690">
        <v>0.7352941176470589</v>
      </c>
      <c r="O690">
        <v>12</v>
      </c>
      <c r="P690">
        <v>0.1101240567487265</v>
      </c>
      <c r="Q690">
        <v>0.9722789982320221</v>
      </c>
      <c r="R690" t="s">
        <v>786</v>
      </c>
      <c r="S690" t="s">
        <v>798</v>
      </c>
      <c r="T690">
        <v>28707.741696</v>
      </c>
      <c r="U690" s="2">
        <v>44500</v>
      </c>
      <c r="V690" t="s">
        <v>799</v>
      </c>
    </row>
    <row r="691" spans="1:22">
      <c r="A691" s="1" t="s">
        <v>711</v>
      </c>
      <c r="B691">
        <f>HYPERLINK("https://www.suredividend.com/sure-analysis-BX/","Blackstone Inc")</f>
        <v>0</v>
      </c>
      <c r="C691">
        <v>123.93</v>
      </c>
      <c r="D691">
        <v>92</v>
      </c>
      <c r="E691">
        <v>1.347065217391304</v>
      </c>
      <c r="F691">
        <v>0.03518115064956023</v>
      </c>
      <c r="G691">
        <v>-0.05784517730261562</v>
      </c>
      <c r="H691">
        <v>0.1</v>
      </c>
      <c r="I691">
        <v>0.06774752771491421</v>
      </c>
      <c r="J691" t="s">
        <v>782</v>
      </c>
      <c r="K691" t="s">
        <v>529</v>
      </c>
      <c r="L691">
        <v>4.6</v>
      </c>
      <c r="M691">
        <v>4.36</v>
      </c>
      <c r="N691">
        <v>0.9478260869565219</v>
      </c>
      <c r="O691">
        <v>0</v>
      </c>
      <c r="P691">
        <v>0.02981918386499416</v>
      </c>
      <c r="Q691">
        <v>1.03635726627756</v>
      </c>
      <c r="R691" t="s">
        <v>784</v>
      </c>
      <c r="S691" t="s">
        <v>793</v>
      </c>
      <c r="T691">
        <v>87830.29872799999</v>
      </c>
      <c r="U691" s="2">
        <v>44494</v>
      </c>
      <c r="V691" t="s">
        <v>799</v>
      </c>
    </row>
    <row r="692" spans="1:22">
      <c r="A692" s="1" t="s">
        <v>712</v>
      </c>
      <c r="B692">
        <f>HYPERLINK("https://www.suredividend.com/sure-analysis-ARI/","Apollo Commercial Real Estate Finance Inc")</f>
        <v>0</v>
      </c>
      <c r="C692">
        <v>13.01</v>
      </c>
      <c r="D692">
        <v>11</v>
      </c>
      <c r="E692">
        <v>1.182727272727273</v>
      </c>
      <c r="F692">
        <v>0.1076095311299001</v>
      </c>
      <c r="G692">
        <v>-0.03300756231305557</v>
      </c>
      <c r="H692">
        <v>0.003</v>
      </c>
      <c r="I692">
        <v>0.06545610212091169</v>
      </c>
      <c r="J692" t="s">
        <v>782</v>
      </c>
      <c r="K692" t="s">
        <v>352</v>
      </c>
      <c r="L692">
        <v>1.38</v>
      </c>
      <c r="M692">
        <v>1.4</v>
      </c>
      <c r="N692">
        <v>1.014492753623188</v>
      </c>
      <c r="O692">
        <v>0</v>
      </c>
      <c r="P692">
        <v>-0.01471229526229867</v>
      </c>
      <c r="Q692">
        <v>0.236215957056771</v>
      </c>
      <c r="R692" t="s">
        <v>786</v>
      </c>
      <c r="S692" t="s">
        <v>798</v>
      </c>
      <c r="T692">
        <v>1839.606889</v>
      </c>
      <c r="U692" s="2">
        <v>44503</v>
      </c>
      <c r="V692" t="s">
        <v>808</v>
      </c>
    </row>
    <row r="693" spans="1:22">
      <c r="A693" s="1" t="s">
        <v>713</v>
      </c>
      <c r="B693">
        <f>HYPERLINK("https://www.suredividend.com/sure-analysis-GLPI/","Gaming and Leisure Properties Inc")</f>
        <v>0</v>
      </c>
      <c r="C693">
        <v>45.6</v>
      </c>
      <c r="D693">
        <v>49</v>
      </c>
      <c r="E693">
        <v>0.9306122448979592</v>
      </c>
      <c r="F693">
        <v>0.05877192982456141</v>
      </c>
      <c r="G693">
        <v>0.0144864423474147</v>
      </c>
      <c r="H693">
        <v>-0.001</v>
      </c>
      <c r="I693">
        <v>0.06512759769915011</v>
      </c>
      <c r="J693" t="s">
        <v>782</v>
      </c>
      <c r="K693" t="s">
        <v>352</v>
      </c>
      <c r="L693">
        <v>3.47</v>
      </c>
      <c r="M693">
        <v>2.68</v>
      </c>
      <c r="N693">
        <v>0.7723342939481268</v>
      </c>
      <c r="O693">
        <v>0</v>
      </c>
      <c r="P693">
        <v>0.008799010229586735</v>
      </c>
      <c r="Q693">
        <v>0.121228176094429</v>
      </c>
      <c r="R693" t="s">
        <v>786</v>
      </c>
      <c r="S693" t="s">
        <v>798</v>
      </c>
      <c r="T693">
        <v>10844.975414</v>
      </c>
      <c r="U693" s="2">
        <v>44506</v>
      </c>
      <c r="V693" t="s">
        <v>808</v>
      </c>
    </row>
    <row r="694" spans="1:22">
      <c r="A694" s="1" t="s">
        <v>714</v>
      </c>
      <c r="B694">
        <f>HYPERLINK("https://www.suredividend.com/sure-analysis-VIA/","Via Renewables Inc")</f>
        <v>0</v>
      </c>
      <c r="C694">
        <v>11.2</v>
      </c>
      <c r="D694">
        <v>10.6</v>
      </c>
      <c r="E694">
        <v>1.056603773584906</v>
      </c>
      <c r="F694">
        <v>0.06517857142857143</v>
      </c>
      <c r="G694">
        <v>-0.010951545801409</v>
      </c>
      <c r="H694">
        <v>0.02</v>
      </c>
      <c r="I694">
        <v>0.06511498960722095</v>
      </c>
      <c r="J694" t="s">
        <v>782</v>
      </c>
      <c r="K694" t="s">
        <v>352</v>
      </c>
      <c r="L694">
        <v>0.85</v>
      </c>
      <c r="M694">
        <v>0.73</v>
      </c>
      <c r="N694">
        <v>0.8588235294117647</v>
      </c>
      <c r="O694">
        <v>0</v>
      </c>
      <c r="P694">
        <v>0</v>
      </c>
      <c r="Q694">
        <v>0.178495345835388</v>
      </c>
      <c r="R694" t="s">
        <v>784</v>
      </c>
      <c r="S694" t="s">
        <v>796</v>
      </c>
      <c r="T694">
        <v>174.877917</v>
      </c>
      <c r="U694" s="2">
        <v>44519</v>
      </c>
      <c r="V694" t="s">
        <v>807</v>
      </c>
    </row>
    <row r="695" spans="1:22">
      <c r="A695" s="1" t="s">
        <v>715</v>
      </c>
      <c r="B695">
        <f>HYPERLINK("https://www.suredividend.com/sure-analysis-BFS/","Saul Centers, Inc.")</f>
        <v>0</v>
      </c>
      <c r="C695">
        <v>51.3</v>
      </c>
      <c r="D695">
        <v>50</v>
      </c>
      <c r="E695">
        <v>1.026</v>
      </c>
      <c r="F695">
        <v>0.04444444444444445</v>
      </c>
      <c r="G695">
        <v>-0.005120395204030626</v>
      </c>
      <c r="H695">
        <v>0.03</v>
      </c>
      <c r="I695">
        <v>0.06462447874966459</v>
      </c>
      <c r="J695" t="s">
        <v>782</v>
      </c>
      <c r="K695" t="s">
        <v>529</v>
      </c>
      <c r="L695">
        <v>3.05</v>
      </c>
      <c r="M695">
        <v>2.28</v>
      </c>
      <c r="N695">
        <v>0.7475409836065574</v>
      </c>
      <c r="O695">
        <v>2</v>
      </c>
      <c r="P695">
        <v>0.02263597526826988</v>
      </c>
      <c r="Q695">
        <v>0.5801767407253811</v>
      </c>
      <c r="R695" t="s">
        <v>786</v>
      </c>
      <c r="S695" t="s">
        <v>798</v>
      </c>
      <c r="T695">
        <v>1228.134</v>
      </c>
      <c r="U695" s="2">
        <v>44531</v>
      </c>
      <c r="V695" t="s">
        <v>799</v>
      </c>
    </row>
    <row r="696" spans="1:22">
      <c r="A696" s="1" t="s">
        <v>716</v>
      </c>
      <c r="B696">
        <f>HYPERLINK("https://www.suredividend.com/sure-analysis-DX/","Dynex Capital, Inc.")</f>
        <v>0</v>
      </c>
      <c r="C696">
        <v>16.62</v>
      </c>
      <c r="D696">
        <v>15.6</v>
      </c>
      <c r="E696">
        <v>1.065384615384615</v>
      </c>
      <c r="F696">
        <v>0.09386281588447654</v>
      </c>
      <c r="G696">
        <v>-0.01258728405945908</v>
      </c>
      <c r="H696">
        <v>-0.0016</v>
      </c>
      <c r="I696">
        <v>0.06400460677936293</v>
      </c>
      <c r="J696" t="s">
        <v>782</v>
      </c>
      <c r="K696" t="s">
        <v>352</v>
      </c>
      <c r="L696">
        <v>1.95</v>
      </c>
      <c r="M696">
        <v>1.56</v>
      </c>
      <c r="N696">
        <v>0.8</v>
      </c>
      <c r="O696">
        <v>0</v>
      </c>
      <c r="P696">
        <v>-0.02706716144586752</v>
      </c>
      <c r="Q696">
        <v>-0.007029095115223</v>
      </c>
      <c r="R696" t="s">
        <v>786</v>
      </c>
      <c r="S696" t="s">
        <v>798</v>
      </c>
      <c r="T696">
        <v>613.785576</v>
      </c>
      <c r="U696" s="2">
        <v>44503</v>
      </c>
      <c r="V696" t="s">
        <v>808</v>
      </c>
    </row>
    <row r="697" spans="1:22">
      <c r="A697" s="1" t="s">
        <v>717</v>
      </c>
      <c r="B697">
        <f>HYPERLINK("https://www.suredividend.com/sure-analysis-MAIN/","Main Street Capital Corporation")</f>
        <v>0</v>
      </c>
      <c r="C697">
        <v>42.86</v>
      </c>
      <c r="D697">
        <v>40</v>
      </c>
      <c r="E697">
        <v>1.0715</v>
      </c>
      <c r="F697">
        <v>0.05879608026131591</v>
      </c>
      <c r="G697">
        <v>-0.01371696043083381</v>
      </c>
      <c r="H697">
        <v>0.025</v>
      </c>
      <c r="I697">
        <v>0.06325975841469744</v>
      </c>
      <c r="J697" t="s">
        <v>782</v>
      </c>
      <c r="K697" t="s">
        <v>352</v>
      </c>
      <c r="L697">
        <v>2.55</v>
      </c>
      <c r="M697">
        <v>2.52</v>
      </c>
      <c r="N697">
        <v>0.9882352941176471</v>
      </c>
      <c r="O697">
        <v>6</v>
      </c>
      <c r="P697">
        <v>0.01011092110060052</v>
      </c>
      <c r="Q697">
        <v>0.4316067551025171</v>
      </c>
      <c r="R697" t="s">
        <v>787</v>
      </c>
      <c r="S697" t="s">
        <v>793</v>
      </c>
      <c r="T697">
        <v>2986.510558</v>
      </c>
      <c r="U697" s="2">
        <v>44511</v>
      </c>
      <c r="V697" t="s">
        <v>806</v>
      </c>
    </row>
    <row r="698" spans="1:22">
      <c r="A698" s="1" t="s">
        <v>718</v>
      </c>
      <c r="B698">
        <f>HYPERLINK("https://www.suredividend.com/sure-analysis-ARCC/","Ares Capital Corp")</f>
        <v>0</v>
      </c>
      <c r="C698">
        <v>19.73</v>
      </c>
      <c r="D698">
        <v>16.4</v>
      </c>
      <c r="E698">
        <v>1.203048780487805</v>
      </c>
      <c r="F698">
        <v>0.08312214901165736</v>
      </c>
      <c r="G698">
        <v>-0.03629668574902989</v>
      </c>
      <c r="H698">
        <v>0.019</v>
      </c>
      <c r="I698">
        <v>0.062776828890454</v>
      </c>
      <c r="J698" t="s">
        <v>782</v>
      </c>
      <c r="K698" t="s">
        <v>352</v>
      </c>
      <c r="L698">
        <v>1.82</v>
      </c>
      <c r="M698">
        <v>1.64</v>
      </c>
      <c r="N698">
        <v>0.901098901098901</v>
      </c>
      <c r="O698">
        <v>4</v>
      </c>
      <c r="P698">
        <v>0.02104646949148603</v>
      </c>
      <c r="Q698">
        <v>0.311460307433143</v>
      </c>
      <c r="R698" t="s">
        <v>787</v>
      </c>
      <c r="S698" t="s">
        <v>793</v>
      </c>
      <c r="T698">
        <v>9182.826004</v>
      </c>
      <c r="U698" s="2">
        <v>44496</v>
      </c>
      <c r="V698" t="s">
        <v>808</v>
      </c>
    </row>
    <row r="699" spans="1:22">
      <c r="A699" s="1" t="s">
        <v>719</v>
      </c>
      <c r="B699">
        <f>HYPERLINK("https://www.suredividend.com/sure-analysis-CIM/","Chimera Investment Corp")</f>
        <v>0</v>
      </c>
      <c r="C699">
        <v>15.08</v>
      </c>
      <c r="D699">
        <v>12</v>
      </c>
      <c r="E699">
        <v>1.256666666666667</v>
      </c>
      <c r="F699">
        <v>0.08753315649867374</v>
      </c>
      <c r="G699">
        <v>-0.04466435790621082</v>
      </c>
      <c r="H699">
        <v>0.02</v>
      </c>
      <c r="I699">
        <v>0.06086928631602495</v>
      </c>
      <c r="J699" t="s">
        <v>782</v>
      </c>
      <c r="K699" t="s">
        <v>352</v>
      </c>
      <c r="L699">
        <v>1.5</v>
      </c>
      <c r="M699">
        <v>1.32</v>
      </c>
      <c r="N699">
        <v>0.88</v>
      </c>
      <c r="O699">
        <v>1</v>
      </c>
      <c r="P699">
        <v>0.02036554426441151</v>
      </c>
      <c r="Q699">
        <v>0.543848964677222</v>
      </c>
      <c r="R699" t="s">
        <v>784</v>
      </c>
      <c r="S699" t="s">
        <v>798</v>
      </c>
      <c r="T699">
        <v>3603.016424</v>
      </c>
      <c r="U699" s="2">
        <v>44515</v>
      </c>
      <c r="V699" t="s">
        <v>807</v>
      </c>
    </row>
    <row r="700" spans="1:22">
      <c r="A700" s="1" t="s">
        <v>720</v>
      </c>
      <c r="B700">
        <f>HYPERLINK("https://www.suredividend.com/sure-analysis-GMRE/","Global Medical REIT Inc")</f>
        <v>0</v>
      </c>
      <c r="C700">
        <v>16.73</v>
      </c>
      <c r="D700">
        <v>14.25</v>
      </c>
      <c r="E700">
        <v>1.174035087719298</v>
      </c>
      <c r="F700">
        <v>0.04901374775851763</v>
      </c>
      <c r="G700">
        <v>-0.03157992266991827</v>
      </c>
      <c r="H700">
        <v>0.05</v>
      </c>
      <c r="I700">
        <v>0.060167894652706</v>
      </c>
      <c r="J700" t="s">
        <v>782</v>
      </c>
      <c r="K700" t="s">
        <v>529</v>
      </c>
      <c r="L700">
        <v>0.95</v>
      </c>
      <c r="M700">
        <v>0.82</v>
      </c>
      <c r="N700">
        <v>0.8631578947368421</v>
      </c>
      <c r="O700">
        <v>1</v>
      </c>
      <c r="P700">
        <v>0.009571122817161548</v>
      </c>
      <c r="Q700">
        <v>0.200613760153585</v>
      </c>
      <c r="R700" t="s">
        <v>786</v>
      </c>
      <c r="S700" t="s">
        <v>798</v>
      </c>
      <c r="T700">
        <v>1060.072809</v>
      </c>
      <c r="U700" s="2">
        <v>44504</v>
      </c>
      <c r="V700" t="s">
        <v>799</v>
      </c>
    </row>
    <row r="701" spans="1:22">
      <c r="A701" s="1" t="s">
        <v>721</v>
      </c>
      <c r="B701">
        <f>HYPERLINK("https://www.suredividend.com/sure-analysis-STOR/","Store Capital Corp")</f>
        <v>0</v>
      </c>
      <c r="C701">
        <v>33.94</v>
      </c>
      <c r="D701">
        <v>30</v>
      </c>
      <c r="E701">
        <v>1.131333333333333</v>
      </c>
      <c r="F701">
        <v>0.04537418974661167</v>
      </c>
      <c r="G701">
        <v>-0.02437732970810191</v>
      </c>
      <c r="H701">
        <v>0.04</v>
      </c>
      <c r="I701">
        <v>0.06013019544277398</v>
      </c>
      <c r="J701" t="s">
        <v>782</v>
      </c>
      <c r="K701" t="s">
        <v>529</v>
      </c>
      <c r="L701">
        <v>1.99</v>
      </c>
      <c r="M701">
        <v>1.54</v>
      </c>
      <c r="N701">
        <v>0.7738693467336684</v>
      </c>
      <c r="O701">
        <v>8</v>
      </c>
      <c r="P701">
        <v>0.05048317528676538</v>
      </c>
      <c r="Q701">
        <v>0.07154440312489101</v>
      </c>
      <c r="R701" t="s">
        <v>786</v>
      </c>
      <c r="S701" t="s">
        <v>798</v>
      </c>
      <c r="T701">
        <v>9279.106599000001</v>
      </c>
      <c r="U701" s="2">
        <v>44530</v>
      </c>
      <c r="V701" t="s">
        <v>805</v>
      </c>
    </row>
    <row r="702" spans="1:22">
      <c r="A702" s="1" t="s">
        <v>722</v>
      </c>
      <c r="B702">
        <f>HYPERLINK("https://www.suredividend.com/sure-analysis-SCM/","Stellus Capital Investment Corp")</f>
        <v>0</v>
      </c>
      <c r="C702">
        <v>12.83</v>
      </c>
      <c r="D702">
        <v>11</v>
      </c>
      <c r="E702">
        <v>1.166363636363636</v>
      </c>
      <c r="F702">
        <v>0.08729540140296181</v>
      </c>
      <c r="G702">
        <v>-0.03030935512999733</v>
      </c>
      <c r="H702">
        <v>0.01</v>
      </c>
      <c r="I702">
        <v>0.0598972040962118</v>
      </c>
      <c r="J702" t="s">
        <v>782</v>
      </c>
      <c r="K702" t="s">
        <v>352</v>
      </c>
      <c r="L702">
        <v>1.08</v>
      </c>
      <c r="M702">
        <v>1.12</v>
      </c>
      <c r="N702">
        <v>1.037037037037037</v>
      </c>
      <c r="O702">
        <v>0</v>
      </c>
      <c r="P702">
        <v>0</v>
      </c>
      <c r="Q702">
        <v>0.280776538457752</v>
      </c>
      <c r="R702" t="s">
        <v>787</v>
      </c>
      <c r="S702" t="s">
        <v>793</v>
      </c>
      <c r="T702">
        <v>253.512899</v>
      </c>
      <c r="U702" s="2">
        <v>44522</v>
      </c>
      <c r="V702" t="s">
        <v>804</v>
      </c>
    </row>
    <row r="703" spans="1:22">
      <c r="A703" s="1" t="s">
        <v>723</v>
      </c>
      <c r="B703">
        <f>HYPERLINK("https://www.suredividend.com/sure-analysis-DANOY/","Danone")</f>
        <v>0</v>
      </c>
      <c r="C703">
        <v>12.19</v>
      </c>
      <c r="D703">
        <v>12.6</v>
      </c>
      <c r="E703">
        <v>0.9674603174603175</v>
      </c>
      <c r="F703">
        <v>0.03609515996718622</v>
      </c>
      <c r="G703">
        <v>0.00663810932174469</v>
      </c>
      <c r="H703">
        <v>0.02</v>
      </c>
      <c r="I703">
        <v>0.05930115491564059</v>
      </c>
      <c r="J703" t="s">
        <v>782</v>
      </c>
      <c r="K703" t="s">
        <v>529</v>
      </c>
      <c r="L703">
        <v>0.7</v>
      </c>
      <c r="M703">
        <v>0.44</v>
      </c>
      <c r="N703">
        <v>0.6285714285714287</v>
      </c>
      <c r="O703">
        <v>0</v>
      </c>
      <c r="P703">
        <v>0.02175949146424117</v>
      </c>
      <c r="Q703">
        <v>-0.027046326876729</v>
      </c>
      <c r="R703" t="s">
        <v>784</v>
      </c>
      <c r="S703" t="s">
        <v>795</v>
      </c>
      <c r="T703">
        <v>41224.018</v>
      </c>
      <c r="U703" s="2">
        <v>44490</v>
      </c>
      <c r="V703" t="s">
        <v>810</v>
      </c>
    </row>
    <row r="704" spans="1:22">
      <c r="A704" s="1" t="s">
        <v>724</v>
      </c>
      <c r="B704">
        <f>HYPERLINK("https://www.suredividend.com/sure-analysis-GSK/","Glaxosmithkline plc")</f>
        <v>0</v>
      </c>
      <c r="C704">
        <v>43.82</v>
      </c>
      <c r="D704">
        <v>40</v>
      </c>
      <c r="E704">
        <v>1.0955</v>
      </c>
      <c r="F704">
        <v>0.05020538566864446</v>
      </c>
      <c r="G704">
        <v>-0.01807679468319368</v>
      </c>
      <c r="H704">
        <v>0.03</v>
      </c>
      <c r="I704">
        <v>0.0591282292134554</v>
      </c>
      <c r="J704" t="s">
        <v>782</v>
      </c>
      <c r="K704" t="s">
        <v>352</v>
      </c>
      <c r="L704">
        <v>2.9</v>
      </c>
      <c r="M704">
        <v>2.2</v>
      </c>
      <c r="N704">
        <v>0.7586206896551725</v>
      </c>
      <c r="O704">
        <v>3</v>
      </c>
      <c r="P704">
        <v>0.02996744995959233</v>
      </c>
      <c r="Q704">
        <v>0.254305750672975</v>
      </c>
      <c r="R704" t="s">
        <v>784</v>
      </c>
      <c r="S704" t="s">
        <v>789</v>
      </c>
      <c r="T704">
        <v>109828.393315</v>
      </c>
      <c r="U704" s="2">
        <v>44496</v>
      </c>
      <c r="V704" t="s">
        <v>800</v>
      </c>
    </row>
    <row r="705" spans="1:22">
      <c r="A705" s="1" t="s">
        <v>725</v>
      </c>
      <c r="B705">
        <f>HYPERLINK("https://www.suredividend.com/sure-analysis-SJT/","San Juan Basin Royalty Trust")</f>
        <v>0</v>
      </c>
      <c r="C705">
        <v>5.86</v>
      </c>
      <c r="D705">
        <v>4.8</v>
      </c>
      <c r="E705">
        <v>1.220833333333333</v>
      </c>
      <c r="F705">
        <v>0.1023890784982935</v>
      </c>
      <c r="G705">
        <v>-0.03912095069334942</v>
      </c>
      <c r="H705">
        <v>0</v>
      </c>
      <c r="I705">
        <v>0.05886208418809069</v>
      </c>
      <c r="J705" t="s">
        <v>782</v>
      </c>
      <c r="K705" t="s">
        <v>352</v>
      </c>
      <c r="L705">
        <v>0.6</v>
      </c>
      <c r="M705">
        <v>0.6</v>
      </c>
      <c r="N705">
        <v>1</v>
      </c>
      <c r="O705">
        <v>1</v>
      </c>
      <c r="P705">
        <v>0</v>
      </c>
      <c r="Q705">
        <v>1.111233077204537</v>
      </c>
      <c r="R705" t="s">
        <v>784</v>
      </c>
      <c r="S705" t="s">
        <v>797</v>
      </c>
      <c r="T705">
        <v>268.932753</v>
      </c>
      <c r="U705" s="2">
        <v>44519</v>
      </c>
      <c r="V705" t="s">
        <v>807</v>
      </c>
    </row>
    <row r="706" spans="1:22">
      <c r="A706" s="1" t="s">
        <v>726</v>
      </c>
      <c r="B706">
        <f>HYPERLINK("https://www.suredividend.com/sure-analysis-GWRS/","Global Water Resources Inc")</f>
        <v>0</v>
      </c>
      <c r="C706">
        <v>16.24</v>
      </c>
      <c r="D706">
        <v>15</v>
      </c>
      <c r="E706">
        <v>1.082666666666667</v>
      </c>
      <c r="F706">
        <v>0.01785714285714286</v>
      </c>
      <c r="G706">
        <v>-0.0157599187962999</v>
      </c>
      <c r="H706">
        <v>0.06</v>
      </c>
      <c r="I706">
        <v>0.05882113341755768</v>
      </c>
      <c r="J706" t="s">
        <v>782</v>
      </c>
      <c r="K706" t="s">
        <v>782</v>
      </c>
      <c r="L706">
        <v>0.4</v>
      </c>
      <c r="M706">
        <v>0.29</v>
      </c>
      <c r="N706">
        <v>0.7249999999999999</v>
      </c>
      <c r="O706">
        <v>6</v>
      </c>
      <c r="P706">
        <v>0.01988310171094443</v>
      </c>
      <c r="Q706">
        <v>0.06798803745384001</v>
      </c>
      <c r="R706" t="s">
        <v>784</v>
      </c>
      <c r="S706" t="s">
        <v>796</v>
      </c>
      <c r="T706">
        <v>358.310123</v>
      </c>
      <c r="U706" s="2">
        <v>44513</v>
      </c>
      <c r="V706" t="s">
        <v>799</v>
      </c>
    </row>
    <row r="707" spans="1:22">
      <c r="A707" s="1" t="s">
        <v>727</v>
      </c>
      <c r="B707">
        <f>HYPERLINK("https://www.suredividend.com/sure-analysis-XRX/","Xerox Holdings Corp")</f>
        <v>0</v>
      </c>
      <c r="C707">
        <v>20.64</v>
      </c>
      <c r="D707">
        <v>16</v>
      </c>
      <c r="E707">
        <v>1.29</v>
      </c>
      <c r="F707">
        <v>0.04844961240310077</v>
      </c>
      <c r="G707">
        <v>-0.04965332858499649</v>
      </c>
      <c r="H707">
        <v>0.07000000000000001</v>
      </c>
      <c r="I707">
        <v>0.05861368212378193</v>
      </c>
      <c r="J707" t="s">
        <v>782</v>
      </c>
      <c r="K707" t="s">
        <v>352</v>
      </c>
      <c r="L707">
        <v>1.6</v>
      </c>
      <c r="M707">
        <v>1</v>
      </c>
      <c r="N707">
        <v>0.625</v>
      </c>
      <c r="O707">
        <v>0</v>
      </c>
      <c r="P707">
        <v>0</v>
      </c>
      <c r="Q707">
        <v>-0.08978581385020601</v>
      </c>
      <c r="R707" t="s">
        <v>784</v>
      </c>
      <c r="S707" t="s">
        <v>790</v>
      </c>
      <c r="T707">
        <v>3695.199559</v>
      </c>
      <c r="U707" s="2">
        <v>44512</v>
      </c>
      <c r="V707" t="s">
        <v>804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29.55</v>
      </c>
      <c r="D708">
        <v>24</v>
      </c>
      <c r="E708">
        <v>1.23125</v>
      </c>
      <c r="F708">
        <v>0.06768189509306261</v>
      </c>
      <c r="G708">
        <v>-0.04075233370445364</v>
      </c>
      <c r="H708">
        <v>0.04</v>
      </c>
      <c r="I708">
        <v>0.05814451333402437</v>
      </c>
      <c r="J708" t="s">
        <v>782</v>
      </c>
      <c r="K708" t="s">
        <v>352</v>
      </c>
      <c r="L708">
        <v>2</v>
      </c>
      <c r="M708">
        <v>2</v>
      </c>
      <c r="N708">
        <v>1</v>
      </c>
      <c r="O708">
        <v>5</v>
      </c>
      <c r="P708">
        <v>0</v>
      </c>
      <c r="Q708">
        <v>0.19381029166313</v>
      </c>
      <c r="R708" t="s">
        <v>784</v>
      </c>
      <c r="S708" t="s">
        <v>797</v>
      </c>
      <c r="T708">
        <v>16257.800681</v>
      </c>
      <c r="U708" s="2">
        <v>44512</v>
      </c>
      <c r="V708" t="s">
        <v>807</v>
      </c>
    </row>
    <row r="709" spans="1:22">
      <c r="A709" s="1" t="s">
        <v>729</v>
      </c>
      <c r="B709">
        <f>HYPERLINK("https://www.suredividend.com/sure-analysis-NEM/","Newmont Corp")</f>
        <v>0</v>
      </c>
      <c r="C709">
        <v>59</v>
      </c>
      <c r="D709">
        <v>56</v>
      </c>
      <c r="E709">
        <v>1.053571428571429</v>
      </c>
      <c r="F709">
        <v>0.03728813559322034</v>
      </c>
      <c r="G709">
        <v>-0.01038287257764647</v>
      </c>
      <c r="H709">
        <v>0.03</v>
      </c>
      <c r="I709">
        <v>0.0555762983340069</v>
      </c>
      <c r="J709" t="s">
        <v>782</v>
      </c>
      <c r="K709" t="s">
        <v>529</v>
      </c>
      <c r="L709">
        <v>3.1</v>
      </c>
      <c r="M709">
        <v>2.2</v>
      </c>
      <c r="N709">
        <v>0.7096774193548387</v>
      </c>
      <c r="O709">
        <v>6</v>
      </c>
      <c r="P709">
        <v>0.04026125343417397</v>
      </c>
      <c r="Q709">
        <v>-0.047344668696234</v>
      </c>
      <c r="R709" t="s">
        <v>784</v>
      </c>
      <c r="S709" t="s">
        <v>794</v>
      </c>
      <c r="T709">
        <v>43244.916536</v>
      </c>
      <c r="U709" s="2">
        <v>44502</v>
      </c>
      <c r="V709" t="s">
        <v>802</v>
      </c>
    </row>
    <row r="710" spans="1:22">
      <c r="A710" s="1" t="s">
        <v>730</v>
      </c>
      <c r="B710">
        <f>HYPERLINK("https://www.suredividend.com/sure-analysis-OXSQ/","Oxford Square Capital Corp")</f>
        <v>0</v>
      </c>
      <c r="C710">
        <v>3.98</v>
      </c>
      <c r="D710">
        <v>3.4</v>
      </c>
      <c r="E710">
        <v>1.170588235294118</v>
      </c>
      <c r="F710">
        <v>0.1055276381909548</v>
      </c>
      <c r="G710">
        <v>-0.03101028146518203</v>
      </c>
      <c r="H710">
        <v>0</v>
      </c>
      <c r="I710">
        <v>0.05316658928517448</v>
      </c>
      <c r="J710" t="s">
        <v>782</v>
      </c>
      <c r="K710" t="s">
        <v>352</v>
      </c>
      <c r="L710">
        <v>0.34</v>
      </c>
      <c r="M710">
        <v>0.42</v>
      </c>
      <c r="N710">
        <v>1.235294117647059</v>
      </c>
      <c r="O710">
        <v>0</v>
      </c>
      <c r="P710">
        <v>-0.05892880441130122</v>
      </c>
      <c r="Q710">
        <v>0.4563106796116501</v>
      </c>
      <c r="R710" t="s">
        <v>787</v>
      </c>
      <c r="S710" t="s">
        <v>793</v>
      </c>
      <c r="T710">
        <v>201.848693</v>
      </c>
      <c r="U710" s="2">
        <v>44502</v>
      </c>
      <c r="V710" t="s">
        <v>799</v>
      </c>
    </row>
    <row r="711" spans="1:22">
      <c r="A711" s="1" t="s">
        <v>731</v>
      </c>
      <c r="B711">
        <f>HYPERLINK("https://www.suredividend.com/sure-analysis-NSA/","National Storage Affiliates Trust")</f>
        <v>0</v>
      </c>
      <c r="C711">
        <v>64.59999999999999</v>
      </c>
      <c r="D711">
        <v>49</v>
      </c>
      <c r="E711">
        <v>1.318367346938775</v>
      </c>
      <c r="F711">
        <v>0.02786377708978328</v>
      </c>
      <c r="G711">
        <v>-0.05377871664795486</v>
      </c>
      <c r="H711">
        <v>0.08</v>
      </c>
      <c r="I711">
        <v>0.05155564638449572</v>
      </c>
      <c r="J711" t="s">
        <v>782</v>
      </c>
      <c r="K711" t="s">
        <v>529</v>
      </c>
      <c r="L711">
        <v>2.21</v>
      </c>
      <c r="M711">
        <v>1.8</v>
      </c>
      <c r="N711">
        <v>0.8144796380090498</v>
      </c>
      <c r="O711">
        <v>6</v>
      </c>
      <c r="P711">
        <v>0.06961037572506878</v>
      </c>
      <c r="Q711">
        <v>0.912091094738646</v>
      </c>
      <c r="R711" t="s">
        <v>786</v>
      </c>
      <c r="S711" t="s">
        <v>798</v>
      </c>
      <c r="T711">
        <v>5762.736544</v>
      </c>
      <c r="U711" s="2">
        <v>44505</v>
      </c>
      <c r="V711" t="s">
        <v>799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16.2</v>
      </c>
      <c r="D712">
        <v>13.7</v>
      </c>
      <c r="E712">
        <v>1.182481751824818</v>
      </c>
      <c r="F712">
        <v>0.08148148148148149</v>
      </c>
      <c r="G712">
        <v>-0.0329674099572268</v>
      </c>
      <c r="H712">
        <v>0.001</v>
      </c>
      <c r="I712">
        <v>0.05079095939537992</v>
      </c>
      <c r="J712" t="s">
        <v>782</v>
      </c>
      <c r="K712" t="s">
        <v>352</v>
      </c>
      <c r="L712">
        <v>1.28</v>
      </c>
      <c r="M712">
        <v>1.32</v>
      </c>
      <c r="N712">
        <v>1.03125</v>
      </c>
      <c r="O712">
        <v>0</v>
      </c>
      <c r="P712">
        <v>0.01896393794917839</v>
      </c>
      <c r="Q712">
        <v>0.224278523364065</v>
      </c>
      <c r="R712" t="s">
        <v>787</v>
      </c>
      <c r="S712" t="s">
        <v>793</v>
      </c>
      <c r="T712">
        <v>1891.478567</v>
      </c>
      <c r="U712" s="2">
        <v>44506</v>
      </c>
      <c r="V712" t="s">
        <v>808</v>
      </c>
    </row>
    <row r="713" spans="1:22">
      <c r="A713" s="1" t="s">
        <v>733</v>
      </c>
      <c r="B713">
        <f>HYPERLINK("https://www.suredividend.com/sure-analysis-HTA/","Healthcare Trust of America Inc")</f>
        <v>0</v>
      </c>
      <c r="C713">
        <v>33.39</v>
      </c>
      <c r="D713">
        <v>31</v>
      </c>
      <c r="E713">
        <v>1.077096774193548</v>
      </c>
      <c r="F713">
        <v>0.03863432165318958</v>
      </c>
      <c r="G713">
        <v>-0.01474407566118874</v>
      </c>
      <c r="H713">
        <v>0.03</v>
      </c>
      <c r="I713">
        <v>0.050342107754767</v>
      </c>
      <c r="J713" t="s">
        <v>782</v>
      </c>
      <c r="K713" t="s">
        <v>529</v>
      </c>
      <c r="L713">
        <v>1.76</v>
      </c>
      <c r="M713">
        <v>1.29</v>
      </c>
      <c r="N713">
        <v>0.7329545454545455</v>
      </c>
      <c r="O713">
        <v>8</v>
      </c>
      <c r="P713">
        <v>0.01504434962783696</v>
      </c>
      <c r="Q713">
        <v>0.315449180636211</v>
      </c>
      <c r="R713" t="s">
        <v>786</v>
      </c>
      <c r="S713" t="s">
        <v>798</v>
      </c>
      <c r="T713">
        <v>7413.535084</v>
      </c>
      <c r="U713" s="2">
        <v>44526</v>
      </c>
      <c r="V713" t="s">
        <v>801</v>
      </c>
    </row>
    <row r="714" spans="1:22">
      <c r="A714" s="1" t="s">
        <v>734</v>
      </c>
      <c r="B714">
        <f>HYPERLINK("https://www.suredividend.com/sure-analysis-BGS/","B&amp;G Foods, Inc")</f>
        <v>0</v>
      </c>
      <c r="C714">
        <v>30.63</v>
      </c>
      <c r="D714">
        <v>25</v>
      </c>
      <c r="E714">
        <v>1.2252</v>
      </c>
      <c r="F714">
        <v>0.06203068886712373</v>
      </c>
      <c r="G714">
        <v>-0.03980685226041158</v>
      </c>
      <c r="H714">
        <v>0.03</v>
      </c>
      <c r="I714">
        <v>0.04669896158959252</v>
      </c>
      <c r="J714" t="s">
        <v>782</v>
      </c>
      <c r="K714" t="s">
        <v>529</v>
      </c>
      <c r="L714">
        <v>1.9</v>
      </c>
      <c r="M714">
        <v>1.9</v>
      </c>
      <c r="N714">
        <v>1</v>
      </c>
      <c r="O714">
        <v>0</v>
      </c>
      <c r="P714">
        <v>0</v>
      </c>
      <c r="Q714">
        <v>0.09241431580174701</v>
      </c>
      <c r="R714" t="s">
        <v>784</v>
      </c>
      <c r="S714" t="s">
        <v>795</v>
      </c>
      <c r="T714">
        <v>1945.609332</v>
      </c>
      <c r="U714" s="2">
        <v>44511</v>
      </c>
      <c r="V714" t="s">
        <v>803</v>
      </c>
    </row>
    <row r="715" spans="1:22">
      <c r="A715" s="1" t="s">
        <v>735</v>
      </c>
      <c r="B715">
        <f>HYPERLINK("https://www.suredividend.com/sure-analysis-PRT/","PermRock Royalty Trust")</f>
        <v>0</v>
      </c>
      <c r="C715">
        <v>6.78</v>
      </c>
      <c r="D715">
        <v>4.13</v>
      </c>
      <c r="E715">
        <v>1.641646489104116</v>
      </c>
      <c r="F715">
        <v>0.08112094395280237</v>
      </c>
      <c r="G715">
        <v>-0.09438403183340027</v>
      </c>
      <c r="H715">
        <v>0.05</v>
      </c>
      <c r="I715">
        <v>0.04518481782569395</v>
      </c>
      <c r="J715" t="s">
        <v>782</v>
      </c>
      <c r="K715" t="s">
        <v>352</v>
      </c>
      <c r="L715">
        <v>0.55</v>
      </c>
      <c r="M715">
        <v>0.55</v>
      </c>
      <c r="N715">
        <v>1</v>
      </c>
      <c r="O715">
        <v>0</v>
      </c>
      <c r="P715">
        <v>0.04941452284458392</v>
      </c>
      <c r="Q715">
        <v>1.129142639883404</v>
      </c>
      <c r="R715" t="s">
        <v>784</v>
      </c>
      <c r="S715" t="s">
        <v>797</v>
      </c>
      <c r="T715">
        <v>81.753719</v>
      </c>
      <c r="U715" s="2">
        <v>44516</v>
      </c>
      <c r="V715" t="s">
        <v>806</v>
      </c>
    </row>
    <row r="716" spans="1:22">
      <c r="A716" s="1" t="s">
        <v>736</v>
      </c>
      <c r="B716">
        <f>HYPERLINK("https://www.suredividend.com/sure-analysis-APTS/","Preferred Apartment Communities Inc")</f>
        <v>0</v>
      </c>
      <c r="C716">
        <v>14.19</v>
      </c>
      <c r="D716">
        <v>12.3</v>
      </c>
      <c r="E716">
        <v>1.153658536585366</v>
      </c>
      <c r="F716">
        <v>0.04933051444679352</v>
      </c>
      <c r="G716">
        <v>-0.02818288523497137</v>
      </c>
      <c r="H716">
        <v>0.02</v>
      </c>
      <c r="I716">
        <v>0.04472552404743468</v>
      </c>
      <c r="J716" t="s">
        <v>782</v>
      </c>
      <c r="K716" t="s">
        <v>352</v>
      </c>
      <c r="L716">
        <v>1.04</v>
      </c>
      <c r="M716">
        <v>0.7</v>
      </c>
      <c r="N716">
        <v>0.673076923076923</v>
      </c>
      <c r="O716">
        <v>0</v>
      </c>
      <c r="P716">
        <v>0.05154749679728043</v>
      </c>
      <c r="Q716">
        <v>0.9755319003192081</v>
      </c>
      <c r="R716" t="s">
        <v>786</v>
      </c>
      <c r="S716" t="s">
        <v>798</v>
      </c>
      <c r="T716">
        <v>763.483526</v>
      </c>
      <c r="U716" s="2">
        <v>44515</v>
      </c>
      <c r="V716" t="s">
        <v>807</v>
      </c>
    </row>
    <row r="717" spans="1:22">
      <c r="A717" s="1" t="s">
        <v>737</v>
      </c>
      <c r="B717">
        <f>HYPERLINK("https://www.suredividend.com/sure-analysis-MNR/","Monmouth Real Estate Investment Corp.")</f>
        <v>0</v>
      </c>
      <c r="C717">
        <v>21</v>
      </c>
      <c r="D717">
        <v>19.11</v>
      </c>
      <c r="E717">
        <v>1.098901098901099</v>
      </c>
      <c r="F717">
        <v>0.03428571428571429</v>
      </c>
      <c r="G717">
        <v>-0.0186853590170093</v>
      </c>
      <c r="H717">
        <v>0.03</v>
      </c>
      <c r="I717">
        <v>0.0433279924233807</v>
      </c>
      <c r="J717" t="s">
        <v>782</v>
      </c>
      <c r="K717" t="s">
        <v>529</v>
      </c>
      <c r="L717">
        <v>0.91</v>
      </c>
      <c r="M717">
        <v>0.72</v>
      </c>
      <c r="N717">
        <v>0.7912087912087912</v>
      </c>
      <c r="O717">
        <v>1</v>
      </c>
      <c r="P717">
        <v>0.01872958559274807</v>
      </c>
      <c r="Q717">
        <v>0.292515747715732</v>
      </c>
      <c r="R717" t="s">
        <v>786</v>
      </c>
      <c r="S717" t="s">
        <v>798</v>
      </c>
      <c r="T717">
        <v>2060.210765</v>
      </c>
      <c r="U717" s="2">
        <v>44520</v>
      </c>
      <c r="V717" t="s">
        <v>799</v>
      </c>
    </row>
    <row r="718" spans="1:22">
      <c r="A718" s="1" t="s">
        <v>738</v>
      </c>
      <c r="B718">
        <f>HYPERLINK("https://www.suredividend.com/sure-analysis-GOOD/","Gladstone Commercial Corp")</f>
        <v>0</v>
      </c>
      <c r="C718">
        <v>23.99</v>
      </c>
      <c r="D718">
        <v>19</v>
      </c>
      <c r="E718">
        <v>1.262631578947368</v>
      </c>
      <c r="F718">
        <v>0.06252605252188412</v>
      </c>
      <c r="G718">
        <v>-0.04556870598852003</v>
      </c>
      <c r="H718">
        <v>0.03</v>
      </c>
      <c r="I718">
        <v>0.04240259449657957</v>
      </c>
      <c r="J718" t="s">
        <v>782</v>
      </c>
      <c r="K718" t="s">
        <v>352</v>
      </c>
      <c r="L718">
        <v>1.56</v>
      </c>
      <c r="M718">
        <v>1.5</v>
      </c>
      <c r="N718">
        <v>0.9615384615384615</v>
      </c>
      <c r="O718">
        <v>0</v>
      </c>
      <c r="P718">
        <v>0</v>
      </c>
      <c r="Q718">
        <v>0.35706823021632</v>
      </c>
      <c r="R718" t="s">
        <v>786</v>
      </c>
      <c r="S718" t="s">
        <v>798</v>
      </c>
      <c r="T718">
        <v>885.8702479999999</v>
      </c>
      <c r="U718" s="2">
        <v>44526</v>
      </c>
      <c r="V718" t="s">
        <v>804</v>
      </c>
    </row>
    <row r="719" spans="1:22">
      <c r="A719" s="1" t="s">
        <v>739</v>
      </c>
      <c r="B719">
        <f>HYPERLINK("https://www.suredividend.com/sure-analysis-SBR/","Sabine Royalty Trust")</f>
        <v>0</v>
      </c>
      <c r="C719">
        <v>40.65</v>
      </c>
      <c r="D719">
        <v>32</v>
      </c>
      <c r="E719">
        <v>1.2703125</v>
      </c>
      <c r="F719">
        <v>0.07749077490774908</v>
      </c>
      <c r="G719">
        <v>-0.04672569791064596</v>
      </c>
      <c r="H719">
        <v>0.01</v>
      </c>
      <c r="I719">
        <v>0.04168609140749746</v>
      </c>
      <c r="J719" t="s">
        <v>782</v>
      </c>
      <c r="K719" t="s">
        <v>352</v>
      </c>
      <c r="L719">
        <v>3.15</v>
      </c>
      <c r="M719">
        <v>3.15</v>
      </c>
      <c r="N719">
        <v>1</v>
      </c>
      <c r="O719">
        <v>0</v>
      </c>
      <c r="P719">
        <v>0.009958405478199817</v>
      </c>
      <c r="Q719">
        <v>0.430996250311888</v>
      </c>
      <c r="R719" t="s">
        <v>784</v>
      </c>
      <c r="S719" t="s">
        <v>797</v>
      </c>
      <c r="T719">
        <v>593.670928</v>
      </c>
      <c r="U719" s="2">
        <v>44519</v>
      </c>
      <c r="V719" t="s">
        <v>807</v>
      </c>
    </row>
    <row r="720" spans="1:22">
      <c r="A720" s="1" t="s">
        <v>740</v>
      </c>
      <c r="B720">
        <f>HYPERLINK("https://www.suredividend.com/sure-analysis-BXMT/","Blackstone Mortgage Trust Inc")</f>
        <v>0</v>
      </c>
      <c r="C720">
        <v>30.34</v>
      </c>
      <c r="D720">
        <v>24.3</v>
      </c>
      <c r="E720">
        <v>1.248559670781893</v>
      </c>
      <c r="F720">
        <v>0.08174027686222808</v>
      </c>
      <c r="G720">
        <v>-0.0434269537182157</v>
      </c>
      <c r="H720">
        <v>0.004</v>
      </c>
      <c r="I720">
        <v>0.04155424957974785</v>
      </c>
      <c r="J720" t="s">
        <v>782</v>
      </c>
      <c r="K720" t="s">
        <v>352</v>
      </c>
      <c r="L720">
        <v>2.43</v>
      </c>
      <c r="M720">
        <v>2.48</v>
      </c>
      <c r="N720">
        <v>1.020576131687243</v>
      </c>
      <c r="O720">
        <v>0</v>
      </c>
      <c r="P720">
        <v>0</v>
      </c>
      <c r="Q720">
        <v>0.167761403294877</v>
      </c>
      <c r="R720" t="s">
        <v>786</v>
      </c>
      <c r="S720" t="s">
        <v>798</v>
      </c>
      <c r="T720">
        <v>5130.131164</v>
      </c>
      <c r="U720" s="2">
        <v>44503</v>
      </c>
      <c r="V720" t="s">
        <v>808</v>
      </c>
    </row>
    <row r="721" spans="1:22">
      <c r="A721" s="1" t="s">
        <v>741</v>
      </c>
      <c r="B721">
        <f>HYPERLINK("https://www.suredividend.com/sure-analysis-BCE/","BCE Inc")</f>
        <v>0</v>
      </c>
      <c r="C721">
        <v>50.96</v>
      </c>
      <c r="D721">
        <v>40</v>
      </c>
      <c r="E721">
        <v>1.274</v>
      </c>
      <c r="F721">
        <v>0.05514128728414443</v>
      </c>
      <c r="G721">
        <v>-0.04727817449869753</v>
      </c>
      <c r="H721">
        <v>0.03</v>
      </c>
      <c r="I721">
        <v>0.03536152543075066</v>
      </c>
      <c r="J721" t="s">
        <v>782</v>
      </c>
      <c r="K721" t="s">
        <v>529</v>
      </c>
      <c r="L721">
        <v>2.56</v>
      </c>
      <c r="M721">
        <v>2.81</v>
      </c>
      <c r="N721">
        <v>1.09765625</v>
      </c>
      <c r="O721">
        <v>12</v>
      </c>
      <c r="P721">
        <v>0.00493329096672368</v>
      </c>
      <c r="Q721">
        <v>0.219729946240191</v>
      </c>
      <c r="R721" t="s">
        <v>784</v>
      </c>
      <c r="S721" t="s">
        <v>788</v>
      </c>
      <c r="T721">
        <v>45942.353447</v>
      </c>
      <c r="U721" s="2">
        <v>44517</v>
      </c>
      <c r="V721" t="s">
        <v>809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8.34</v>
      </c>
      <c r="D722">
        <v>6.3</v>
      </c>
      <c r="E722">
        <v>1.323809523809524</v>
      </c>
      <c r="F722">
        <v>0.08633093525179857</v>
      </c>
      <c r="G722">
        <v>-0.05455798168185677</v>
      </c>
      <c r="H722">
        <v>0</v>
      </c>
      <c r="I722">
        <v>0.03488913822471096</v>
      </c>
      <c r="J722" t="s">
        <v>782</v>
      </c>
      <c r="K722" t="s">
        <v>352</v>
      </c>
      <c r="L722">
        <v>0.74</v>
      </c>
      <c r="M722">
        <v>0.72</v>
      </c>
      <c r="N722">
        <v>0.9729729729729729</v>
      </c>
      <c r="O722">
        <v>0</v>
      </c>
      <c r="P722">
        <v>0</v>
      </c>
      <c r="Q722">
        <v>0.6724210190192991</v>
      </c>
      <c r="R722" t="s">
        <v>787</v>
      </c>
      <c r="S722" t="s">
        <v>793</v>
      </c>
      <c r="T722">
        <v>3267.08127</v>
      </c>
      <c r="U722" s="2">
        <v>44541</v>
      </c>
      <c r="V722" t="s">
        <v>804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11.48</v>
      </c>
      <c r="D723">
        <v>8.5</v>
      </c>
      <c r="E723">
        <v>1.350588235294118</v>
      </c>
      <c r="F723">
        <v>0.06968641114982578</v>
      </c>
      <c r="G723">
        <v>-0.05833721431911632</v>
      </c>
      <c r="H723">
        <v>0.02</v>
      </c>
      <c r="I723">
        <v>0.03300757220766637</v>
      </c>
      <c r="J723" t="s">
        <v>782</v>
      </c>
      <c r="K723" t="s">
        <v>529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0.260838789594761</v>
      </c>
      <c r="R723" t="s">
        <v>786</v>
      </c>
      <c r="S723" t="s">
        <v>798</v>
      </c>
      <c r="T723">
        <v>1430.256175</v>
      </c>
      <c r="U723" s="2">
        <v>44513</v>
      </c>
      <c r="V723" t="s">
        <v>806</v>
      </c>
    </row>
    <row r="724" spans="1:22">
      <c r="A724" s="1" t="s">
        <v>744</v>
      </c>
      <c r="B724">
        <f>HYPERLINK("https://www.suredividend.com/sure-analysis-IRT/","Independence Realty Trust Inc")</f>
        <v>0</v>
      </c>
      <c r="C724">
        <v>24.15</v>
      </c>
      <c r="D724">
        <v>18.7</v>
      </c>
      <c r="E724">
        <v>1.29144385026738</v>
      </c>
      <c r="F724">
        <v>0.01987577639751553</v>
      </c>
      <c r="G724">
        <v>-0.04986592355663289</v>
      </c>
      <c r="H724">
        <v>0.059</v>
      </c>
      <c r="I724">
        <v>0.03150721389960776</v>
      </c>
      <c r="J724" t="s">
        <v>782</v>
      </c>
      <c r="K724" t="s">
        <v>782</v>
      </c>
      <c r="L724">
        <v>0.79</v>
      </c>
      <c r="M724">
        <v>0.48</v>
      </c>
      <c r="N724">
        <v>0.6075949367088607</v>
      </c>
      <c r="O724">
        <v>0</v>
      </c>
      <c r="P724">
        <v>0.1075663432482901</v>
      </c>
      <c r="Q724">
        <v>0.8079906531689741</v>
      </c>
      <c r="R724" t="s">
        <v>786</v>
      </c>
      <c r="S724" t="s">
        <v>798</v>
      </c>
      <c r="T724">
        <v>2569.987006</v>
      </c>
      <c r="U724" s="2">
        <v>44503</v>
      </c>
      <c r="V724" t="s">
        <v>808</v>
      </c>
    </row>
    <row r="725" spans="1:22">
      <c r="A725" s="1" t="s">
        <v>745</v>
      </c>
      <c r="B725">
        <f>HYPERLINK("https://www.suredividend.com/sure-analysis-UBP/","Urstadt Biddle Properties, Inc.")</f>
        <v>0</v>
      </c>
      <c r="C725">
        <v>19.85</v>
      </c>
      <c r="D725">
        <v>16.38</v>
      </c>
      <c r="E725">
        <v>1.211843711843712</v>
      </c>
      <c r="F725">
        <v>0.04181360201511335</v>
      </c>
      <c r="G725">
        <v>-0.03769957574288518</v>
      </c>
      <c r="H725">
        <v>0.02</v>
      </c>
      <c r="I725">
        <v>0.02902034075078874</v>
      </c>
      <c r="J725" t="s">
        <v>782</v>
      </c>
      <c r="K725" t="s">
        <v>529</v>
      </c>
      <c r="L725">
        <v>1.26</v>
      </c>
      <c r="M725">
        <v>0.83</v>
      </c>
      <c r="N725">
        <v>0.6587301587301587</v>
      </c>
      <c r="O725">
        <v>1</v>
      </c>
      <c r="P725">
        <v>0.05013601855760697</v>
      </c>
      <c r="Q725">
        <v>0.4566801619433191</v>
      </c>
      <c r="R725" t="s">
        <v>786</v>
      </c>
      <c r="S725" t="s">
        <v>798</v>
      </c>
      <c r="T725">
        <v>782.3382329999999</v>
      </c>
      <c r="U725" s="2">
        <v>44539</v>
      </c>
      <c r="V725" t="s">
        <v>799</v>
      </c>
    </row>
    <row r="726" spans="1:22">
      <c r="A726" s="1" t="s">
        <v>746</v>
      </c>
      <c r="B726">
        <f>HYPERLINK("https://www.suredividend.com/sure-analysis-ACC/","American Campus Communities Inc.")</f>
        <v>0</v>
      </c>
      <c r="C726">
        <v>55.43</v>
      </c>
      <c r="D726">
        <v>40</v>
      </c>
      <c r="E726">
        <v>1.38575</v>
      </c>
      <c r="F726">
        <v>0.03391665163268988</v>
      </c>
      <c r="G726">
        <v>-0.06316518333552879</v>
      </c>
      <c r="H726">
        <v>0.06</v>
      </c>
      <c r="I726">
        <v>0.02809506851388455</v>
      </c>
      <c r="J726" t="s">
        <v>782</v>
      </c>
      <c r="K726" t="s">
        <v>529</v>
      </c>
      <c r="L726">
        <v>2.1</v>
      </c>
      <c r="M726">
        <v>1.88</v>
      </c>
      <c r="N726">
        <v>0.8952380952380952</v>
      </c>
      <c r="O726">
        <v>8</v>
      </c>
      <c r="P726">
        <v>0.02528440313403202</v>
      </c>
      <c r="Q726">
        <v>0.316027367279163</v>
      </c>
      <c r="R726" t="s">
        <v>786</v>
      </c>
      <c r="S726" t="s">
        <v>798</v>
      </c>
      <c r="T726">
        <v>7698.14704</v>
      </c>
      <c r="U726" s="2">
        <v>44498</v>
      </c>
      <c r="V726" t="s">
        <v>799</v>
      </c>
    </row>
    <row r="727" spans="1:22">
      <c r="A727" s="1" t="s">
        <v>747</v>
      </c>
      <c r="B727">
        <f>HYPERLINK("https://www.suredividend.com/sure-analysis-BKR/","Baker Hughes Co")</f>
        <v>0</v>
      </c>
      <c r="C727">
        <v>24.27</v>
      </c>
      <c r="D727">
        <v>13</v>
      </c>
      <c r="E727">
        <v>1.866923076923077</v>
      </c>
      <c r="F727">
        <v>0.02966625463535229</v>
      </c>
      <c r="G727">
        <v>-0.1173780673899544</v>
      </c>
      <c r="H727">
        <v>0.13</v>
      </c>
      <c r="I727">
        <v>0.02568874599853554</v>
      </c>
      <c r="J727" t="s">
        <v>782</v>
      </c>
      <c r="K727" t="s">
        <v>782</v>
      </c>
      <c r="L727">
        <v>0.75</v>
      </c>
      <c r="M727">
        <v>0.72</v>
      </c>
      <c r="N727">
        <v>0.96</v>
      </c>
      <c r="O727">
        <v>0</v>
      </c>
      <c r="P727">
        <v>0</v>
      </c>
      <c r="Q727">
        <v>0.116771251692965</v>
      </c>
      <c r="R727" t="s">
        <v>784</v>
      </c>
      <c r="S727" t="s">
        <v>797</v>
      </c>
      <c r="T727">
        <v>24669.7692</v>
      </c>
      <c r="U727" s="2">
        <v>44491</v>
      </c>
      <c r="V727" t="s">
        <v>807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29.17</v>
      </c>
      <c r="D728">
        <v>22</v>
      </c>
      <c r="E728">
        <v>1.325909090909091</v>
      </c>
      <c r="F728">
        <v>0.0329105245114844</v>
      </c>
      <c r="G728">
        <v>-0.05485759158283177</v>
      </c>
      <c r="H728">
        <v>0.045</v>
      </c>
      <c r="I728">
        <v>0.021377104632474</v>
      </c>
      <c r="J728" t="s">
        <v>782</v>
      </c>
      <c r="K728" t="s">
        <v>529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0.657909765848086</v>
      </c>
      <c r="R728" t="s">
        <v>784</v>
      </c>
      <c r="S728" t="s">
        <v>788</v>
      </c>
      <c r="T728">
        <v>13835.938804</v>
      </c>
      <c r="U728" s="2">
        <v>44514</v>
      </c>
      <c r="V728" t="s">
        <v>806</v>
      </c>
    </row>
    <row r="729" spans="1:22">
      <c r="A729" s="1" t="s">
        <v>749</v>
      </c>
      <c r="B729">
        <f>HYPERLINK("https://www.suredividend.com/sure-analysis-EVA/","Enviva Partners LP")</f>
        <v>0</v>
      </c>
      <c r="C729">
        <v>71.59</v>
      </c>
      <c r="D729">
        <v>45</v>
      </c>
      <c r="E729">
        <v>1.590888888888889</v>
      </c>
      <c r="F729">
        <v>0.04693392931973739</v>
      </c>
      <c r="G729">
        <v>-0.08867763136348161</v>
      </c>
      <c r="H729">
        <v>0.055</v>
      </c>
      <c r="I729">
        <v>0.01963592663926206</v>
      </c>
      <c r="J729" t="s">
        <v>782</v>
      </c>
      <c r="K729" t="s">
        <v>529</v>
      </c>
      <c r="L729">
        <v>3.78</v>
      </c>
      <c r="M729">
        <v>3.36</v>
      </c>
      <c r="N729">
        <v>0.888888888888889</v>
      </c>
      <c r="O729">
        <v>5</v>
      </c>
      <c r="P729">
        <v>0.06016789231717445</v>
      </c>
      <c r="Q729">
        <v>0.6553384607145271</v>
      </c>
      <c r="R729" t="s">
        <v>784</v>
      </c>
      <c r="S729" t="s">
        <v>794</v>
      </c>
      <c r="T729">
        <v>4338.120165</v>
      </c>
      <c r="U729" s="2">
        <v>44512</v>
      </c>
      <c r="V729" t="s">
        <v>806</v>
      </c>
    </row>
    <row r="730" spans="1:22">
      <c r="A730" s="1" t="s">
        <v>750</v>
      </c>
      <c r="B730">
        <f>HYPERLINK("https://www.suredividend.com/sure-analysis-OLP/","One Liberty Properties, Inc.")</f>
        <v>0</v>
      </c>
      <c r="C730">
        <v>34.88</v>
      </c>
      <c r="D730">
        <v>25</v>
      </c>
      <c r="E730">
        <v>1.3952</v>
      </c>
      <c r="F730">
        <v>0.05160550458715596</v>
      </c>
      <c r="G730">
        <v>-0.06443771380204644</v>
      </c>
      <c r="H730">
        <v>0.03</v>
      </c>
      <c r="I730">
        <v>0.01861767901619005</v>
      </c>
      <c r="J730" t="s">
        <v>782</v>
      </c>
      <c r="K730" t="s">
        <v>529</v>
      </c>
      <c r="L730">
        <v>1.9</v>
      </c>
      <c r="M730">
        <v>1.8</v>
      </c>
      <c r="N730">
        <v>0.9473684210526316</v>
      </c>
      <c r="O730">
        <v>0</v>
      </c>
      <c r="P730">
        <v>0.009805797673485328</v>
      </c>
      <c r="Q730">
        <v>0.6862364688451641</v>
      </c>
      <c r="R730" t="s">
        <v>786</v>
      </c>
      <c r="S730" t="s">
        <v>798</v>
      </c>
      <c r="T730">
        <v>730.636734</v>
      </c>
      <c r="U730" s="2">
        <v>44513</v>
      </c>
      <c r="V730" t="s">
        <v>806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17.4</v>
      </c>
      <c r="D731">
        <v>11.5</v>
      </c>
      <c r="E731">
        <v>1.513043478260869</v>
      </c>
      <c r="F731">
        <v>0.08275862068965517</v>
      </c>
      <c r="G731">
        <v>-0.0794874404846001</v>
      </c>
      <c r="H731">
        <v>0.008</v>
      </c>
      <c r="I731">
        <v>0.01825211902569213</v>
      </c>
      <c r="J731" t="s">
        <v>782</v>
      </c>
      <c r="K731" t="s">
        <v>352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0.321546231604541</v>
      </c>
      <c r="R731" t="s">
        <v>786</v>
      </c>
      <c r="S731" t="s">
        <v>798</v>
      </c>
      <c r="T731">
        <v>2518.347265</v>
      </c>
      <c r="U731" s="2">
        <v>44506</v>
      </c>
      <c r="V731" t="s">
        <v>808</v>
      </c>
    </row>
    <row r="732" spans="1:22">
      <c r="A732" s="1" t="s">
        <v>752</v>
      </c>
      <c r="B732">
        <f>HYPERLINK("https://www.suredividend.com/sure-analysis-EQR/","Equity Residential Properties Trust")</f>
        <v>0</v>
      </c>
      <c r="C732">
        <v>88.13</v>
      </c>
      <c r="D732">
        <v>65</v>
      </c>
      <c r="E732">
        <v>1.355846153846154</v>
      </c>
      <c r="F732">
        <v>0.02745943492567798</v>
      </c>
      <c r="G732">
        <v>-0.0590686961820408</v>
      </c>
      <c r="H732">
        <v>0.048</v>
      </c>
      <c r="I732">
        <v>0.0171724324825977</v>
      </c>
      <c r="J732" t="s">
        <v>782</v>
      </c>
      <c r="K732" t="s">
        <v>782</v>
      </c>
      <c r="L732">
        <v>2.95</v>
      </c>
      <c r="M732">
        <v>2.42</v>
      </c>
      <c r="N732">
        <v>0.8203389830508474</v>
      </c>
      <c r="O732">
        <v>1</v>
      </c>
      <c r="P732">
        <v>0.04390548076893097</v>
      </c>
      <c r="Q732">
        <v>0.5557736935981911</v>
      </c>
      <c r="R732" t="s">
        <v>786</v>
      </c>
      <c r="S732" t="s">
        <v>798</v>
      </c>
      <c r="T732">
        <v>33462.697489</v>
      </c>
      <c r="U732" s="2">
        <v>44496</v>
      </c>
      <c r="V732" t="s">
        <v>808</v>
      </c>
    </row>
    <row r="733" spans="1:22">
      <c r="A733" s="1" t="s">
        <v>753</v>
      </c>
      <c r="B733">
        <f>HYPERLINK("https://www.suredividend.com/sure-analysis-PLYM/","Plymouth Industrial Reit Inc")</f>
        <v>0</v>
      </c>
      <c r="C733">
        <v>29.98</v>
      </c>
      <c r="D733">
        <v>20</v>
      </c>
      <c r="E733">
        <v>1.499</v>
      </c>
      <c r="F733">
        <v>0.02801867911941294</v>
      </c>
      <c r="G733">
        <v>-0.0777690915935968</v>
      </c>
      <c r="H733">
        <v>0.07000000000000001</v>
      </c>
      <c r="I733">
        <v>0.0154604031534018</v>
      </c>
      <c r="J733" t="s">
        <v>782</v>
      </c>
      <c r="K733" t="s">
        <v>529</v>
      </c>
      <c r="L733">
        <v>1.39</v>
      </c>
      <c r="M733">
        <v>0.84</v>
      </c>
      <c r="N733">
        <v>0.6043165467625899</v>
      </c>
      <c r="O733">
        <v>0</v>
      </c>
      <c r="P733">
        <v>0.009347419909568888</v>
      </c>
      <c r="Q733">
        <v>1.211273128111799</v>
      </c>
      <c r="R733" t="s">
        <v>786</v>
      </c>
      <c r="S733" t="s">
        <v>798</v>
      </c>
      <c r="T733">
        <v>1034.35717</v>
      </c>
      <c r="U733" s="2">
        <v>44513</v>
      </c>
      <c r="V733" t="s">
        <v>806</v>
      </c>
    </row>
    <row r="734" spans="1:22">
      <c r="A734" s="1" t="s">
        <v>754</v>
      </c>
      <c r="B734">
        <f>HYPERLINK("https://www.suredividend.com/sure-analysis-LSI/","Life Storage Inc")</f>
        <v>0</v>
      </c>
      <c r="C734">
        <v>144.63</v>
      </c>
      <c r="D734">
        <v>88</v>
      </c>
      <c r="E734">
        <v>1.643522727272727</v>
      </c>
      <c r="F734">
        <v>0.02378483025651663</v>
      </c>
      <c r="G734">
        <v>-0.0945908957418361</v>
      </c>
      <c r="H734">
        <v>0.09</v>
      </c>
      <c r="I734">
        <v>0.01517802701226545</v>
      </c>
      <c r="J734" t="s">
        <v>782</v>
      </c>
      <c r="K734" t="s">
        <v>782</v>
      </c>
      <c r="L734">
        <v>4.85</v>
      </c>
      <c r="M734">
        <v>3.44</v>
      </c>
      <c r="N734">
        <v>0.709278350515464</v>
      </c>
      <c r="O734">
        <v>3</v>
      </c>
      <c r="P734">
        <v>0.05983895403096029</v>
      </c>
      <c r="Q734">
        <v>0.9046557084574111</v>
      </c>
      <c r="R734" t="s">
        <v>786</v>
      </c>
      <c r="S734" t="s">
        <v>798</v>
      </c>
      <c r="T734">
        <v>11907.944129</v>
      </c>
      <c r="U734" s="2">
        <v>44518</v>
      </c>
      <c r="V734" t="s">
        <v>807</v>
      </c>
    </row>
    <row r="735" spans="1:22">
      <c r="A735" s="1" t="s">
        <v>755</v>
      </c>
      <c r="B735">
        <f>HYPERLINK("https://www.suredividend.com/sure-analysis-DREUF/","Dream Industrial Real Estate Investment Trust")</f>
        <v>0</v>
      </c>
      <c r="C735">
        <v>12.6625</v>
      </c>
      <c r="D735">
        <v>9</v>
      </c>
      <c r="E735">
        <v>1.406944444444444</v>
      </c>
      <c r="F735">
        <v>0.04580454096742349</v>
      </c>
      <c r="G735">
        <v>-0.0660048733138765</v>
      </c>
      <c r="H735">
        <v>0.035</v>
      </c>
      <c r="I735">
        <v>0.0146723909941151</v>
      </c>
      <c r="J735" t="s">
        <v>782</v>
      </c>
      <c r="K735" t="s">
        <v>529</v>
      </c>
      <c r="L735">
        <v>0.65</v>
      </c>
      <c r="M735">
        <v>0.58</v>
      </c>
      <c r="N735">
        <v>0.8923076923076922</v>
      </c>
      <c r="O735">
        <v>0</v>
      </c>
      <c r="P735">
        <v>0.003424737731033467</v>
      </c>
      <c r="Q735">
        <v>0.224755290749409</v>
      </c>
      <c r="R735" t="s">
        <v>786</v>
      </c>
      <c r="S735" t="s">
        <v>793</v>
      </c>
      <c r="T735">
        <v>2908.924494</v>
      </c>
      <c r="U735" s="2">
        <v>44513</v>
      </c>
      <c r="V735" t="s">
        <v>806</v>
      </c>
    </row>
    <row r="736" spans="1:22">
      <c r="A736" s="1" t="s">
        <v>756</v>
      </c>
      <c r="B736">
        <f>HYPERLINK("https://www.suredividend.com/sure-analysis-PEAK/","Healthpeak Properties Inc")</f>
        <v>0</v>
      </c>
      <c r="C736">
        <v>34.75</v>
      </c>
      <c r="D736">
        <v>24</v>
      </c>
      <c r="E736">
        <v>1.447916666666667</v>
      </c>
      <c r="F736">
        <v>0.03453237410071942</v>
      </c>
      <c r="G736">
        <v>-0.07135166040965746</v>
      </c>
      <c r="H736">
        <v>0.05</v>
      </c>
      <c r="I736">
        <v>0.01381952099575412</v>
      </c>
      <c r="J736" t="s">
        <v>782</v>
      </c>
      <c r="K736" t="s">
        <v>529</v>
      </c>
      <c r="L736">
        <v>1.6</v>
      </c>
      <c r="M736">
        <v>1.2</v>
      </c>
      <c r="N736">
        <v>0.7499999999999999</v>
      </c>
      <c r="O736">
        <v>0</v>
      </c>
      <c r="P736">
        <v>0.03131030647754507</v>
      </c>
      <c r="Q736">
        <v>0.191835717696891</v>
      </c>
      <c r="R736" t="s">
        <v>786</v>
      </c>
      <c r="S736" t="s">
        <v>798</v>
      </c>
      <c r="T736">
        <v>18565.64736</v>
      </c>
      <c r="U736" s="2">
        <v>44515</v>
      </c>
      <c r="V736" t="s">
        <v>807</v>
      </c>
    </row>
    <row r="737" spans="1:22">
      <c r="A737" s="1" t="s">
        <v>757</v>
      </c>
      <c r="B737">
        <f>HYPERLINK("https://www.suredividend.com/sure-analysis-GAIN/","Gladstone Investment Corporation")</f>
        <v>0</v>
      </c>
      <c r="C737">
        <v>16.4</v>
      </c>
      <c r="D737">
        <v>11</v>
      </c>
      <c r="E737">
        <v>1.490909090909091</v>
      </c>
      <c r="F737">
        <v>0.05487804878048781</v>
      </c>
      <c r="G737">
        <v>-0.07677029941943647</v>
      </c>
      <c r="H737">
        <v>0.03</v>
      </c>
      <c r="I737">
        <v>0.01328364122114434</v>
      </c>
      <c r="J737" t="s">
        <v>782</v>
      </c>
      <c r="K737" t="s">
        <v>529</v>
      </c>
      <c r="L737">
        <v>0.8</v>
      </c>
      <c r="M737">
        <v>0.9</v>
      </c>
      <c r="N737">
        <v>1.125</v>
      </c>
      <c r="O737">
        <v>1</v>
      </c>
      <c r="P737">
        <v>0.01924487649145656</v>
      </c>
      <c r="Q737">
        <v>0.724643755238893</v>
      </c>
      <c r="R737" t="s">
        <v>787</v>
      </c>
      <c r="S737" t="s">
        <v>793</v>
      </c>
      <c r="T737">
        <v>546.554679</v>
      </c>
      <c r="U737" s="2">
        <v>44512</v>
      </c>
      <c r="V737" t="s">
        <v>802</v>
      </c>
    </row>
    <row r="738" spans="1:22">
      <c r="A738" s="1" t="s">
        <v>758</v>
      </c>
      <c r="B738">
        <f>HYPERLINK("https://www.suredividend.com/sure-analysis-EGP/","Eastgroup Properties, Inc.")</f>
        <v>0</v>
      </c>
      <c r="C738">
        <v>217.84</v>
      </c>
      <c r="D738">
        <v>145</v>
      </c>
      <c r="E738">
        <v>1.502344827586207</v>
      </c>
      <c r="F738">
        <v>0.02019831068674257</v>
      </c>
      <c r="G738">
        <v>-0.07818010963969269</v>
      </c>
      <c r="H738">
        <v>0.075</v>
      </c>
      <c r="I738">
        <v>0.01274517389289742</v>
      </c>
      <c r="J738" t="s">
        <v>782</v>
      </c>
      <c r="K738" t="s">
        <v>782</v>
      </c>
      <c r="L738">
        <v>6.05</v>
      </c>
      <c r="M738">
        <v>4.4</v>
      </c>
      <c r="N738">
        <v>0.7272727272727274</v>
      </c>
      <c r="O738">
        <v>11</v>
      </c>
      <c r="P738">
        <v>0.02793993925053573</v>
      </c>
      <c r="Q738">
        <v>0.6467440963725261</v>
      </c>
      <c r="R738" t="s">
        <v>786</v>
      </c>
      <c r="S738" t="s">
        <v>798</v>
      </c>
      <c r="T738">
        <v>8930.604766</v>
      </c>
      <c r="U738" s="2">
        <v>44500</v>
      </c>
      <c r="V738" t="s">
        <v>799</v>
      </c>
    </row>
    <row r="739" spans="1:22">
      <c r="A739" s="1" t="s">
        <v>759</v>
      </c>
      <c r="B739">
        <f>HYPERLINK("https://www.suredividend.com/sure-analysis-IRM/","Iron Mountain Inc.")</f>
        <v>0</v>
      </c>
      <c r="C739">
        <v>50.7</v>
      </c>
      <c r="D739">
        <v>37</v>
      </c>
      <c r="E739">
        <v>1.37027027027027</v>
      </c>
      <c r="F739">
        <v>0.04871794871794872</v>
      </c>
      <c r="G739">
        <v>-0.06105802823480366</v>
      </c>
      <c r="H739">
        <v>0.02</v>
      </c>
      <c r="I739">
        <v>0.01114267660406543</v>
      </c>
      <c r="J739" t="s">
        <v>782</v>
      </c>
      <c r="K739" t="s">
        <v>352</v>
      </c>
      <c r="L739">
        <v>3.39</v>
      </c>
      <c r="M739">
        <v>2.47</v>
      </c>
      <c r="N739">
        <v>0.728613569321534</v>
      </c>
      <c r="O739">
        <v>10</v>
      </c>
      <c r="P739">
        <v>0.01031145931793609</v>
      </c>
      <c r="Q739">
        <v>0.7836500545574361</v>
      </c>
      <c r="R739" t="s">
        <v>786</v>
      </c>
      <c r="S739" t="s">
        <v>798</v>
      </c>
      <c r="T739">
        <v>14341.386636</v>
      </c>
      <c r="U739" s="2">
        <v>44511</v>
      </c>
      <c r="V739" t="s">
        <v>802</v>
      </c>
    </row>
    <row r="740" spans="1:22">
      <c r="A740" s="1" t="s">
        <v>760</v>
      </c>
      <c r="B740">
        <f>HYPERLINK("https://www.suredividend.com/sure-analysis-GLAD/","Gladstone Capital Corp.")</f>
        <v>0</v>
      </c>
      <c r="C740">
        <v>11.35</v>
      </c>
      <c r="D740">
        <v>8</v>
      </c>
      <c r="E740">
        <v>1.41875</v>
      </c>
      <c r="F740">
        <v>0.06872246696035243</v>
      </c>
      <c r="G740">
        <v>-0.06756444563179698</v>
      </c>
      <c r="H740">
        <v>0</v>
      </c>
      <c r="I740">
        <v>0.00950905774633326</v>
      </c>
      <c r="J740" t="s">
        <v>782</v>
      </c>
      <c r="K740" t="s">
        <v>352</v>
      </c>
      <c r="L740">
        <v>0.8</v>
      </c>
      <c r="M740">
        <v>0.78</v>
      </c>
      <c r="N740">
        <v>0.975</v>
      </c>
      <c r="O740">
        <v>0</v>
      </c>
      <c r="P740">
        <v>0</v>
      </c>
      <c r="Q740">
        <v>0.360242034240161</v>
      </c>
      <c r="R740" t="s">
        <v>784</v>
      </c>
      <c r="S740" t="s">
        <v>793</v>
      </c>
      <c r="T740">
        <v>388.668523</v>
      </c>
      <c r="U740" s="2">
        <v>44520</v>
      </c>
      <c r="V740" t="s">
        <v>804</v>
      </c>
    </row>
    <row r="741" spans="1:22">
      <c r="A741" s="1" t="s">
        <v>761</v>
      </c>
      <c r="B741">
        <f>HYPERLINK("https://www.suredividend.com/sure-analysis-HP/","Helmerich &amp; Payne, Inc.")</f>
        <v>0</v>
      </c>
      <c r="C741">
        <v>23.72</v>
      </c>
      <c r="D741">
        <v>9</v>
      </c>
      <c r="E741">
        <v>2.635555555555555</v>
      </c>
      <c r="F741">
        <v>0.04215851602023609</v>
      </c>
      <c r="G741">
        <v>-0.1761928348682521</v>
      </c>
      <c r="H741">
        <v>0.17</v>
      </c>
      <c r="I741">
        <v>0.008391146845387665</v>
      </c>
      <c r="J741" t="s">
        <v>782</v>
      </c>
      <c r="K741" t="s">
        <v>529</v>
      </c>
      <c r="L741">
        <v>0.55</v>
      </c>
      <c r="M741">
        <v>1</v>
      </c>
      <c r="N741">
        <v>1.818181818181818</v>
      </c>
      <c r="O741">
        <v>0</v>
      </c>
      <c r="P741">
        <v>0</v>
      </c>
      <c r="Q741">
        <v>-0.016427575006766</v>
      </c>
      <c r="R741" t="s">
        <v>784</v>
      </c>
      <c r="S741" t="s">
        <v>797</v>
      </c>
      <c r="T741">
        <v>2551.013452</v>
      </c>
      <c r="U741" s="2">
        <v>44524</v>
      </c>
      <c r="V741" t="s">
        <v>807</v>
      </c>
    </row>
    <row r="742" spans="1:22">
      <c r="A742" s="1" t="s">
        <v>762</v>
      </c>
      <c r="B742">
        <f>HYPERLINK("https://www.suredividend.com/sure-analysis-UBA/","Urstadt Biddle Properties, Inc.")</f>
        <v>0</v>
      </c>
      <c r="C742">
        <v>19.72</v>
      </c>
      <c r="D742">
        <v>14</v>
      </c>
      <c r="E742">
        <v>1.408571428571429</v>
      </c>
      <c r="F742">
        <v>0.04665314401622719</v>
      </c>
      <c r="G742">
        <v>-0.06622073710200027</v>
      </c>
      <c r="H742">
        <v>0.018</v>
      </c>
      <c r="I742">
        <v>0.007132073988245224</v>
      </c>
      <c r="J742" t="s">
        <v>782</v>
      </c>
      <c r="K742" t="s">
        <v>352</v>
      </c>
      <c r="L742">
        <v>1.37</v>
      </c>
      <c r="M742">
        <v>0.92</v>
      </c>
      <c r="N742">
        <v>0.6715328467153284</v>
      </c>
      <c r="O742">
        <v>0</v>
      </c>
      <c r="P742">
        <v>0.03638464900130689</v>
      </c>
      <c r="Q742">
        <v>0.385413190968746</v>
      </c>
      <c r="R742" t="s">
        <v>786</v>
      </c>
      <c r="S742" t="s">
        <v>798</v>
      </c>
      <c r="T742">
        <v>782.3382329999999</v>
      </c>
      <c r="U742" s="2">
        <v>44452</v>
      </c>
      <c r="V742" t="s">
        <v>808</v>
      </c>
    </row>
    <row r="743" spans="1:22">
      <c r="A743" s="1" t="s">
        <v>763</v>
      </c>
      <c r="B743">
        <f>HYPERLINK("https://www.suredividend.com/sure-analysis-STAG/","STAG Industrial Inc")</f>
        <v>0</v>
      </c>
      <c r="C743">
        <v>45.36</v>
      </c>
      <c r="D743">
        <v>31</v>
      </c>
      <c r="E743">
        <v>1.463225806451613</v>
      </c>
      <c r="F743">
        <v>0.03196649029982363</v>
      </c>
      <c r="G743">
        <v>-0.07330305865854314</v>
      </c>
      <c r="H743">
        <v>0.05</v>
      </c>
      <c r="I743">
        <v>0.006974562746734803</v>
      </c>
      <c r="J743" t="s">
        <v>782</v>
      </c>
      <c r="K743" t="s">
        <v>529</v>
      </c>
      <c r="L743">
        <v>2.04</v>
      </c>
      <c r="M743">
        <v>1.45</v>
      </c>
      <c r="N743">
        <v>0.7107843137254901</v>
      </c>
      <c r="O743">
        <v>10</v>
      </c>
      <c r="P743">
        <v>0.006803348678863008</v>
      </c>
      <c r="Q743">
        <v>0.522954679223072</v>
      </c>
      <c r="R743" t="s">
        <v>786</v>
      </c>
      <c r="S743" t="s">
        <v>798</v>
      </c>
      <c r="T743">
        <v>7731.383317</v>
      </c>
      <c r="U743" s="2">
        <v>44516</v>
      </c>
      <c r="V743" t="s">
        <v>807</v>
      </c>
    </row>
    <row r="744" spans="1:22">
      <c r="A744" s="1" t="s">
        <v>764</v>
      </c>
      <c r="B744">
        <f>HYPERLINK("https://www.suredividend.com/sure-analysis-UDR/","UDR Inc")</f>
        <v>0</v>
      </c>
      <c r="C744">
        <v>58.69</v>
      </c>
      <c r="D744">
        <v>40</v>
      </c>
      <c r="E744">
        <v>1.46725</v>
      </c>
      <c r="F744">
        <v>0.0247060828079741</v>
      </c>
      <c r="G744">
        <v>-0.0738119434162734</v>
      </c>
      <c r="H744">
        <v>0.055</v>
      </c>
      <c r="I744">
        <v>0.006722636193150722</v>
      </c>
      <c r="J744" t="s">
        <v>782</v>
      </c>
      <c r="K744" t="s">
        <v>782</v>
      </c>
      <c r="L744">
        <v>1.82</v>
      </c>
      <c r="M744">
        <v>1.45</v>
      </c>
      <c r="N744">
        <v>0.7967032967032966</v>
      </c>
      <c r="O744">
        <v>11</v>
      </c>
      <c r="P744">
        <v>0.0499309672496191</v>
      </c>
      <c r="Q744">
        <v>0.602929473254038</v>
      </c>
      <c r="R744" t="s">
        <v>786</v>
      </c>
      <c r="S744" t="s">
        <v>798</v>
      </c>
      <c r="T744">
        <v>18433.691916</v>
      </c>
      <c r="U744" s="2">
        <v>44512</v>
      </c>
      <c r="V744" t="s">
        <v>806</v>
      </c>
    </row>
    <row r="745" spans="1:22">
      <c r="A745" s="1" t="s">
        <v>765</v>
      </c>
      <c r="B745">
        <f>HYPERLINK("https://www.suredividend.com/sure-analysis-LXP/","Lexington Realty Trust")</f>
        <v>0</v>
      </c>
      <c r="C745">
        <v>15.31</v>
      </c>
      <c r="D745">
        <v>11</v>
      </c>
      <c r="E745">
        <v>1.391818181818182</v>
      </c>
      <c r="F745">
        <v>0.03135205747877205</v>
      </c>
      <c r="G745">
        <v>-0.06398351209282072</v>
      </c>
      <c r="H745">
        <v>0.035</v>
      </c>
      <c r="I745">
        <v>0.002782936282027304</v>
      </c>
      <c r="J745" t="s">
        <v>782</v>
      </c>
      <c r="K745" t="s">
        <v>529</v>
      </c>
      <c r="L745">
        <v>0.76</v>
      </c>
      <c r="M745">
        <v>0.48</v>
      </c>
      <c r="N745">
        <v>0.631578947368421</v>
      </c>
      <c r="O745">
        <v>2</v>
      </c>
      <c r="P745">
        <v>0.008197818497166498</v>
      </c>
      <c r="Q745">
        <v>0.4340209760715321</v>
      </c>
      <c r="R745" t="s">
        <v>786</v>
      </c>
      <c r="S745" t="s">
        <v>798</v>
      </c>
      <c r="T745">
        <v>4327.10671</v>
      </c>
      <c r="U745" s="2">
        <v>44513</v>
      </c>
      <c r="V745" t="s">
        <v>806</v>
      </c>
    </row>
    <row r="746" spans="1:22">
      <c r="A746" s="1" t="s">
        <v>766</v>
      </c>
      <c r="B746">
        <f>HYPERLINK("https://www.suredividend.com/sure-analysis-MPC/","Marathon Petroleum Corp")</f>
        <v>0</v>
      </c>
      <c r="C746">
        <v>62.77</v>
      </c>
      <c r="D746">
        <v>49</v>
      </c>
      <c r="E746">
        <v>1.281020408163265</v>
      </c>
      <c r="F746">
        <v>0.03696033136848813</v>
      </c>
      <c r="G746">
        <v>-0.04832471622257195</v>
      </c>
      <c r="H746">
        <v>0.01</v>
      </c>
      <c r="I746">
        <v>0.002179650307558845</v>
      </c>
      <c r="J746" t="s">
        <v>782</v>
      </c>
      <c r="K746" t="s">
        <v>529</v>
      </c>
      <c r="L746">
        <v>1.5</v>
      </c>
      <c r="M746">
        <v>2.32</v>
      </c>
      <c r="N746">
        <v>1.546666666666667</v>
      </c>
      <c r="O746">
        <v>9</v>
      </c>
      <c r="P746">
        <v>0.01013720758985226</v>
      </c>
      <c r="Q746">
        <v>0.5212161938430671</v>
      </c>
      <c r="R746" t="s">
        <v>784</v>
      </c>
      <c r="S746" t="s">
        <v>797</v>
      </c>
      <c r="T746">
        <v>38461.918309</v>
      </c>
      <c r="U746" s="2">
        <v>44504</v>
      </c>
      <c r="V746" t="s">
        <v>807</v>
      </c>
    </row>
    <row r="747" spans="1:22">
      <c r="A747" s="1" t="s">
        <v>767</v>
      </c>
      <c r="B747">
        <f>HYPERLINK("https://www.suredividend.com/sure-analysis-PPRQF/","Choice Properties Real Estate Investment Trust")</f>
        <v>0</v>
      </c>
      <c r="C747">
        <v>11.39</v>
      </c>
      <c r="D747">
        <v>6.7</v>
      </c>
      <c r="E747">
        <v>1.7</v>
      </c>
      <c r="F747">
        <v>0.05179982440737489</v>
      </c>
      <c r="G747">
        <v>-0.1006883577224251</v>
      </c>
      <c r="H747">
        <v>0.049</v>
      </c>
      <c r="I747">
        <v>0.0001784896112493328</v>
      </c>
      <c r="J747" t="s">
        <v>782</v>
      </c>
      <c r="K747" t="s">
        <v>529</v>
      </c>
      <c r="L747">
        <v>0.67</v>
      </c>
      <c r="M747">
        <v>0.59</v>
      </c>
      <c r="N747">
        <v>0.880597014925373</v>
      </c>
      <c r="O747">
        <v>1</v>
      </c>
      <c r="P747">
        <v>-0.006873503878979115</v>
      </c>
      <c r="Q747">
        <v>0.064485981308411</v>
      </c>
      <c r="R747" t="s">
        <v>786</v>
      </c>
      <c r="S747" t="s">
        <v>793</v>
      </c>
      <c r="T747">
        <v>3730.404039</v>
      </c>
      <c r="U747" s="2">
        <v>44509</v>
      </c>
      <c r="V747" t="s">
        <v>808</v>
      </c>
    </row>
    <row r="748" spans="1:22">
      <c r="A748" s="1" t="s">
        <v>768</v>
      </c>
      <c r="B748">
        <f>HYPERLINK("https://www.suredividend.com/sure-analysis-GROW/","U.S. Global Investors, Inc.")</f>
        <v>0</v>
      </c>
      <c r="C748">
        <v>4.59</v>
      </c>
      <c r="D748">
        <v>7</v>
      </c>
      <c r="E748">
        <v>0.6557142857142857</v>
      </c>
      <c r="F748">
        <v>0.0196078431372549</v>
      </c>
      <c r="G748">
        <v>0.08807058799007761</v>
      </c>
      <c r="H748">
        <v>-0.099</v>
      </c>
      <c r="I748">
        <v>-0.0006119219533773368</v>
      </c>
      <c r="J748" t="s">
        <v>782</v>
      </c>
      <c r="K748" t="s">
        <v>782</v>
      </c>
      <c r="L748">
        <v>0.06</v>
      </c>
      <c r="M748">
        <v>0.09</v>
      </c>
      <c r="N748">
        <v>1.5</v>
      </c>
      <c r="O748">
        <v>0</v>
      </c>
      <c r="P748">
        <v>-0.02328131613882611</v>
      </c>
      <c r="Q748">
        <v>0.09864639347302001</v>
      </c>
      <c r="R748" t="s">
        <v>784</v>
      </c>
      <c r="S748" t="s">
        <v>793</v>
      </c>
      <c r="T748">
        <v>61.396561</v>
      </c>
      <c r="U748" s="2">
        <v>44542</v>
      </c>
      <c r="V748" t="s">
        <v>808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18.32</v>
      </c>
      <c r="D749">
        <v>11.2</v>
      </c>
      <c r="E749">
        <v>1.635714285714286</v>
      </c>
      <c r="F749">
        <v>0.04421397379912664</v>
      </c>
      <c r="G749">
        <v>-0.09372810779483964</v>
      </c>
      <c r="H749">
        <v>0.039</v>
      </c>
      <c r="I749">
        <v>-0.008200238847500541</v>
      </c>
      <c r="J749" t="s">
        <v>782</v>
      </c>
      <c r="K749" t="s">
        <v>352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0.08088888888888801</v>
      </c>
      <c r="R749" t="s">
        <v>784</v>
      </c>
      <c r="S749" t="s">
        <v>793</v>
      </c>
      <c r="T749">
        <v>906.5413150000001</v>
      </c>
      <c r="U749" s="2">
        <v>44509</v>
      </c>
      <c r="V749" t="s">
        <v>808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47.82</v>
      </c>
      <c r="D750">
        <v>35.5</v>
      </c>
      <c r="E750">
        <v>1.347042253521127</v>
      </c>
      <c r="F750">
        <v>0.07486407360936846</v>
      </c>
      <c r="G750">
        <v>-0.05784196502424099</v>
      </c>
      <c r="H750">
        <v>-0.053</v>
      </c>
      <c r="I750">
        <v>-0.02030965241972715</v>
      </c>
      <c r="J750" t="s">
        <v>782</v>
      </c>
      <c r="K750" t="s">
        <v>352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0.593171930081522</v>
      </c>
      <c r="R750" t="s">
        <v>784</v>
      </c>
      <c r="S750" t="s">
        <v>793</v>
      </c>
      <c r="T750">
        <v>4726.373523</v>
      </c>
      <c r="U750" s="2">
        <v>44504</v>
      </c>
      <c r="V750" t="s">
        <v>808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83.09999999999999</v>
      </c>
      <c r="D751">
        <v>56</v>
      </c>
      <c r="E751">
        <v>1.483928571428571</v>
      </c>
      <c r="F751">
        <v>0.02936221419975933</v>
      </c>
      <c r="G751">
        <v>-0.07590333981806652</v>
      </c>
      <c r="H751">
        <v>0.012</v>
      </c>
      <c r="I751">
        <v>-0.02402294148356587</v>
      </c>
      <c r="J751" t="s">
        <v>782</v>
      </c>
      <c r="K751" t="s">
        <v>529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0.299653582390516</v>
      </c>
      <c r="R751" t="s">
        <v>786</v>
      </c>
      <c r="S751" t="s">
        <v>798</v>
      </c>
      <c r="T751">
        <v>36106.022098</v>
      </c>
      <c r="U751" s="2">
        <v>44505</v>
      </c>
      <c r="V751" t="s">
        <v>809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114.5</v>
      </c>
      <c r="D752">
        <v>78</v>
      </c>
      <c r="E752">
        <v>1.467948717948718</v>
      </c>
      <c r="F752">
        <v>0.03493449781659388</v>
      </c>
      <c r="G752">
        <v>-0.0739001300753912</v>
      </c>
      <c r="H752">
        <v>0.001</v>
      </c>
      <c r="I752">
        <v>-0.02987033670315908</v>
      </c>
      <c r="J752" t="s">
        <v>782</v>
      </c>
      <c r="K752" t="s">
        <v>529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0.454359906478235</v>
      </c>
      <c r="R752" t="s">
        <v>786</v>
      </c>
      <c r="S752" t="s">
        <v>798</v>
      </c>
      <c r="T752">
        <v>9947.766278999999</v>
      </c>
      <c r="U752" s="2">
        <v>44509</v>
      </c>
      <c r="V752" t="s">
        <v>808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30.67</v>
      </c>
      <c r="D753">
        <v>15</v>
      </c>
      <c r="E753">
        <v>2.044666666666667</v>
      </c>
      <c r="F753">
        <v>0.0176067818715357</v>
      </c>
      <c r="G753">
        <v>-0.1332866289371704</v>
      </c>
      <c r="H753">
        <v>0.06</v>
      </c>
      <c r="I753">
        <v>-0.05562260464688962</v>
      </c>
      <c r="J753" t="s">
        <v>782</v>
      </c>
      <c r="K753" t="s">
        <v>782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1.09677201238725</v>
      </c>
      <c r="R753" t="s">
        <v>786</v>
      </c>
      <c r="S753" t="s">
        <v>798</v>
      </c>
      <c r="T753">
        <v>1060.852503</v>
      </c>
      <c r="U753" s="2">
        <v>44527</v>
      </c>
      <c r="V753" t="s">
        <v>804</v>
      </c>
    </row>
    <row r="754" spans="1:22">
      <c r="A754" s="1" t="s">
        <v>774</v>
      </c>
      <c r="B754">
        <f>HYPERLINK("https://www.suredividend.com/sure-analysis-PBT/","Permian Basin Royalty Trust")</f>
        <v>0</v>
      </c>
      <c r="C754">
        <v>8.94</v>
      </c>
      <c r="D754">
        <v>2.7</v>
      </c>
      <c r="E754">
        <v>3.311111111111111</v>
      </c>
      <c r="F754">
        <v>0.02348993288590604</v>
      </c>
      <c r="G754">
        <v>-0.2129446976685706</v>
      </c>
      <c r="H754">
        <v>0.13</v>
      </c>
      <c r="I754">
        <v>-0.06117211820052548</v>
      </c>
      <c r="J754" t="s">
        <v>782</v>
      </c>
      <c r="K754" t="s">
        <v>782</v>
      </c>
      <c r="L754">
        <v>0.21</v>
      </c>
      <c r="M754">
        <v>0.21</v>
      </c>
      <c r="N754">
        <v>1</v>
      </c>
      <c r="O754">
        <v>0</v>
      </c>
      <c r="P754">
        <v>0.1317983656310018</v>
      </c>
      <c r="Q754">
        <v>1.715699269442989</v>
      </c>
      <c r="R754" t="s">
        <v>784</v>
      </c>
      <c r="S754" t="s">
        <v>797</v>
      </c>
      <c r="T754">
        <v>410.623493</v>
      </c>
      <c r="U754" s="2">
        <v>44519</v>
      </c>
      <c r="V754" t="s">
        <v>807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29.48</v>
      </c>
      <c r="D755">
        <v>11</v>
      </c>
      <c r="E755">
        <v>2.68</v>
      </c>
      <c r="F755">
        <v>0.05630936227951153</v>
      </c>
      <c r="G755">
        <v>-0.1789435045330252</v>
      </c>
      <c r="H755">
        <v>0.02</v>
      </c>
      <c r="I755">
        <v>-0.09861886534643038</v>
      </c>
      <c r="J755" t="s">
        <v>782</v>
      </c>
      <c r="K755" t="s">
        <v>352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0.10975461797446</v>
      </c>
      <c r="R755" t="s">
        <v>784</v>
      </c>
      <c r="S755" t="s">
        <v>796</v>
      </c>
      <c r="T755">
        <v>22526.362498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791</v>
      </c>
      <c r="T756">
        <v>2694.766027</v>
      </c>
      <c r="U756" s="2">
        <v>44507</v>
      </c>
      <c r="V756" t="s">
        <v>801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8.279999999999999</v>
      </c>
      <c r="D757">
        <v>5.95</v>
      </c>
      <c r="E757">
        <v>1.391596638655462</v>
      </c>
      <c r="F757">
        <v>0.009661835748792272</v>
      </c>
      <c r="G757">
        <v>-0.06395371109397752</v>
      </c>
      <c r="H757">
        <v>-0.1</v>
      </c>
      <c r="I757">
        <v>-0.1391943184292066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0.4643021160843601</v>
      </c>
      <c r="R757" t="s">
        <v>784</v>
      </c>
      <c r="S757" t="s">
        <v>797</v>
      </c>
      <c r="T757">
        <v>1783.280105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40.8</v>
      </c>
      <c r="D758">
        <v>12</v>
      </c>
      <c r="E758">
        <v>3.4</v>
      </c>
      <c r="F758">
        <v>0.0002450980392156863</v>
      </c>
      <c r="G758">
        <v>-0.2171037432364947</v>
      </c>
      <c r="H758">
        <v>0.06</v>
      </c>
      <c r="I758">
        <v>-0.1665192947815501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0.345252108764787</v>
      </c>
      <c r="R758" t="s">
        <v>784</v>
      </c>
      <c r="S758" t="s">
        <v>792</v>
      </c>
      <c r="T758">
        <v>19400.868705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31.46</v>
      </c>
      <c r="D759">
        <v>39</v>
      </c>
      <c r="E759">
        <v>0.8066666666666666</v>
      </c>
      <c r="F759">
        <v>0</v>
      </c>
      <c r="G759">
        <v>0.04390548076893075</v>
      </c>
      <c r="H759">
        <v>0.03</v>
      </c>
      <c r="I759">
        <v>0.09449604361571251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0.219204863073327</v>
      </c>
      <c r="R759" t="s">
        <v>784</v>
      </c>
      <c r="S759" t="s">
        <v>797</v>
      </c>
      <c r="T759">
        <v>5188.504784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794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792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793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791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790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488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706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656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730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354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653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634</v>
      </c>
      <c r="B243">
        <v>43819</v>
      </c>
    </row>
    <row r="244" spans="1:2">
      <c r="A244" s="1" t="s">
        <v>683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645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635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658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682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650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703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774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697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585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734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679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630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360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190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537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716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668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680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709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698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707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712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652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699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719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608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586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722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492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646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346</v>
      </c>
      <c r="B483">
        <v>43832</v>
      </c>
    </row>
    <row r="484" spans="1:2">
      <c r="A484" s="1" t="s">
        <v>337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702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690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718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678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564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676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675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636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665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449</v>
      </c>
      <c r="B629">
        <v>43845</v>
      </c>
    </row>
    <row r="630" spans="1:2">
      <c r="A630" s="1" t="s">
        <v>662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753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760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479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736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759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735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705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689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399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338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215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701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749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694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495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666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640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555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363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738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713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740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526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205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629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761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356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750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647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511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648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609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684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642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343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720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577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654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595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184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546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700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377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717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497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578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757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270</v>
      </c>
      <c r="B1527">
        <v>43830</v>
      </c>
    </row>
    <row r="1528" spans="1:2">
      <c r="A1528" s="1" t="s">
        <v>362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600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386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258</v>
      </c>
      <c r="B1556">
        <v>43864</v>
      </c>
    </row>
    <row r="1557" spans="1:2">
      <c r="A1557" s="1" t="s">
        <v>348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359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432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365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486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84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379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745</v>
      </c>
      <c r="B1646">
        <v>43847</v>
      </c>
    </row>
    <row r="1647" spans="1:2">
      <c r="A1647" s="1" t="s">
        <v>567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741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670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655</v>
      </c>
      <c r="B1677" t="s">
        <v>10115</v>
      </c>
    </row>
    <row r="1678" spans="1:2">
      <c r="A1678" s="1" t="s">
        <v>481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539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574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744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508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572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525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246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590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388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507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728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375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621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204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528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247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519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763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521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450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762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672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589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696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430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737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529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579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396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673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628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541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695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206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535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400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335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688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503</v>
      </c>
      <c r="B2124" t="s">
        <v>783</v>
      </c>
    </row>
    <row r="2125" spans="1:2">
      <c r="A2125" s="1" t="s">
        <v>597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505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651</v>
      </c>
      <c r="B2147">
        <v>43861</v>
      </c>
    </row>
    <row r="2148" spans="1:2">
      <c r="A2148" s="1" t="s">
        <v>667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566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534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416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733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397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385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523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188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439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235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715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85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746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687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199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731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202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531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485</v>
      </c>
      <c r="B2358">
        <v>43809</v>
      </c>
    </row>
    <row r="2359" spans="1:2">
      <c r="A2359" s="1" t="s">
        <v>533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389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209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436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261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669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181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229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494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598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431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765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277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570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238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639</v>
      </c>
      <c r="B2444">
        <v>43823</v>
      </c>
    </row>
    <row r="2445" spans="1:2">
      <c r="A2445" s="1" t="s">
        <v>724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420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455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426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203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457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225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402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754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721</v>
      </c>
      <c r="B2525">
        <v>43845</v>
      </c>
    </row>
    <row r="2526" spans="1:2">
      <c r="A2526" s="1" t="s">
        <v>332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691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530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41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704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410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87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30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661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444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506</v>
      </c>
      <c r="B2584">
        <v>43846</v>
      </c>
    </row>
    <row r="2585" spans="1:2">
      <c r="A2585" s="1" t="s">
        <v>451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429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599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674</v>
      </c>
      <c r="B2602">
        <v>43798</v>
      </c>
    </row>
    <row r="2603" spans="1:2">
      <c r="A2603" s="1" t="s">
        <v>367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264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739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638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415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134</v>
      </c>
      <c r="B2652">
        <v>43832</v>
      </c>
    </row>
    <row r="2653" spans="1:2">
      <c r="A2653" s="1" t="s">
        <v>500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550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711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406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520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378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685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250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232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230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596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710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372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766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283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361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58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260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56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554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561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664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290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48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117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244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425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512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311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89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454</v>
      </c>
      <c r="B2913">
        <v>43629</v>
      </c>
    </row>
    <row r="2914" spans="1:2">
      <c r="A2914" s="1" t="s">
        <v>35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59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559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196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34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259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491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369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221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587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376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269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545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333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275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284</v>
      </c>
      <c r="B3062">
        <v>43801</v>
      </c>
    </row>
    <row r="3063" spans="1:2">
      <c r="A3063" s="1" t="s">
        <v>39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623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442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657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714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459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272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408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373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513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569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514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374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622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265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764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409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197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615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82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510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414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544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446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551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407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219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318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580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52</v>
      </c>
      <c r="B3280">
        <v>43831</v>
      </c>
    </row>
    <row r="3281" spans="1:2">
      <c r="A3281" s="1" t="s">
        <v>391</v>
      </c>
      <c r="B3281">
        <v>43800</v>
      </c>
    </row>
    <row r="3282" spans="1:2">
      <c r="A3282" s="1" t="s">
        <v>105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422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195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549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573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201</v>
      </c>
      <c r="B3325">
        <v>43892</v>
      </c>
    </row>
    <row r="3326" spans="1:2">
      <c r="A3326" s="1" t="s">
        <v>344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342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241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295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752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575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171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83</v>
      </c>
      <c r="B3364">
        <v>43818</v>
      </c>
    </row>
    <row r="3365" spans="1:2">
      <c r="A3365" s="1" t="s">
        <v>298</v>
      </c>
      <c r="B3365">
        <v>43837</v>
      </c>
    </row>
    <row r="3366" spans="1:2">
      <c r="A3366" s="1" t="s">
        <v>49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109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81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106</v>
      </c>
      <c r="B3400">
        <v>43845</v>
      </c>
    </row>
    <row r="3401" spans="1:2">
      <c r="A3401" s="1" t="s">
        <v>383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222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427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236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461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612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110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198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276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67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217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727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47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88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279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257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423</v>
      </c>
      <c r="B3529">
        <v>43801</v>
      </c>
    </row>
    <row r="3530" spans="1:2">
      <c r="A3530" s="1" t="s">
        <v>70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185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351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543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723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73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509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395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237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352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60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412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606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394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280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435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214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466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424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610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299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228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207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107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234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242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120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301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267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411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604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245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268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97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141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460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358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142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768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490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563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334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501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453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29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726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324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155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758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111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128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122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273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189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428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303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135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86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441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53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516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61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371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170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305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243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79</v>
      </c>
      <c r="B4199">
        <v>43812</v>
      </c>
    </row>
    <row r="4200" spans="1:2">
      <c r="A4200" s="1" t="s">
        <v>216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116</v>
      </c>
      <c r="B4207">
        <v>43879</v>
      </c>
    </row>
    <row r="4208" spans="1:2">
      <c r="A4208" s="1" t="s">
        <v>239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681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46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307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663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288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78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434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384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71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357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100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677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90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315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286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308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467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387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200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137</v>
      </c>
      <c r="B4409">
        <v>43840</v>
      </c>
    </row>
    <row r="4410" spans="1:2">
      <c r="A4410" s="1" t="s">
        <v>403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129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68</v>
      </c>
      <c r="B4446">
        <v>43801</v>
      </c>
    </row>
    <row r="4447" spans="1:2">
      <c r="A4447" s="1" t="s">
        <v>75</v>
      </c>
      <c r="B4447">
        <v>43815</v>
      </c>
    </row>
    <row r="4448" spans="1:2">
      <c r="A4448" s="1" t="s">
        <v>143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63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76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524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256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101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292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240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91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74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353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293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125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278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562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447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498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605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95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314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28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271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300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64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223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251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148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42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210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151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99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57</v>
      </c>
      <c r="B4809">
        <v>43816</v>
      </c>
    </row>
    <row r="4810" spans="1:2">
      <c r="A4810" s="1" t="s">
        <v>594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306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212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173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518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381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433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150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179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553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370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233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164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114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40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624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45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568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62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133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152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249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119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104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340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558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118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113</v>
      </c>
      <c r="B5207">
        <v>43871</v>
      </c>
    </row>
    <row r="5208" spans="1:2">
      <c r="A5208" s="1" t="s">
        <v>729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139</v>
      </c>
      <c r="B5274">
        <v>43801</v>
      </c>
    </row>
    <row r="5275" spans="1:2">
      <c r="A5275" s="1" t="s">
        <v>341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252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154</v>
      </c>
      <c r="B5286">
        <v>43809</v>
      </c>
    </row>
    <row r="5287" spans="1:2">
      <c r="A5287" s="1" t="s">
        <v>147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112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98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440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281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146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132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131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218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649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231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393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368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262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54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50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33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108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418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156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115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302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77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313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448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160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66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475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192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167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297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65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138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31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162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607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462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263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159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183</v>
      </c>
      <c r="B5882">
        <v>43613</v>
      </c>
    </row>
    <row r="5883" spans="1:2">
      <c r="A5883" s="1" t="s">
        <v>366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583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121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659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124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413</v>
      </c>
      <c r="B5927">
        <v>43784</v>
      </c>
    </row>
    <row r="5928" spans="1:2">
      <c r="A5928" s="1" t="s">
        <v>186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127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94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44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618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626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364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484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465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92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191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289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69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72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390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380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417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576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522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158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591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404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401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80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103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282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547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457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224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540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347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557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2021-12-17T07:13:22Z</dcterms:created>
  <dcterms:modified xsi:type="dcterms:W3CDTF">2021-12-17T07:13:22Z</dcterms:modified>
</cp:coreProperties>
</file>