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<sst xmlns="http://schemas.openxmlformats.org/spreadsheetml/2006/main" count="20825" uniqueCount="10144">
  <si>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</si>
  <si>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</si>
  <si>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</si>
  <si>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</si>
  <si>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</si>
  <si>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</si>
  <si>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</si>
  <si>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</si>
  <si>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</si>
  <si>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</si>
  <si>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</si>
  <si>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</si>
  <si>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</si>
  <si>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</si>
  <si>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</si>
  <si>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</si>
  <si>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</si>
  <si>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</si>
  <si>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</si>
  <si>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</si>
  <si>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</si>
  <si>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</si>
  <si>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</si>
  <si>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</si>
  <si>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</si>
  <si>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</si>
  <si>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</si>
  <si>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DCI</t>
  </si>
  <si>
    <t>RGLD</t>
  </si>
  <si>
    <t>UNM</t>
  </si>
  <si>
    <t>FDX</t>
  </si>
  <si>
    <t>BBY</t>
  </si>
  <si>
    <t>SLGN</t>
  </si>
  <si>
    <t>ADM</t>
  </si>
  <si>
    <t>FMS</t>
  </si>
  <si>
    <t>SYK</t>
  </si>
  <si>
    <t>WBA</t>
  </si>
  <si>
    <t>SKM</t>
  </si>
  <si>
    <t>CAH</t>
  </si>
  <si>
    <t>BANF</t>
  </si>
  <si>
    <t>ATO</t>
  </si>
  <si>
    <t>BDX</t>
  </si>
  <si>
    <t>NOC</t>
  </si>
  <si>
    <t>LEG</t>
  </si>
  <si>
    <t>PH</t>
  </si>
  <si>
    <t>JW.A</t>
  </si>
  <si>
    <t>CINF</t>
  </si>
  <si>
    <t>EFSI</t>
  </si>
  <si>
    <t>LHX</t>
  </si>
  <si>
    <t>TNC</t>
  </si>
  <si>
    <t>INTU</t>
  </si>
  <si>
    <t>MDU</t>
  </si>
  <si>
    <t>MMM</t>
  </si>
  <si>
    <t>MCK</t>
  </si>
  <si>
    <t>UGI</t>
  </si>
  <si>
    <t>EBTC</t>
  </si>
  <si>
    <t>MET</t>
  </si>
  <si>
    <t>MATW</t>
  </si>
  <si>
    <t>CTBI</t>
  </si>
  <si>
    <t>SWK</t>
  </si>
  <si>
    <t>WSM</t>
  </si>
  <si>
    <t>NIDB</t>
  </si>
  <si>
    <t>CP</t>
  </si>
  <si>
    <t>BRC</t>
  </si>
  <si>
    <t>V</t>
  </si>
  <si>
    <t>SYY</t>
  </si>
  <si>
    <t>ROP</t>
  </si>
  <si>
    <t>JNJ</t>
  </si>
  <si>
    <t>AFL</t>
  </si>
  <si>
    <t>SEIC</t>
  </si>
  <si>
    <t>EMR</t>
  </si>
  <si>
    <t>ABC</t>
  </si>
  <si>
    <t>WMT</t>
  </si>
  <si>
    <t>BKH</t>
  </si>
  <si>
    <t>AIZ</t>
  </si>
  <si>
    <t>FMCB</t>
  </si>
  <si>
    <t>ANTM</t>
  </si>
  <si>
    <t>TMO</t>
  </si>
  <si>
    <t>SON</t>
  </si>
  <si>
    <t>MDT</t>
  </si>
  <si>
    <t>KO</t>
  </si>
  <si>
    <t>CPKF</t>
  </si>
  <si>
    <t>ABBV</t>
  </si>
  <si>
    <t>NWN</t>
  </si>
  <si>
    <t>WHR</t>
  </si>
  <si>
    <t>BEN</t>
  </si>
  <si>
    <t>ADP</t>
  </si>
  <si>
    <t>LANC</t>
  </si>
  <si>
    <t>NFG</t>
  </si>
  <si>
    <t>AMP</t>
  </si>
  <si>
    <t>TRV</t>
  </si>
  <si>
    <t>TGT</t>
  </si>
  <si>
    <t>RNR</t>
  </si>
  <si>
    <t>DG</t>
  </si>
  <si>
    <t>LOW</t>
  </si>
  <si>
    <t>VFC</t>
  </si>
  <si>
    <t>CBSH</t>
  </si>
  <si>
    <t>EXPD</t>
  </si>
  <si>
    <t>QCOM</t>
  </si>
  <si>
    <t>GPC</t>
  </si>
  <si>
    <t>LECO</t>
  </si>
  <si>
    <t>TSN</t>
  </si>
  <si>
    <t>CL</t>
  </si>
  <si>
    <t>GD</t>
  </si>
  <si>
    <t>PNR</t>
  </si>
  <si>
    <t>FFMR</t>
  </si>
  <si>
    <t>TXT</t>
  </si>
  <si>
    <t>SCL</t>
  </si>
  <si>
    <t>CAT</t>
  </si>
  <si>
    <t>PSBQ</t>
  </si>
  <si>
    <t>JKHY</t>
  </si>
  <si>
    <t>PPG</t>
  </si>
  <si>
    <t>AROW</t>
  </si>
  <si>
    <t>HRL</t>
  </si>
  <si>
    <t>SBSI</t>
  </si>
  <si>
    <t>AXP</t>
  </si>
  <si>
    <t>MKC</t>
  </si>
  <si>
    <t>CSX</t>
  </si>
  <si>
    <t>KR</t>
  </si>
  <si>
    <t>RE</t>
  </si>
  <si>
    <t>DOV</t>
  </si>
  <si>
    <t>TROW</t>
  </si>
  <si>
    <t>THFF</t>
  </si>
  <si>
    <t>OZK</t>
  </si>
  <si>
    <t>COST</t>
  </si>
  <si>
    <t>ORCL</t>
  </si>
  <si>
    <t>SPGI</t>
  </si>
  <si>
    <t>CSL</t>
  </si>
  <si>
    <t>BRO</t>
  </si>
  <si>
    <t>AMAT</t>
  </si>
  <si>
    <t>MCO</t>
  </si>
  <si>
    <t>FUL</t>
  </si>
  <si>
    <t>CSVI</t>
  </si>
  <si>
    <t>SRCE</t>
  </si>
  <si>
    <t>UBSI</t>
  </si>
  <si>
    <t>CHD</t>
  </si>
  <si>
    <t>CB</t>
  </si>
  <si>
    <t>MCD</t>
  </si>
  <si>
    <t>GRC</t>
  </si>
  <si>
    <t>NKE</t>
  </si>
  <si>
    <t>FELE</t>
  </si>
  <si>
    <t>PG</t>
  </si>
  <si>
    <t>ITW</t>
  </si>
  <si>
    <t>RPM</t>
  </si>
  <si>
    <t>SJW</t>
  </si>
  <si>
    <t>ABT</t>
  </si>
  <si>
    <t>ATR</t>
  </si>
  <si>
    <t>AOS</t>
  </si>
  <si>
    <t>GWW</t>
  </si>
  <si>
    <t>MSFT</t>
  </si>
  <si>
    <t>LIN</t>
  </si>
  <si>
    <t>MGEE</t>
  </si>
  <si>
    <t>EBAY</t>
  </si>
  <si>
    <t>TSCO</t>
  </si>
  <si>
    <t>MSA</t>
  </si>
  <si>
    <t>TMP</t>
  </si>
  <si>
    <t>ECL</t>
  </si>
  <si>
    <t>UNF</t>
  </si>
  <si>
    <t>TR</t>
  </si>
  <si>
    <t>BF.B</t>
  </si>
  <si>
    <t>AAPL</t>
  </si>
  <si>
    <t>CTAS</t>
  </si>
  <si>
    <t>SHW</t>
  </si>
  <si>
    <t>NDSN</t>
  </si>
  <si>
    <t>CWT</t>
  </si>
  <si>
    <t>BAM</t>
  </si>
  <si>
    <t>MORN</t>
  </si>
  <si>
    <t>NUE</t>
  </si>
  <si>
    <t>WST</t>
  </si>
  <si>
    <t>RLI</t>
  </si>
  <si>
    <t>AWR</t>
  </si>
  <si>
    <t>ALB</t>
  </si>
  <si>
    <t>BMI</t>
  </si>
  <si>
    <t>MSEX</t>
  </si>
  <si>
    <t>CI</t>
  </si>
  <si>
    <t>T</t>
  </si>
  <si>
    <t>LAD</t>
  </si>
  <si>
    <t>CMCSA</t>
  </si>
  <si>
    <t>LAZ</t>
  </si>
  <si>
    <t>NC</t>
  </si>
  <si>
    <t>VZ</t>
  </si>
  <si>
    <t>OGN</t>
  </si>
  <si>
    <t>PNGAY</t>
  </si>
  <si>
    <t>ENB</t>
  </si>
  <si>
    <t>SAP</t>
  </si>
  <si>
    <t>AMGN</t>
  </si>
  <si>
    <t>IPG</t>
  </si>
  <si>
    <t>EPD</t>
  </si>
  <si>
    <t>SUN</t>
  </si>
  <si>
    <t>MURGF</t>
  </si>
  <si>
    <t>FNV</t>
  </si>
  <si>
    <t>INTC</t>
  </si>
  <si>
    <t>TTE</t>
  </si>
  <si>
    <t>NVS</t>
  </si>
  <si>
    <t>SRE</t>
  </si>
  <si>
    <t>WU</t>
  </si>
  <si>
    <t>OMC</t>
  </si>
  <si>
    <t>DDS</t>
  </si>
  <si>
    <t>FLIC</t>
  </si>
  <si>
    <t>MO</t>
  </si>
  <si>
    <t>GEF</t>
  </si>
  <si>
    <t>MRK</t>
  </si>
  <si>
    <t>SWX</t>
  </si>
  <si>
    <t>BNS</t>
  </si>
  <si>
    <t>HBI</t>
  </si>
  <si>
    <t>RDEIY</t>
  </si>
  <si>
    <t>BLK</t>
  </si>
  <si>
    <t>BMO</t>
  </si>
  <si>
    <t>YUM</t>
  </si>
  <si>
    <t>LMT</t>
  </si>
  <si>
    <t>BIP</t>
  </si>
  <si>
    <t>TDS</t>
  </si>
  <si>
    <t>IMO</t>
  </si>
  <si>
    <t>HRB</t>
  </si>
  <si>
    <t>SLF</t>
  </si>
  <si>
    <t>NTIOF</t>
  </si>
  <si>
    <t>FOXA</t>
  </si>
  <si>
    <t>HII</t>
  </si>
  <si>
    <t>CIO</t>
  </si>
  <si>
    <t>KDP</t>
  </si>
  <si>
    <t>EVRG</t>
  </si>
  <si>
    <t>CMI</t>
  </si>
  <si>
    <t>BR</t>
  </si>
  <si>
    <t>CDUAF</t>
  </si>
  <si>
    <t>GILD</t>
  </si>
  <si>
    <t>CM</t>
  </si>
  <si>
    <t>NJR</t>
  </si>
  <si>
    <t>RY</t>
  </si>
  <si>
    <t>FTS</t>
  </si>
  <si>
    <t>TTC</t>
  </si>
  <si>
    <t>MSM</t>
  </si>
  <si>
    <t>PB</t>
  </si>
  <si>
    <t>POR</t>
  </si>
  <si>
    <t>PBCT</t>
  </si>
  <si>
    <t>RBGLY</t>
  </si>
  <si>
    <t>BAH</t>
  </si>
  <si>
    <t>TD</t>
  </si>
  <si>
    <t>ORI</t>
  </si>
  <si>
    <t>CHRW</t>
  </si>
  <si>
    <t>SNA</t>
  </si>
  <si>
    <t>RBA</t>
  </si>
  <si>
    <t>EMN</t>
  </si>
  <si>
    <t>MDLZ</t>
  </si>
  <si>
    <t>IBM</t>
  </si>
  <si>
    <t>UHT</t>
  </si>
  <si>
    <t>XOM</t>
  </si>
  <si>
    <t>HD</t>
  </si>
  <si>
    <t>TXN</t>
  </si>
  <si>
    <t>AXS</t>
  </si>
  <si>
    <t>FLO</t>
  </si>
  <si>
    <t>UNH</t>
  </si>
  <si>
    <t>EQIX</t>
  </si>
  <si>
    <t>YORW</t>
  </si>
  <si>
    <t>EIX</t>
  </si>
  <si>
    <t>K</t>
  </si>
  <si>
    <t>LNT</t>
  </si>
  <si>
    <t>RELX</t>
  </si>
  <si>
    <t>ARTNA</t>
  </si>
  <si>
    <t>UPS</t>
  </si>
  <si>
    <t>DPZ</t>
  </si>
  <si>
    <t>CVX</t>
  </si>
  <si>
    <t>ICE</t>
  </si>
  <si>
    <t>SBUX</t>
  </si>
  <si>
    <t>CSCO</t>
  </si>
  <si>
    <t>UVV</t>
  </si>
  <si>
    <t>WEYS</t>
  </si>
  <si>
    <t>WABC</t>
  </si>
  <si>
    <t>KMB</t>
  </si>
  <si>
    <t>DE</t>
  </si>
  <si>
    <t>SIEGY</t>
  </si>
  <si>
    <t>DTE</t>
  </si>
  <si>
    <t>RTX</t>
  </si>
  <si>
    <t>AMX</t>
  </si>
  <si>
    <t>SPTN</t>
  </si>
  <si>
    <t>PRGO</t>
  </si>
  <si>
    <t>RSG</t>
  </si>
  <si>
    <t>SJM</t>
  </si>
  <si>
    <t>MTB</t>
  </si>
  <si>
    <t>CVS</t>
  </si>
  <si>
    <t>CTSH</t>
  </si>
  <si>
    <t>CONE</t>
  </si>
  <si>
    <t>NEP</t>
  </si>
  <si>
    <t>AAP</t>
  </si>
  <si>
    <t>ETR</t>
  </si>
  <si>
    <t>OTTR</t>
  </si>
  <si>
    <t>LRLCF</t>
  </si>
  <si>
    <t>MGRC</t>
  </si>
  <si>
    <t>AMT</t>
  </si>
  <si>
    <t>PEG</t>
  </si>
  <si>
    <t>HON</t>
  </si>
  <si>
    <t>NSC</t>
  </si>
  <si>
    <t>SBAC</t>
  </si>
  <si>
    <t>ED</t>
  </si>
  <si>
    <t>INGR</t>
  </si>
  <si>
    <t>AUY</t>
  </si>
  <si>
    <t>CLX</t>
  </si>
  <si>
    <t>AJG</t>
  </si>
  <si>
    <t>PEP</t>
  </si>
  <si>
    <t>RHHBY</t>
  </si>
  <si>
    <t>XEL</t>
  </si>
  <si>
    <t>MWA</t>
  </si>
  <si>
    <t>RMD</t>
  </si>
  <si>
    <t>IFF</t>
  </si>
  <si>
    <t>CARR</t>
  </si>
  <si>
    <t>UNP</t>
  </si>
  <si>
    <t>HSY</t>
  </si>
  <si>
    <t>AWK</t>
  </si>
  <si>
    <t>NEE</t>
  </si>
  <si>
    <t>APD</t>
  </si>
  <si>
    <t>ERIE</t>
  </si>
  <si>
    <t>CNI</t>
  </si>
  <si>
    <t>FRT</t>
  </si>
  <si>
    <t>NVO</t>
  </si>
  <si>
    <t>WTRG</t>
  </si>
  <si>
    <t>UMBF</t>
  </si>
  <si>
    <t>OTIS</t>
  </si>
  <si>
    <t>ROK</t>
  </si>
  <si>
    <t>CFR</t>
  </si>
  <si>
    <t>ESS</t>
  </si>
  <si>
    <t>TT</t>
  </si>
  <si>
    <t>WM</t>
  </si>
  <si>
    <t>CBU</t>
  </si>
  <si>
    <t>XYL</t>
  </si>
  <si>
    <t>ZTS</t>
  </si>
  <si>
    <t>LLY</t>
  </si>
  <si>
    <t>HMLP</t>
  </si>
  <si>
    <t>MFGP</t>
  </si>
  <si>
    <t>JACK</t>
  </si>
  <si>
    <t>VTRS</t>
  </si>
  <si>
    <t>DKS</t>
  </si>
  <si>
    <t>TRTN</t>
  </si>
  <si>
    <t>MMP</t>
  </si>
  <si>
    <t>LYB</t>
  </si>
  <si>
    <t>FL</t>
  </si>
  <si>
    <t>MDC</t>
  </si>
  <si>
    <t>THO</t>
  </si>
  <si>
    <t>ALLY</t>
  </si>
  <si>
    <t>SVC</t>
  </si>
  <si>
    <t>BTI</t>
  </si>
  <si>
    <t>TFC</t>
  </si>
  <si>
    <t>RLJ</t>
  </si>
  <si>
    <t>TYCB</t>
  </si>
  <si>
    <t>FNF</t>
  </si>
  <si>
    <t>GWLIF</t>
  </si>
  <si>
    <t>TX</t>
  </si>
  <si>
    <t>SNY</t>
  </si>
  <si>
    <t>DHI</t>
  </si>
  <si>
    <t>AEG</t>
  </si>
  <si>
    <t>PNW</t>
  </si>
  <si>
    <t>C</t>
  </si>
  <si>
    <t>MCHP</t>
  </si>
  <si>
    <t>ALL</t>
  </si>
  <si>
    <t>LNC</t>
  </si>
  <si>
    <t>SYF</t>
  </si>
  <si>
    <t>M</t>
  </si>
  <si>
    <t>EQNR</t>
  </si>
  <si>
    <t>SMG</t>
  </si>
  <si>
    <t>DFS</t>
  </si>
  <si>
    <t>MPLX</t>
  </si>
  <si>
    <t>GLOP</t>
  </si>
  <si>
    <t>BASFY</t>
  </si>
  <si>
    <t>DDAIF</t>
  </si>
  <si>
    <t>JBL</t>
  </si>
  <si>
    <t>NHI</t>
  </si>
  <si>
    <t>GPS</t>
  </si>
  <si>
    <t>IVZ</t>
  </si>
  <si>
    <t>ROST</t>
  </si>
  <si>
    <t>SJI</t>
  </si>
  <si>
    <t>UL</t>
  </si>
  <si>
    <t>OGS</t>
  </si>
  <si>
    <t>HPQ</t>
  </si>
  <si>
    <t>HPE</t>
  </si>
  <si>
    <t>STN</t>
  </si>
  <si>
    <t>SR</t>
  </si>
  <si>
    <t>RCI</t>
  </si>
  <si>
    <t>CE</t>
  </si>
  <si>
    <t>CC</t>
  </si>
  <si>
    <t>PHM</t>
  </si>
  <si>
    <t>VIAC</t>
  </si>
  <si>
    <t>OGE</t>
  </si>
  <si>
    <t>DGX</t>
  </si>
  <si>
    <t>PM</t>
  </si>
  <si>
    <t>FAF</t>
  </si>
  <si>
    <t>MKTX</t>
  </si>
  <si>
    <t>PRU</t>
  </si>
  <si>
    <t>PFG</t>
  </si>
  <si>
    <t>PGR</t>
  </si>
  <si>
    <t>LRCX</t>
  </si>
  <si>
    <t>WRK</t>
  </si>
  <si>
    <t>ALE</t>
  </si>
  <si>
    <t>NLSN</t>
  </si>
  <si>
    <t>KSS</t>
  </si>
  <si>
    <t>PDCO</t>
  </si>
  <si>
    <t>OKE</t>
  </si>
  <si>
    <t>HUN</t>
  </si>
  <si>
    <t>APLE</t>
  </si>
  <si>
    <t>SAXPY</t>
  </si>
  <si>
    <t>MGA</t>
  </si>
  <si>
    <t>NAVI</t>
  </si>
  <si>
    <t>COLD</t>
  </si>
  <si>
    <t>R</t>
  </si>
  <si>
    <t>O</t>
  </si>
  <si>
    <t>GE</t>
  </si>
  <si>
    <t>CPB</t>
  </si>
  <si>
    <t>WFC</t>
  </si>
  <si>
    <t>BK</t>
  </si>
  <si>
    <t>GOLD</t>
  </si>
  <si>
    <t>BMWYY</t>
  </si>
  <si>
    <t>PFE</t>
  </si>
  <si>
    <t>CFG</t>
  </si>
  <si>
    <t>ESRT</t>
  </si>
  <si>
    <t>KLAC</t>
  </si>
  <si>
    <t>AEP</t>
  </si>
  <si>
    <t>JPM</t>
  </si>
  <si>
    <t>ASML</t>
  </si>
  <si>
    <t>HAL</t>
  </si>
  <si>
    <t>MA</t>
  </si>
  <si>
    <t>KEY</t>
  </si>
  <si>
    <t>AON</t>
  </si>
  <si>
    <t>PKX</t>
  </si>
  <si>
    <t>PNC</t>
  </si>
  <si>
    <t>CUBE</t>
  </si>
  <si>
    <t>PSB</t>
  </si>
  <si>
    <t>COP</t>
  </si>
  <si>
    <t>BUD</t>
  </si>
  <si>
    <t>SO</t>
  </si>
  <si>
    <t>USB</t>
  </si>
  <si>
    <t>GIS</t>
  </si>
  <si>
    <t>AGM</t>
  </si>
  <si>
    <t>BWA</t>
  </si>
  <si>
    <t>WY</t>
  </si>
  <si>
    <t>BAC</t>
  </si>
  <si>
    <t>WPC</t>
  </si>
  <si>
    <t>WEC</t>
  </si>
  <si>
    <t>GNTX</t>
  </si>
  <si>
    <t>HOG</t>
  </si>
  <si>
    <t>NNN</t>
  </si>
  <si>
    <t>MMC</t>
  </si>
  <si>
    <t>PACW</t>
  </si>
  <si>
    <t>DUK</t>
  </si>
  <si>
    <t>GS</t>
  </si>
  <si>
    <t>FITB</t>
  </si>
  <si>
    <t>OSK</t>
  </si>
  <si>
    <t>EAF</t>
  </si>
  <si>
    <t>CMA</t>
  </si>
  <si>
    <t>STZ</t>
  </si>
  <si>
    <t>PAYX</t>
  </si>
  <si>
    <t>OLN</t>
  </si>
  <si>
    <t>LOGI</t>
  </si>
  <si>
    <t>OXY</t>
  </si>
  <si>
    <t>DLR</t>
  </si>
  <si>
    <t>DEO</t>
  </si>
  <si>
    <t>KLIC</t>
  </si>
  <si>
    <t>ABB</t>
  </si>
  <si>
    <t>NSRGY</t>
  </si>
  <si>
    <t>PSA</t>
  </si>
  <si>
    <t>STLD</t>
  </si>
  <si>
    <t>FCX</t>
  </si>
  <si>
    <t>AVB</t>
  </si>
  <si>
    <t>APA</t>
  </si>
  <si>
    <t>FAST</t>
  </si>
  <si>
    <t>HNI</t>
  </si>
  <si>
    <t>MT</t>
  </si>
  <si>
    <t>INFY</t>
  </si>
  <si>
    <t>CF</t>
  </si>
  <si>
    <t>MRVL</t>
  </si>
  <si>
    <t>RACE</t>
  </si>
  <si>
    <t>KKR</t>
  </si>
  <si>
    <t>DHC</t>
  </si>
  <si>
    <t>TER</t>
  </si>
  <si>
    <t>TRI</t>
  </si>
  <si>
    <t>SONY</t>
  </si>
  <si>
    <t>NVDA</t>
  </si>
  <si>
    <t>VMC</t>
  </si>
  <si>
    <t>ERF</t>
  </si>
  <si>
    <t>KSU</t>
  </si>
  <si>
    <t>SHLX</t>
  </si>
  <si>
    <t>SPH</t>
  </si>
  <si>
    <t>HEP</t>
  </si>
  <si>
    <t>PAA</t>
  </si>
  <si>
    <t>PBR</t>
  </si>
  <si>
    <t>GORO</t>
  </si>
  <si>
    <t>SNP</t>
  </si>
  <si>
    <t>EOG</t>
  </si>
  <si>
    <t>PHG</t>
  </si>
  <si>
    <t>AVAL</t>
  </si>
  <si>
    <t>LUMN</t>
  </si>
  <si>
    <t>ARLP</t>
  </si>
  <si>
    <t>ERIC</t>
  </si>
  <si>
    <t>TPR</t>
  </si>
  <si>
    <t>ET</t>
  </si>
  <si>
    <t>PSX</t>
  </si>
  <si>
    <t>UNIT</t>
  </si>
  <si>
    <t>OPI</t>
  </si>
  <si>
    <t>KRC</t>
  </si>
  <si>
    <t>AZN</t>
  </si>
  <si>
    <t>SLG</t>
  </si>
  <si>
    <t>PTR</t>
  </si>
  <si>
    <t>BAYRY</t>
  </si>
  <si>
    <t>NYCB</t>
  </si>
  <si>
    <t>TS</t>
  </si>
  <si>
    <t>MFC</t>
  </si>
  <si>
    <t>MS</t>
  </si>
  <si>
    <t>DOW</t>
  </si>
  <si>
    <t>HSBC</t>
  </si>
  <si>
    <t>SMFG</t>
  </si>
  <si>
    <t>TAP</t>
  </si>
  <si>
    <t>NTR</t>
  </si>
  <si>
    <t>TGP</t>
  </si>
  <si>
    <t>HAS</t>
  </si>
  <si>
    <t>TRST</t>
  </si>
  <si>
    <t>WSBC</t>
  </si>
  <si>
    <t>BP</t>
  </si>
  <si>
    <t>PGRE</t>
  </si>
  <si>
    <t>RDS.B</t>
  </si>
  <si>
    <t>IMBBY</t>
  </si>
  <si>
    <t>ITUB</t>
  </si>
  <si>
    <t>DRI</t>
  </si>
  <si>
    <t>WEN</t>
  </si>
  <si>
    <t>RF</t>
  </si>
  <si>
    <t>SAFE</t>
  </si>
  <si>
    <t>MED</t>
  </si>
  <si>
    <t>DD</t>
  </si>
  <si>
    <t>PETS</t>
  </si>
  <si>
    <t>BDN</t>
  </si>
  <si>
    <t>WMB</t>
  </si>
  <si>
    <t>WASH</t>
  </si>
  <si>
    <t>SPG</t>
  </si>
  <si>
    <t>KMI</t>
  </si>
  <si>
    <t>VALE</t>
  </si>
  <si>
    <t>D</t>
  </si>
  <si>
    <t>SUUIF</t>
  </si>
  <si>
    <t>HASI</t>
  </si>
  <si>
    <t>GEL</t>
  </si>
  <si>
    <t>CAG</t>
  </si>
  <si>
    <t>IP</t>
  </si>
  <si>
    <t>RIO</t>
  </si>
  <si>
    <t>HIW</t>
  </si>
  <si>
    <t>AMCR</t>
  </si>
  <si>
    <t>PDM</t>
  </si>
  <si>
    <t>DTEGY</t>
  </si>
  <si>
    <t>REG</t>
  </si>
  <si>
    <t>CNA</t>
  </si>
  <si>
    <t>BHP</t>
  </si>
  <si>
    <t>WSR</t>
  </si>
  <si>
    <t>AKR</t>
  </si>
  <si>
    <t>DEI</t>
  </si>
  <si>
    <t>ABEV</t>
  </si>
  <si>
    <t>OFC</t>
  </si>
  <si>
    <t>CUZ</t>
  </si>
  <si>
    <t>ING</t>
  </si>
  <si>
    <t>NXRT</t>
  </si>
  <si>
    <t>FRFHF</t>
  </si>
  <si>
    <t>AGNC</t>
  </si>
  <si>
    <t>KRG</t>
  </si>
  <si>
    <t>ADC</t>
  </si>
  <si>
    <t>PCAR</t>
  </si>
  <si>
    <t>FE</t>
  </si>
  <si>
    <t>NWL</t>
  </si>
  <si>
    <t>EMRAF</t>
  </si>
  <si>
    <t>KHC</t>
  </si>
  <si>
    <t>NGG</t>
  </si>
  <si>
    <t>INVH</t>
  </si>
  <si>
    <t>MPW</t>
  </si>
  <si>
    <t>NSP</t>
  </si>
  <si>
    <t>GRMN</t>
  </si>
  <si>
    <t>LMRK</t>
  </si>
  <si>
    <t>TJX</t>
  </si>
  <si>
    <t>HBAN</t>
  </si>
  <si>
    <t>UE</t>
  </si>
  <si>
    <t>CNP</t>
  </si>
  <si>
    <t>BBD</t>
  </si>
  <si>
    <t>SBS</t>
  </si>
  <si>
    <t>NTAP</t>
  </si>
  <si>
    <t>MCY</t>
  </si>
  <si>
    <t>GLW</t>
  </si>
  <si>
    <t>ALV</t>
  </si>
  <si>
    <t>WPP</t>
  </si>
  <si>
    <t>RPT</t>
  </si>
  <si>
    <t>DEA</t>
  </si>
  <si>
    <t>BXP</t>
  </si>
  <si>
    <t>KTB</t>
  </si>
  <si>
    <t>APO</t>
  </si>
  <si>
    <t>AES</t>
  </si>
  <si>
    <t>MAC</t>
  </si>
  <si>
    <t>MPWR</t>
  </si>
  <si>
    <t>CAJ</t>
  </si>
  <si>
    <t>TU</t>
  </si>
  <si>
    <t>PSO</t>
  </si>
  <si>
    <t>HMC</t>
  </si>
  <si>
    <t>JNPR</t>
  </si>
  <si>
    <t>SKT</t>
  </si>
  <si>
    <t>DOC</t>
  </si>
  <si>
    <t>TSM</t>
  </si>
  <si>
    <t>CCI</t>
  </si>
  <si>
    <t>RGA</t>
  </si>
  <si>
    <t>CODI</t>
  </si>
  <si>
    <t>STX</t>
  </si>
  <si>
    <t>CNQ</t>
  </si>
  <si>
    <t>UBS</t>
  </si>
  <si>
    <t>BRX</t>
  </si>
  <si>
    <t>AVGO</t>
  </si>
  <si>
    <t>SLB</t>
  </si>
  <si>
    <t>TM</t>
  </si>
  <si>
    <t>PLD</t>
  </si>
  <si>
    <t>OGZPY</t>
  </si>
  <si>
    <t>ELS</t>
  </si>
  <si>
    <t>ARE</t>
  </si>
  <si>
    <t>JCI</t>
  </si>
  <si>
    <t>EXPO</t>
  </si>
  <si>
    <t>TRGP</t>
  </si>
  <si>
    <t>TRSWF</t>
  </si>
  <si>
    <t>WPM</t>
  </si>
  <si>
    <t>DRE</t>
  </si>
  <si>
    <t>CWEN</t>
  </si>
  <si>
    <t>COR</t>
  </si>
  <si>
    <t>EXC</t>
  </si>
  <si>
    <t>FR</t>
  </si>
  <si>
    <t>CME</t>
  </si>
  <si>
    <t>AMH</t>
  </si>
  <si>
    <t>CMP</t>
  </si>
  <si>
    <t>ACN</t>
  </si>
  <si>
    <t>KIM</t>
  </si>
  <si>
    <t>MAA</t>
  </si>
  <si>
    <t>ETN</t>
  </si>
  <si>
    <t>CPT</t>
  </si>
  <si>
    <t>SCHL</t>
  </si>
  <si>
    <t>IIPR</t>
  </si>
  <si>
    <t>KNOP</t>
  </si>
  <si>
    <t>ORAN</t>
  </si>
  <si>
    <t>SCCO</t>
  </si>
  <si>
    <t>OHI</t>
  </si>
  <si>
    <t>DHT</t>
  </si>
  <si>
    <t>PSXP</t>
  </si>
  <si>
    <t>CORR</t>
  </si>
  <si>
    <t>APAM</t>
  </si>
  <si>
    <t>IEP</t>
  </si>
  <si>
    <t>GECC</t>
  </si>
  <si>
    <t>SU</t>
  </si>
  <si>
    <t>EIFZF</t>
  </si>
  <si>
    <t>CLPR</t>
  </si>
  <si>
    <t>VICI</t>
  </si>
  <si>
    <t>SBRA</t>
  </si>
  <si>
    <t>TEF</t>
  </si>
  <si>
    <t>CQP</t>
  </si>
  <si>
    <t>PINE</t>
  </si>
  <si>
    <t>TRP</t>
  </si>
  <si>
    <t>TWO</t>
  </si>
  <si>
    <t>VGR</t>
  </si>
  <si>
    <t>SFL</t>
  </si>
  <si>
    <t>LTC</t>
  </si>
  <si>
    <t>EFC</t>
  </si>
  <si>
    <t>USAC</t>
  </si>
  <si>
    <t>MGP</t>
  </si>
  <si>
    <t>EPR</t>
  </si>
  <si>
    <t>NEWT</t>
  </si>
  <si>
    <t>ORC</t>
  </si>
  <si>
    <t>QSR</t>
  </si>
  <si>
    <t>CTO</t>
  </si>
  <si>
    <t>NYMT</t>
  </si>
  <si>
    <t>AAT</t>
  </si>
  <si>
    <t>CWCO</t>
  </si>
  <si>
    <t>AFIN</t>
  </si>
  <si>
    <t>CTRE</t>
  </si>
  <si>
    <t>EPRT</t>
  </si>
  <si>
    <t>VOD</t>
  </si>
  <si>
    <t>AQN</t>
  </si>
  <si>
    <t>NTST</t>
  </si>
  <si>
    <t>ACRE</t>
  </si>
  <si>
    <t>ORCC</t>
  </si>
  <si>
    <t>GNL</t>
  </si>
  <si>
    <t>SRC</t>
  </si>
  <si>
    <t>CBRL</t>
  </si>
  <si>
    <t>GSBD</t>
  </si>
  <si>
    <t>IDEXY</t>
  </si>
  <si>
    <t>FCPT</t>
  </si>
  <si>
    <t>SACH</t>
  </si>
  <si>
    <t>HR</t>
  </si>
  <si>
    <t>KREF</t>
  </si>
  <si>
    <t>VST</t>
  </si>
  <si>
    <t>PMT</t>
  </si>
  <si>
    <t>NLY</t>
  </si>
  <si>
    <t>ILPT</t>
  </si>
  <si>
    <t>NRZ</t>
  </si>
  <si>
    <t>BEP</t>
  </si>
  <si>
    <t>E</t>
  </si>
  <si>
    <t>SSREY</t>
  </si>
  <si>
    <t>CHCT</t>
  </si>
  <si>
    <t>WSO</t>
  </si>
  <si>
    <t>EIC</t>
  </si>
  <si>
    <t>NMFC</t>
  </si>
  <si>
    <t>VNO</t>
  </si>
  <si>
    <t>STWD</t>
  </si>
  <si>
    <t>CSWC</t>
  </si>
  <si>
    <t>CRT</t>
  </si>
  <si>
    <t>MRCC</t>
  </si>
  <si>
    <t>TSLX</t>
  </si>
  <si>
    <t>VTR</t>
  </si>
  <si>
    <t>GBDC</t>
  </si>
  <si>
    <t>ARR</t>
  </si>
  <si>
    <t>VLO</t>
  </si>
  <si>
    <t>HRZN</t>
  </si>
  <si>
    <t>NEM</t>
  </si>
  <si>
    <t>UMH</t>
  </si>
  <si>
    <t>AM</t>
  </si>
  <si>
    <t>FDUS</t>
  </si>
  <si>
    <t>LWSCF</t>
  </si>
  <si>
    <t>PFLT</t>
  </si>
  <si>
    <t>BRMK</t>
  </si>
  <si>
    <t>EXR</t>
  </si>
  <si>
    <t>SUNS</t>
  </si>
  <si>
    <t>TPVG</t>
  </si>
  <si>
    <t>GLPI</t>
  </si>
  <si>
    <t>VIA</t>
  </si>
  <si>
    <t>GWRS</t>
  </si>
  <si>
    <t>ARI</t>
  </si>
  <si>
    <t>GMRE</t>
  </si>
  <si>
    <t>MAIN</t>
  </si>
  <si>
    <t>DANOY</t>
  </si>
  <si>
    <t>BFS</t>
  </si>
  <si>
    <t>DX</t>
  </si>
  <si>
    <t>SJT</t>
  </si>
  <si>
    <t>BX</t>
  </si>
  <si>
    <t>ARCC</t>
  </si>
  <si>
    <t>GSK</t>
  </si>
  <si>
    <t>STOR</t>
  </si>
  <si>
    <t>CIM</t>
  </si>
  <si>
    <t>PBA</t>
  </si>
  <si>
    <t>XRX</t>
  </si>
  <si>
    <t>SCM</t>
  </si>
  <si>
    <t>NSA</t>
  </si>
  <si>
    <t>BGS</t>
  </si>
  <si>
    <t>UBP</t>
  </si>
  <si>
    <t>HTGC</t>
  </si>
  <si>
    <t>HTA</t>
  </si>
  <si>
    <t>OXSQ</t>
  </si>
  <si>
    <t>PRT</t>
  </si>
  <si>
    <t>GOOD</t>
  </si>
  <si>
    <t>MNR</t>
  </si>
  <si>
    <t>APTS</t>
  </si>
  <si>
    <t>SBR</t>
  </si>
  <si>
    <t>BXMT</t>
  </si>
  <si>
    <t>BCE</t>
  </si>
  <si>
    <t>LADR</t>
  </si>
  <si>
    <t>PSEC</t>
  </si>
  <si>
    <t>BKR</t>
  </si>
  <si>
    <t>IRT</t>
  </si>
  <si>
    <t>ACC</t>
  </si>
  <si>
    <t>SJR</t>
  </si>
  <si>
    <t>EVA</t>
  </si>
  <si>
    <t>OLP</t>
  </si>
  <si>
    <t>PLYM</t>
  </si>
  <si>
    <t>IRM</t>
  </si>
  <si>
    <t>ABR</t>
  </si>
  <si>
    <t>PEAK</t>
  </si>
  <si>
    <t>DREUF</t>
  </si>
  <si>
    <t>EQR</t>
  </si>
  <si>
    <t>LSI</t>
  </si>
  <si>
    <t>GAIN</t>
  </si>
  <si>
    <t>EGP</t>
  </si>
  <si>
    <t>GLAD</t>
  </si>
  <si>
    <t>HP</t>
  </si>
  <si>
    <t>STAG</t>
  </si>
  <si>
    <t>UBA</t>
  </si>
  <si>
    <t>UDR</t>
  </si>
  <si>
    <t>MPC</t>
  </si>
  <si>
    <t>LXP</t>
  </si>
  <si>
    <t>PPRQF</t>
  </si>
  <si>
    <t>GROW</t>
  </si>
  <si>
    <t>DRETF</t>
  </si>
  <si>
    <t>AB</t>
  </si>
  <si>
    <t>WELL</t>
  </si>
  <si>
    <t>LAMR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</si>
  <si>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</si>
  <si>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</si>
  <si>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</si>
  <si>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</si>
  <si>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</si>
  <si>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</si>
  <si>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</si>
  <si>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</si>
  <si>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</si>
  <si>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</si>
  <si>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</si>
  <si>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</si>
  <si>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</si>
  <si>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</si>
  <si>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</si>
  <si>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</si>
  <si>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</si>
  <si>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</si>
  <si>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</si>
  <si>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</si>
  <si>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Basic Materials</t>
  </si>
  <si>
    <t>Financial Services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</si>
  <si>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</si>
  <si>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</si>
  <si>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</si>
  <si>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</si>
  <si>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</si>
  <si>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</si>
  <si>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</si>
  <si>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</si>
  <si>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</si>
  <si>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Josh Arnold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</si>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</sst>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57.64</v>
      </c>
      <c r="D2">
        <v>70</v>
      </c>
      <c r="E2">
        <v>0.8234285714285714</v>
      </c>
      <c r="F2">
        <v>0.004684247050659265</v>
      </c>
      <c r="G2">
        <v>0.03962044954731114</v>
      </c>
      <c r="H2">
        <v>0.15</v>
      </c>
      <c r="I2">
        <v>0.1996633917196793</v>
      </c>
      <c r="J2" t="s">
        <v>780</v>
      </c>
      <c r="K2" t="s">
        <v>349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-0.196692181519956</v>
      </c>
      <c r="R2" t="s">
        <v>784</v>
      </c>
      <c r="S2" t="s">
        <v>788</v>
      </c>
      <c r="T2">
        <v>564415.554792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60.61</v>
      </c>
      <c r="D3">
        <v>101</v>
      </c>
      <c r="E3">
        <v>0.6000990099009901</v>
      </c>
      <c r="F3">
        <v>0.03563768355056922</v>
      </c>
      <c r="G3">
        <v>0.1075297935223334</v>
      </c>
      <c r="H3">
        <v>0.03</v>
      </c>
      <c r="I3">
        <v>0.1628744722046953</v>
      </c>
      <c r="J3" t="s">
        <v>780</v>
      </c>
      <c r="K3" t="s">
        <v>780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0.023768072061161</v>
      </c>
      <c r="R3" t="s">
        <v>784</v>
      </c>
      <c r="S3" t="s">
        <v>789</v>
      </c>
      <c r="T3">
        <v>132091.070082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40.88</v>
      </c>
      <c r="D4">
        <v>61</v>
      </c>
      <c r="E4">
        <v>0.6701639344262296</v>
      </c>
      <c r="F4">
        <v>0.01908023483365949</v>
      </c>
      <c r="G4">
        <v>0.08333753232201002</v>
      </c>
      <c r="H4">
        <v>0.05</v>
      </c>
      <c r="I4">
        <v>0.1495074609282889</v>
      </c>
      <c r="J4" t="s">
        <v>780</v>
      </c>
      <c r="K4" t="s">
        <v>781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0.172049402622186</v>
      </c>
      <c r="R4" t="s">
        <v>784</v>
      </c>
      <c r="S4" t="s">
        <v>790</v>
      </c>
      <c r="T4">
        <v>3089.057788</v>
      </c>
      <c r="U4" s="2">
        <v>44453</v>
      </c>
      <c r="V4" t="s">
        <v>801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159.94</v>
      </c>
      <c r="D5">
        <v>174</v>
      </c>
      <c r="E5">
        <v>0.9191954022988506</v>
      </c>
      <c r="F5">
        <v>0.01400525196948856</v>
      </c>
      <c r="G5">
        <v>0.01699409510740413</v>
      </c>
      <c r="H5">
        <v>0.1</v>
      </c>
      <c r="I5">
        <v>0.1301313390894079</v>
      </c>
      <c r="J5" t="s">
        <v>780</v>
      </c>
      <c r="K5" t="s">
        <v>349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0.1585585258146</v>
      </c>
      <c r="R5" t="s">
        <v>784</v>
      </c>
      <c r="S5" t="s">
        <v>791</v>
      </c>
      <c r="T5">
        <v>26359.420383</v>
      </c>
      <c r="U5" s="2">
        <v>44507</v>
      </c>
      <c r="V5" t="s">
        <v>802</v>
      </c>
    </row>
    <row r="6" spans="1:22">
      <c r="A6" s="1" t="s">
        <v>26</v>
      </c>
      <c r="B6">
        <f>HYPERLINK("https://www.suredividend.com/sure-analysis-PII/","Polaris Inc")</f>
        <v>0</v>
      </c>
      <c r="C6">
        <v>109.53</v>
      </c>
      <c r="D6">
        <v>144</v>
      </c>
      <c r="E6">
        <v>0.760625</v>
      </c>
      <c r="F6">
        <v>0.02300739523418242</v>
      </c>
      <c r="G6">
        <v>0.05624795442473718</v>
      </c>
      <c r="H6">
        <v>0.05</v>
      </c>
      <c r="I6">
        <v>0.1269100790776965</v>
      </c>
      <c r="J6" t="s">
        <v>780</v>
      </c>
      <c r="K6" t="s">
        <v>781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0.146982664602054</v>
      </c>
      <c r="R6" t="s">
        <v>784</v>
      </c>
      <c r="S6" t="s">
        <v>792</v>
      </c>
      <c r="T6">
        <v>6445.616653</v>
      </c>
      <c r="U6" s="2">
        <v>44496</v>
      </c>
      <c r="V6" t="s">
        <v>803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58.92</v>
      </c>
      <c r="D7">
        <v>64</v>
      </c>
      <c r="E7">
        <v>0.920625</v>
      </c>
      <c r="F7">
        <v>0.01493550577053632</v>
      </c>
      <c r="G7">
        <v>0.0166780497389265</v>
      </c>
      <c r="H7">
        <v>0.09</v>
      </c>
      <c r="I7">
        <v>0.1204358375622174</v>
      </c>
      <c r="J7" t="s">
        <v>780</v>
      </c>
      <c r="K7" t="s">
        <v>781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0.087354055624555</v>
      </c>
      <c r="R7" t="s">
        <v>784</v>
      </c>
      <c r="S7" t="s">
        <v>790</v>
      </c>
      <c r="T7">
        <v>7235.271466</v>
      </c>
      <c r="U7" s="2">
        <v>44541</v>
      </c>
      <c r="V7" t="s">
        <v>804</v>
      </c>
    </row>
    <row r="8" spans="1:22">
      <c r="A8" s="1" t="s">
        <v>28</v>
      </c>
      <c r="B8">
        <f>HYPERLINK("https://www.suredividend.com/sure-analysis-RGLD/","Royal Gold, Inc.")</f>
        <v>0</v>
      </c>
      <c r="C8">
        <v>96.38</v>
      </c>
      <c r="D8">
        <v>128</v>
      </c>
      <c r="E8">
        <v>0.75296875</v>
      </c>
      <c r="F8">
        <v>0.01452583523552604</v>
      </c>
      <c r="G8">
        <v>0.0583872746399936</v>
      </c>
      <c r="H8">
        <v>0.045</v>
      </c>
      <c r="I8">
        <v>0.1183844702134724</v>
      </c>
      <c r="J8" t="s">
        <v>780</v>
      </c>
      <c r="K8" t="s">
        <v>349</v>
      </c>
      <c r="L8">
        <v>4.18</v>
      </c>
      <c r="M8">
        <v>1.4</v>
      </c>
      <c r="N8">
        <v>0.3349282296650718</v>
      </c>
      <c r="O8">
        <v>21</v>
      </c>
      <c r="P8">
        <v>0.08958743119932766</v>
      </c>
      <c r="Q8">
        <v>-0.09242069303481</v>
      </c>
      <c r="R8" t="s">
        <v>784</v>
      </c>
      <c r="S8" t="s">
        <v>793</v>
      </c>
      <c r="T8">
        <v>6309.056411</v>
      </c>
      <c r="U8" s="2">
        <v>44508</v>
      </c>
      <c r="V8" t="s">
        <v>805</v>
      </c>
    </row>
    <row r="9" spans="1:22">
      <c r="A9" s="1" t="s">
        <v>29</v>
      </c>
      <c r="B9">
        <f>HYPERLINK("https://www.suredividend.com/sure-analysis-UNM/","Unum Group")</f>
        <v>0</v>
      </c>
      <c r="C9">
        <v>24.1</v>
      </c>
      <c r="D9">
        <v>32</v>
      </c>
      <c r="E9">
        <v>0.753125</v>
      </c>
      <c r="F9">
        <v>0.04979253112033195</v>
      </c>
      <c r="G9">
        <v>0.05834335451059358</v>
      </c>
      <c r="H9">
        <v>0.02</v>
      </c>
      <c r="I9">
        <v>0.1158213331981981</v>
      </c>
      <c r="J9" t="s">
        <v>780</v>
      </c>
      <c r="K9" t="s">
        <v>780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0.10684289341754</v>
      </c>
      <c r="R9" t="s">
        <v>784</v>
      </c>
      <c r="S9" t="s">
        <v>794</v>
      </c>
      <c r="T9">
        <v>4865.988707</v>
      </c>
      <c r="U9" s="2">
        <v>44503</v>
      </c>
      <c r="V9" t="s">
        <v>803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240.78</v>
      </c>
      <c r="D10">
        <v>296</v>
      </c>
      <c r="E10">
        <v>0.813445945945946</v>
      </c>
      <c r="F10">
        <v>0.0124595066035385</v>
      </c>
      <c r="G10">
        <v>0.04215966417052264</v>
      </c>
      <c r="H10">
        <v>0.06</v>
      </c>
      <c r="I10">
        <v>0.114504431229695</v>
      </c>
      <c r="J10" t="s">
        <v>780</v>
      </c>
      <c r="K10" t="s">
        <v>349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-0.150083065536087</v>
      </c>
      <c r="R10" t="s">
        <v>784</v>
      </c>
      <c r="S10" t="s">
        <v>790</v>
      </c>
      <c r="T10">
        <v>63766.639442</v>
      </c>
      <c r="U10" s="2">
        <v>44464</v>
      </c>
      <c r="V10" t="s">
        <v>799</v>
      </c>
    </row>
    <row r="11" spans="1:22">
      <c r="A11" s="1" t="s">
        <v>31</v>
      </c>
      <c r="B11">
        <f>HYPERLINK("https://www.suredividend.com/sure-analysis-BBY/","Best Buy Co. Inc.")</f>
        <v>0</v>
      </c>
      <c r="C11">
        <v>102.49</v>
      </c>
      <c r="D11">
        <v>116</v>
      </c>
      <c r="E11">
        <v>0.8835344827586207</v>
      </c>
      <c r="F11">
        <v>0.02731973851107425</v>
      </c>
      <c r="G11">
        <v>0.0250741912236756</v>
      </c>
      <c r="H11">
        <v>0.06</v>
      </c>
      <c r="I11">
        <v>0.1103365274026749</v>
      </c>
      <c r="J11" t="s">
        <v>780</v>
      </c>
      <c r="K11" t="s">
        <v>781</v>
      </c>
      <c r="L11">
        <v>9.69</v>
      </c>
      <c r="M11">
        <v>2.8</v>
      </c>
      <c r="N11">
        <v>0.2889576883384933</v>
      </c>
      <c r="O11">
        <v>18</v>
      </c>
      <c r="P11">
        <v>0.07978367728709435</v>
      </c>
      <c r="Q11">
        <v>0.026699036501141</v>
      </c>
      <c r="R11" t="s">
        <v>784</v>
      </c>
      <c r="S11" t="s">
        <v>792</v>
      </c>
      <c r="T11">
        <v>24385.65823</v>
      </c>
      <c r="U11" s="2">
        <v>44452</v>
      </c>
      <c r="V11" t="s">
        <v>806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42.34</v>
      </c>
      <c r="D12">
        <v>43</v>
      </c>
      <c r="E12">
        <v>0.9846511627906978</v>
      </c>
      <c r="F12">
        <v>0.0132262635805385</v>
      </c>
      <c r="G12">
        <v>0.003098360023185975</v>
      </c>
      <c r="H12">
        <v>0.09</v>
      </c>
      <c r="I12">
        <v>0.1055180365829276</v>
      </c>
      <c r="J12" t="s">
        <v>780</v>
      </c>
      <c r="K12" t="s">
        <v>349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0.19440492988989</v>
      </c>
      <c r="R12" t="s">
        <v>784</v>
      </c>
      <c r="S12" t="s">
        <v>793</v>
      </c>
      <c r="T12">
        <v>4607.418856</v>
      </c>
      <c r="U12" s="2">
        <v>44500</v>
      </c>
      <c r="V12" t="s">
        <v>799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65.08</v>
      </c>
      <c r="D13">
        <v>74</v>
      </c>
      <c r="E13">
        <v>0.8794594594594595</v>
      </c>
      <c r="F13">
        <v>0.02274124154886294</v>
      </c>
      <c r="G13">
        <v>0.02602238286720815</v>
      </c>
      <c r="H13">
        <v>0.06</v>
      </c>
      <c r="I13">
        <v>0.1048318235095878</v>
      </c>
      <c r="J13" t="s">
        <v>780</v>
      </c>
      <c r="K13" t="s">
        <v>780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0.364128777122182</v>
      </c>
      <c r="R13" t="s">
        <v>784</v>
      </c>
      <c r="S13" t="s">
        <v>795</v>
      </c>
      <c r="T13">
        <v>36279.765711</v>
      </c>
      <c r="U13" s="2">
        <v>44507</v>
      </c>
      <c r="V13" t="s">
        <v>802</v>
      </c>
    </row>
    <row r="14" spans="1:22">
      <c r="A14" s="1" t="s">
        <v>34</v>
      </c>
      <c r="B14">
        <f>HYPERLINK("https://www.suredividend.com/sure-analysis-FMS/","Fresenius Medical Care AG &amp; Co. KGaA")</f>
        <v>0</v>
      </c>
      <c r="C14">
        <v>30.06</v>
      </c>
      <c r="D14">
        <v>33</v>
      </c>
      <c r="E14">
        <v>0.9109090909090909</v>
      </c>
      <c r="F14">
        <v>0.02727877578176979</v>
      </c>
      <c r="G14">
        <v>0.01883766706199852</v>
      </c>
      <c r="H14">
        <v>0.06</v>
      </c>
      <c r="I14">
        <v>0.102968028648347</v>
      </c>
      <c r="J14" t="s">
        <v>780</v>
      </c>
      <c r="K14" t="s">
        <v>781</v>
      </c>
      <c r="L14">
        <v>2.04</v>
      </c>
      <c r="M14">
        <v>0.82</v>
      </c>
      <c r="N14">
        <v>0.4019607843137254</v>
      </c>
      <c r="O14">
        <v>24</v>
      </c>
      <c r="P14">
        <v>0.06051243834129849</v>
      </c>
      <c r="Q14">
        <v>-0.234941578491499</v>
      </c>
      <c r="R14" t="s">
        <v>784</v>
      </c>
      <c r="S14" t="s">
        <v>789</v>
      </c>
      <c r="T14">
        <v>17960.545012</v>
      </c>
      <c r="U14" s="2">
        <v>44503</v>
      </c>
      <c r="V14" t="s">
        <v>800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252.22</v>
      </c>
      <c r="D15">
        <v>223</v>
      </c>
      <c r="E15">
        <v>1.131031390134529</v>
      </c>
      <c r="F15">
        <v>0.0110221235429387</v>
      </c>
      <c r="G15">
        <v>-0.02432524429642013</v>
      </c>
      <c r="H15">
        <v>0.12</v>
      </c>
      <c r="I15">
        <v>0.1028929535482828</v>
      </c>
      <c r="J15" t="s">
        <v>780</v>
      </c>
      <c r="K15" t="s">
        <v>349</v>
      </c>
      <c r="L15">
        <v>9.119999999999999</v>
      </c>
      <c r="M15">
        <v>2.78</v>
      </c>
      <c r="N15">
        <v>0.3048245614035088</v>
      </c>
      <c r="O15">
        <v>28</v>
      </c>
      <c r="P15">
        <v>0.09816509304403764</v>
      </c>
      <c r="Q15">
        <v>0.114141927030373</v>
      </c>
      <c r="R15" t="s">
        <v>784</v>
      </c>
      <c r="S15" t="s">
        <v>789</v>
      </c>
      <c r="T15">
        <v>96065.27529200001</v>
      </c>
      <c r="U15" s="2">
        <v>44500</v>
      </c>
      <c r="V15" t="s">
        <v>800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49.66</v>
      </c>
      <c r="D16">
        <v>54</v>
      </c>
      <c r="E16">
        <v>0.9196296296296296</v>
      </c>
      <c r="F16">
        <v>0.03846153846153846</v>
      </c>
      <c r="G16">
        <v>0.01689803685803515</v>
      </c>
      <c r="H16">
        <v>0.05</v>
      </c>
      <c r="I16">
        <v>0.1000808988459525</v>
      </c>
      <c r="J16" t="s">
        <v>780</v>
      </c>
      <c r="K16" t="s">
        <v>780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0.234367061520634</v>
      </c>
      <c r="R16" t="s">
        <v>784</v>
      </c>
      <c r="S16" t="s">
        <v>789</v>
      </c>
      <c r="T16">
        <v>42692.001497</v>
      </c>
      <c r="U16" s="2">
        <v>44483</v>
      </c>
      <c r="V16" t="s">
        <v>803</v>
      </c>
    </row>
    <row r="17" spans="1:22">
      <c r="A17" s="1" t="s">
        <v>37</v>
      </c>
      <c r="B17">
        <f>HYPERLINK("https://www.suredividend.com/sure-analysis-SKM/","SK Telecom Co Ltd")</f>
        <v>0</v>
      </c>
      <c r="C17">
        <v>44.66</v>
      </c>
      <c r="D17">
        <v>49.4</v>
      </c>
      <c r="E17">
        <v>0.9040485829959514</v>
      </c>
      <c r="F17">
        <v>0.03694581280788178</v>
      </c>
      <c r="G17">
        <v>0.02037931493724088</v>
      </c>
      <c r="H17">
        <v>0.05</v>
      </c>
      <c r="I17">
        <v>0.09807524878849927</v>
      </c>
      <c r="J17" t="s">
        <v>780</v>
      </c>
      <c r="K17" t="s">
        <v>780</v>
      </c>
      <c r="L17">
        <v>18.11</v>
      </c>
      <c r="M17">
        <v>1.65</v>
      </c>
      <c r="N17">
        <v>0.09110988404196577</v>
      </c>
      <c r="O17">
        <v>0</v>
      </c>
      <c r="P17">
        <v>0</v>
      </c>
      <c r="Q17">
        <v>0.152963004725636</v>
      </c>
      <c r="R17" t="s">
        <v>784</v>
      </c>
      <c r="S17" t="s">
        <v>788</v>
      </c>
      <c r="T17">
        <v>29177.872502</v>
      </c>
      <c r="U17" s="2">
        <v>44515</v>
      </c>
      <c r="V17" t="s">
        <v>805</v>
      </c>
    </row>
    <row r="18" spans="1:22">
      <c r="A18" s="1" t="s">
        <v>38</v>
      </c>
      <c r="B18">
        <f>HYPERLINK("https://www.suredividend.com/sure-analysis-CAH/","Cardinal Health, Inc.")</f>
        <v>0</v>
      </c>
      <c r="C18">
        <v>49.21</v>
      </c>
      <c r="D18">
        <v>58</v>
      </c>
      <c r="E18">
        <v>0.8484482758620689</v>
      </c>
      <c r="F18">
        <v>0.03982930298719772</v>
      </c>
      <c r="G18">
        <v>0.03341539184576026</v>
      </c>
      <c r="H18">
        <v>0.03</v>
      </c>
      <c r="I18">
        <v>0.09724390520941451</v>
      </c>
      <c r="J18" t="s">
        <v>780</v>
      </c>
      <c r="K18" t="s">
        <v>780</v>
      </c>
      <c r="L18">
        <v>5.75</v>
      </c>
      <c r="M18">
        <v>1.96</v>
      </c>
      <c r="N18">
        <v>0.3408695652173913</v>
      </c>
      <c r="O18">
        <v>34</v>
      </c>
      <c r="P18">
        <v>0.03959498820755258</v>
      </c>
      <c r="Q18">
        <v>-0.05362959066046701</v>
      </c>
      <c r="R18" t="s">
        <v>784</v>
      </c>
      <c r="S18" t="s">
        <v>789</v>
      </c>
      <c r="T18">
        <v>13787.886938</v>
      </c>
      <c r="U18" s="2">
        <v>44511</v>
      </c>
      <c r="V18" t="s">
        <v>803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67.76000000000001</v>
      </c>
      <c r="D19">
        <v>74</v>
      </c>
      <c r="E19">
        <v>0.9156756756756758</v>
      </c>
      <c r="F19">
        <v>0.02125147579693034</v>
      </c>
      <c r="G19">
        <v>0.01777473179965261</v>
      </c>
      <c r="H19">
        <v>0.06</v>
      </c>
      <c r="I19">
        <v>0.09698620732272456</v>
      </c>
      <c r="J19" t="s">
        <v>780</v>
      </c>
      <c r="K19" t="s">
        <v>781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0.212043334576083</v>
      </c>
      <c r="R19" t="s">
        <v>784</v>
      </c>
      <c r="S19" t="s">
        <v>794</v>
      </c>
      <c r="T19">
        <v>2181.361372</v>
      </c>
      <c r="U19" s="2">
        <v>44492</v>
      </c>
      <c r="V19" t="s">
        <v>802</v>
      </c>
    </row>
    <row r="20" spans="1:22">
      <c r="A20" s="1" t="s">
        <v>40</v>
      </c>
      <c r="B20">
        <f>HYPERLINK("https://www.suredividend.com/sure-analysis-ATO/","Atmos Energy Corp.")</f>
        <v>0</v>
      </c>
      <c r="C20">
        <v>98.52</v>
      </c>
      <c r="D20">
        <v>104</v>
      </c>
      <c r="E20">
        <v>0.9473076923076923</v>
      </c>
      <c r="F20">
        <v>0.02760860738936257</v>
      </c>
      <c r="G20">
        <v>0.01088508124781717</v>
      </c>
      <c r="H20">
        <v>0.06</v>
      </c>
      <c r="I20">
        <v>0.096863910218983</v>
      </c>
      <c r="J20" t="s">
        <v>780</v>
      </c>
      <c r="K20" t="s">
        <v>781</v>
      </c>
      <c r="L20">
        <v>5.45</v>
      </c>
      <c r="M20">
        <v>2.72</v>
      </c>
      <c r="N20">
        <v>0.4990825688073395</v>
      </c>
      <c r="O20">
        <v>38</v>
      </c>
      <c r="P20">
        <v>0.0801851873035635</v>
      </c>
      <c r="Q20">
        <v>-0.004667223386324</v>
      </c>
      <c r="R20" t="s">
        <v>784</v>
      </c>
      <c r="S20" t="s">
        <v>796</v>
      </c>
      <c r="T20">
        <v>12863.843863</v>
      </c>
      <c r="U20" s="2">
        <v>44524</v>
      </c>
      <c r="V20" t="s">
        <v>804</v>
      </c>
    </row>
    <row r="21" spans="1:22">
      <c r="A21" s="1" t="s">
        <v>41</v>
      </c>
      <c r="B21">
        <f>HYPERLINK("https://www.suredividend.com/sure-analysis-BDX/","Becton, Dickinson And Co.")</f>
        <v>0</v>
      </c>
      <c r="C21">
        <v>249.42</v>
      </c>
      <c r="D21">
        <v>231</v>
      </c>
      <c r="E21">
        <v>1.07974025974026</v>
      </c>
      <c r="F21">
        <v>0.01395236949723358</v>
      </c>
      <c r="G21">
        <v>-0.01522698145875323</v>
      </c>
      <c r="H21">
        <v>0.1</v>
      </c>
      <c r="I21">
        <v>0.09652362730196695</v>
      </c>
      <c r="J21" t="s">
        <v>780</v>
      </c>
      <c r="K21" t="s">
        <v>781</v>
      </c>
      <c r="L21">
        <v>12.4</v>
      </c>
      <c r="M21">
        <v>3.48</v>
      </c>
      <c r="N21">
        <v>0.2806451612903226</v>
      </c>
      <c r="O21">
        <v>50</v>
      </c>
      <c r="P21">
        <v>0.09982036375468772</v>
      </c>
      <c r="Q21">
        <v>0.047239391812154</v>
      </c>
      <c r="R21" t="s">
        <v>784</v>
      </c>
      <c r="S21" t="s">
        <v>789</v>
      </c>
      <c r="T21">
        <v>70420.806921</v>
      </c>
      <c r="U21" s="2">
        <v>44507</v>
      </c>
      <c r="V21" t="s">
        <v>800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378.82</v>
      </c>
      <c r="D22">
        <v>381</v>
      </c>
      <c r="E22">
        <v>0.9942782152230971</v>
      </c>
      <c r="F22">
        <v>0.01657779420305158</v>
      </c>
      <c r="G22">
        <v>0.001148302174280857</v>
      </c>
      <c r="H22">
        <v>0.08</v>
      </c>
      <c r="I22">
        <v>0.09619370309728081</v>
      </c>
      <c r="J22" t="s">
        <v>780</v>
      </c>
      <c r="K22" t="s">
        <v>781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0.279452279341073</v>
      </c>
      <c r="R22" t="s">
        <v>784</v>
      </c>
      <c r="S22" t="s">
        <v>790</v>
      </c>
      <c r="T22">
        <v>59645.032049</v>
      </c>
      <c r="U22" s="2">
        <v>44504</v>
      </c>
      <c r="V22" t="s">
        <v>806</v>
      </c>
    </row>
    <row r="23" spans="1:22">
      <c r="A23" s="1" t="s">
        <v>43</v>
      </c>
      <c r="B23">
        <f>HYPERLINK("https://www.suredividend.com/sure-analysis-LEG/","Leggett &amp; Platt, Inc.")</f>
        <v>0</v>
      </c>
      <c r="C23">
        <v>41.47</v>
      </c>
      <c r="D23">
        <v>44</v>
      </c>
      <c r="E23">
        <v>0.9425</v>
      </c>
      <c r="F23">
        <v>0.04051121292500603</v>
      </c>
      <c r="G23">
        <v>0.01191428830941677</v>
      </c>
      <c r="H23">
        <v>0.05</v>
      </c>
      <c r="I23">
        <v>0.09608730194282811</v>
      </c>
      <c r="J23" t="s">
        <v>780</v>
      </c>
      <c r="K23" t="s">
        <v>780</v>
      </c>
      <c r="L23">
        <v>2.75</v>
      </c>
      <c r="M23">
        <v>1.68</v>
      </c>
      <c r="N23">
        <v>0.6109090909090908</v>
      </c>
      <c r="O23">
        <v>48</v>
      </c>
      <c r="P23">
        <v>0.03959498820755258</v>
      </c>
      <c r="Q23">
        <v>0.057208014418342</v>
      </c>
      <c r="R23" t="s">
        <v>784</v>
      </c>
      <c r="S23" t="s">
        <v>792</v>
      </c>
      <c r="T23">
        <v>5484.470382</v>
      </c>
      <c r="U23" s="2">
        <v>44506</v>
      </c>
      <c r="V23" t="s">
        <v>801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315.11</v>
      </c>
      <c r="D24">
        <v>289</v>
      </c>
      <c r="E24">
        <v>1.090346020761246</v>
      </c>
      <c r="F24">
        <v>0.01307479927644315</v>
      </c>
      <c r="G24">
        <v>-0.01715025027533235</v>
      </c>
      <c r="H24">
        <v>0.1</v>
      </c>
      <c r="I24">
        <v>0.09369888560476203</v>
      </c>
      <c r="J24" t="s">
        <v>780</v>
      </c>
      <c r="K24" t="s">
        <v>781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0.167989437834755</v>
      </c>
      <c r="R24" t="s">
        <v>784</v>
      </c>
      <c r="S24" t="s">
        <v>790</v>
      </c>
      <c r="T24">
        <v>40019.556364</v>
      </c>
      <c r="U24" s="2">
        <v>44508</v>
      </c>
      <c r="V24" t="s">
        <v>807</v>
      </c>
    </row>
    <row r="25" spans="1:22">
      <c r="A25" s="1" t="s">
        <v>45</v>
      </c>
      <c r="B25">
        <f>HYPERLINK("https://www.suredividend.com/sure-analysis-JW.A/","John Wiley &amp; Sons Inc.")</f>
        <v>0</v>
      </c>
      <c r="C25">
        <v>54.5</v>
      </c>
      <c r="D25">
        <v>62</v>
      </c>
      <c r="E25">
        <v>0.8790322580645161</v>
      </c>
      <c r="F25">
        <v>0.02532110091743119</v>
      </c>
      <c r="G25">
        <v>0.02612209092834372</v>
      </c>
      <c r="H25">
        <v>0.045</v>
      </c>
      <c r="I25">
        <v>0.09247218091522402</v>
      </c>
      <c r="J25" t="s">
        <v>780</v>
      </c>
      <c r="K25" t="s">
        <v>781</v>
      </c>
      <c r="L25">
        <v>4.12</v>
      </c>
      <c r="M25">
        <v>1.38</v>
      </c>
      <c r="N25">
        <v>0.3349514563106796</v>
      </c>
      <c r="O25">
        <v>28</v>
      </c>
      <c r="P25">
        <v>0.03002598081465924</v>
      </c>
      <c r="Q25">
        <v>0.305541255151111</v>
      </c>
      <c r="R25" t="s">
        <v>784</v>
      </c>
      <c r="S25" t="s">
        <v>788</v>
      </c>
      <c r="T25">
        <v>3062.453744</v>
      </c>
      <c r="U25" s="2">
        <v>44453</v>
      </c>
      <c r="V25" t="s">
        <v>801</v>
      </c>
    </row>
    <row r="26" spans="1:22">
      <c r="A26" s="1" t="s">
        <v>46</v>
      </c>
      <c r="B26">
        <f>HYPERLINK("https://www.suredividend.com/sure-analysis-CINF/","Cincinnati Financial Corp.")</f>
        <v>0</v>
      </c>
      <c r="C26">
        <v>115.81</v>
      </c>
      <c r="D26">
        <v>112.03</v>
      </c>
      <c r="E26">
        <v>1.033740962242257</v>
      </c>
      <c r="F26">
        <v>0.02175977894827735</v>
      </c>
      <c r="G26">
        <v>-0.006614869712086913</v>
      </c>
      <c r="H26">
        <v>0.08</v>
      </c>
      <c r="I26">
        <v>0.09128428564732105</v>
      </c>
      <c r="J26" t="s">
        <v>780</v>
      </c>
      <c r="K26" t="s">
        <v>781</v>
      </c>
      <c r="L26">
        <v>5.58</v>
      </c>
      <c r="M26">
        <v>2.52</v>
      </c>
      <c r="N26">
        <v>0.4516129032258064</v>
      </c>
      <c r="O26">
        <v>60</v>
      </c>
      <c r="P26">
        <v>0.05024607263868264</v>
      </c>
      <c r="Q26">
        <v>0.4909838512129601</v>
      </c>
      <c r="R26" t="s">
        <v>784</v>
      </c>
      <c r="S26" t="s">
        <v>794</v>
      </c>
      <c r="T26">
        <v>18674.630258</v>
      </c>
      <c r="U26" s="2">
        <v>44499</v>
      </c>
      <c r="V26" t="s">
        <v>802</v>
      </c>
    </row>
    <row r="27" spans="1:22">
      <c r="A27" s="1" t="s">
        <v>47</v>
      </c>
      <c r="B27">
        <f>HYPERLINK("https://www.suredividend.com/sure-analysis-EFSI/","Eagle Financial Services, Inc.")</f>
        <v>0</v>
      </c>
      <c r="C27">
        <v>35.45</v>
      </c>
      <c r="D27">
        <v>37</v>
      </c>
      <c r="E27">
        <v>0.9581081081081082</v>
      </c>
      <c r="F27">
        <v>0.03159379407616361</v>
      </c>
      <c r="G27">
        <v>0.008595664312994078</v>
      </c>
      <c r="H27">
        <v>0.055</v>
      </c>
      <c r="I27">
        <v>0.09091105732154947</v>
      </c>
      <c r="J27" t="s">
        <v>780</v>
      </c>
      <c r="K27" t="s">
        <v>780</v>
      </c>
      <c r="L27">
        <v>3.4</v>
      </c>
      <c r="M27">
        <v>1.12</v>
      </c>
      <c r="N27">
        <v>0.3294117647058824</v>
      </c>
      <c r="O27">
        <v>35</v>
      </c>
      <c r="P27">
        <v>0.04563955259127317</v>
      </c>
      <c r="Q27">
        <v>0.223876274727472</v>
      </c>
      <c r="R27" t="s">
        <v>784</v>
      </c>
      <c r="S27" t="s">
        <v>794</v>
      </c>
      <c r="T27">
        <v>122.621544</v>
      </c>
      <c r="U27" s="2">
        <v>44505</v>
      </c>
      <c r="V27" t="s">
        <v>801</v>
      </c>
    </row>
    <row r="28" spans="1:22">
      <c r="A28" s="1" t="s">
        <v>48</v>
      </c>
      <c r="B28">
        <f>HYPERLINK("https://www.suredividend.com/sure-analysis-LHX/","L3Harris Technologies Inc")</f>
        <v>0</v>
      </c>
      <c r="C28">
        <v>213</v>
      </c>
      <c r="D28">
        <v>206</v>
      </c>
      <c r="E28">
        <v>1.033980582524272</v>
      </c>
      <c r="F28">
        <v>0.01915492957746479</v>
      </c>
      <c r="G28">
        <v>-0.006660916474974465</v>
      </c>
      <c r="H28">
        <v>0.08</v>
      </c>
      <c r="I28">
        <v>0.09052635811840237</v>
      </c>
      <c r="J28" t="s">
        <v>780</v>
      </c>
      <c r="K28" t="s">
        <v>781</v>
      </c>
      <c r="L28">
        <v>12.9</v>
      </c>
      <c r="M28">
        <v>4.08</v>
      </c>
      <c r="N28">
        <v>0.3162790697674419</v>
      </c>
      <c r="O28">
        <v>20</v>
      </c>
      <c r="P28">
        <v>0.07982488529298792</v>
      </c>
      <c r="Q28">
        <v>0.142903134935007</v>
      </c>
      <c r="R28" t="s">
        <v>784</v>
      </c>
      <c r="S28" t="s">
        <v>790</v>
      </c>
      <c r="T28">
        <v>41796.024897</v>
      </c>
      <c r="U28" s="2">
        <v>44509</v>
      </c>
      <c r="V28" t="s">
        <v>806</v>
      </c>
    </row>
    <row r="29" spans="1:22">
      <c r="A29" s="1" t="s">
        <v>49</v>
      </c>
      <c r="B29">
        <f>HYPERLINK("https://www.suredividend.com/sure-analysis-TNC/","Tennant Co.")</f>
        <v>0</v>
      </c>
      <c r="C29">
        <v>81.90000000000001</v>
      </c>
      <c r="D29">
        <v>82</v>
      </c>
      <c r="E29">
        <v>0.9987804878048782</v>
      </c>
      <c r="F29">
        <v>0.01221001221001221</v>
      </c>
      <c r="G29">
        <v>0.0002440810639825486</v>
      </c>
      <c r="H29">
        <v>0.08</v>
      </c>
      <c r="I29">
        <v>0.09049083847202044</v>
      </c>
      <c r="J29" t="s">
        <v>780</v>
      </c>
      <c r="K29" t="s">
        <v>781</v>
      </c>
      <c r="L29">
        <v>4.3</v>
      </c>
      <c r="M29">
        <v>1</v>
      </c>
      <c r="N29">
        <v>0.2325581395348837</v>
      </c>
      <c r="O29">
        <v>49</v>
      </c>
      <c r="P29">
        <v>0.05061112176150684</v>
      </c>
      <c r="Q29">
        <v>0.158306177632947</v>
      </c>
      <c r="R29" t="s">
        <v>784</v>
      </c>
      <c r="S29" t="s">
        <v>790</v>
      </c>
      <c r="T29">
        <v>1486.419081</v>
      </c>
      <c r="U29" s="2">
        <v>44510</v>
      </c>
      <c r="V29" t="s">
        <v>801</v>
      </c>
    </row>
    <row r="30" spans="1:22">
      <c r="A30" s="1" t="s">
        <v>50</v>
      </c>
      <c r="B30">
        <f>HYPERLINK("https://www.suredividend.com/sure-analysis-INTU/","Intuit Inc")</f>
        <v>0</v>
      </c>
      <c r="C30">
        <v>647.49</v>
      </c>
      <c r="D30">
        <v>462</v>
      </c>
      <c r="E30">
        <v>1.401493506493507</v>
      </c>
      <c r="F30">
        <v>0.00420083707856492</v>
      </c>
      <c r="G30">
        <v>-0.0652794689748446</v>
      </c>
      <c r="H30">
        <v>0.16</v>
      </c>
      <c r="I30">
        <v>0.08908062971478459</v>
      </c>
      <c r="J30" t="s">
        <v>780</v>
      </c>
      <c r="K30" t="s">
        <v>530</v>
      </c>
      <c r="L30">
        <v>11.56</v>
      </c>
      <c r="M30">
        <v>2.72</v>
      </c>
      <c r="N30">
        <v>0.2352941176470588</v>
      </c>
      <c r="O30">
        <v>10</v>
      </c>
      <c r="P30">
        <v>0.1598810174248351</v>
      </c>
      <c r="Q30">
        <v>0.759162925864162</v>
      </c>
      <c r="R30" t="s">
        <v>784</v>
      </c>
      <c r="S30" t="s">
        <v>791</v>
      </c>
      <c r="T30">
        <v>175246.291484</v>
      </c>
      <c r="U30" s="2">
        <v>44520</v>
      </c>
      <c r="V30" t="s">
        <v>799</v>
      </c>
    </row>
    <row r="31" spans="1:22">
      <c r="A31" s="1" t="s">
        <v>51</v>
      </c>
      <c r="B31">
        <f>HYPERLINK("https://www.suredividend.com/sure-analysis-MDU/","MDU Resources Group Inc")</f>
        <v>0</v>
      </c>
      <c r="C31">
        <v>29.72</v>
      </c>
      <c r="D31">
        <v>32</v>
      </c>
      <c r="E31">
        <v>0.92875</v>
      </c>
      <c r="F31">
        <v>0.02927321668909825</v>
      </c>
      <c r="G31">
        <v>0.01489294760355064</v>
      </c>
      <c r="H31">
        <v>0.05</v>
      </c>
      <c r="I31">
        <v>0.08898681849229262</v>
      </c>
      <c r="J31" t="s">
        <v>780</v>
      </c>
      <c r="K31" t="s">
        <v>780</v>
      </c>
      <c r="L31">
        <v>2</v>
      </c>
      <c r="M31">
        <v>0.87</v>
      </c>
      <c r="N31">
        <v>0.435</v>
      </c>
      <c r="O31">
        <v>30</v>
      </c>
      <c r="P31">
        <v>0.02409763832975087</v>
      </c>
      <c r="Q31">
        <v>0.153619491244924</v>
      </c>
      <c r="R31" t="s">
        <v>784</v>
      </c>
      <c r="S31" t="s">
        <v>793</v>
      </c>
      <c r="T31">
        <v>5785.475979</v>
      </c>
      <c r="U31" s="2">
        <v>44524</v>
      </c>
      <c r="V31" t="s">
        <v>804</v>
      </c>
    </row>
    <row r="32" spans="1:22">
      <c r="A32" s="1" t="s">
        <v>52</v>
      </c>
      <c r="B32">
        <f>HYPERLINK("https://www.suredividend.com/sure-analysis-MMM/","3M Co.")</f>
        <v>0</v>
      </c>
      <c r="C32">
        <v>175.78</v>
      </c>
      <c r="D32">
        <v>186</v>
      </c>
      <c r="E32">
        <v>0.9450537634408602</v>
      </c>
      <c r="F32">
        <v>0.03367846171350552</v>
      </c>
      <c r="G32">
        <v>0.01136680887617159</v>
      </c>
      <c r="H32">
        <v>0.05</v>
      </c>
      <c r="I32">
        <v>0.08867841012390576</v>
      </c>
      <c r="J32" t="s">
        <v>780</v>
      </c>
      <c r="K32" t="s">
        <v>780</v>
      </c>
      <c r="L32">
        <v>9.800000000000001</v>
      </c>
      <c r="M32">
        <v>5.92</v>
      </c>
      <c r="N32">
        <v>0.6040816326530611</v>
      </c>
      <c r="O32">
        <v>63</v>
      </c>
      <c r="P32">
        <v>0.02011987338221144</v>
      </c>
      <c r="Q32">
        <v>0.04151763998969901</v>
      </c>
      <c r="R32" t="s">
        <v>784</v>
      </c>
      <c r="S32" t="s">
        <v>790</v>
      </c>
      <c r="T32">
        <v>101099.675564</v>
      </c>
      <c r="U32" s="2">
        <v>44496</v>
      </c>
      <c r="V32" t="s">
        <v>800</v>
      </c>
    </row>
    <row r="33" spans="1:22">
      <c r="A33" s="1" t="s">
        <v>53</v>
      </c>
      <c r="B33">
        <f>HYPERLINK("https://www.suredividend.com/sure-analysis-MCK/","Mckesson Corporation")</f>
        <v>0</v>
      </c>
      <c r="C33">
        <v>232.29</v>
      </c>
      <c r="D33">
        <v>269</v>
      </c>
      <c r="E33">
        <v>0.8635315985130111</v>
      </c>
      <c r="F33">
        <v>0.008093331611347884</v>
      </c>
      <c r="G33">
        <v>0.02977976367844537</v>
      </c>
      <c r="H33">
        <v>0.05</v>
      </c>
      <c r="I33">
        <v>0.08846457262569851</v>
      </c>
      <c r="J33" t="s">
        <v>780</v>
      </c>
      <c r="K33" t="s">
        <v>349</v>
      </c>
      <c r="L33">
        <v>22.45</v>
      </c>
      <c r="M33">
        <v>1.88</v>
      </c>
      <c r="N33">
        <v>0.08374164810690422</v>
      </c>
      <c r="O33">
        <v>14</v>
      </c>
      <c r="P33">
        <v>0.0702598056972048</v>
      </c>
      <c r="Q33">
        <v>0.344670186009878</v>
      </c>
      <c r="R33" t="s">
        <v>784</v>
      </c>
      <c r="S33" t="s">
        <v>789</v>
      </c>
      <c r="T33">
        <v>35060.405779</v>
      </c>
      <c r="U33" s="2">
        <v>44524</v>
      </c>
      <c r="V33" t="s">
        <v>804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45.12</v>
      </c>
      <c r="D34">
        <v>49.9</v>
      </c>
      <c r="E34">
        <v>0.9042084168336673</v>
      </c>
      <c r="F34">
        <v>0.03102836879432624</v>
      </c>
      <c r="G34">
        <v>0.02034323859208742</v>
      </c>
      <c r="H34">
        <v>0.04</v>
      </c>
      <c r="I34">
        <v>0.08799419705701372</v>
      </c>
      <c r="J34" t="s">
        <v>780</v>
      </c>
      <c r="K34" t="s">
        <v>780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0.319881956503153</v>
      </c>
      <c r="R34" t="s">
        <v>784</v>
      </c>
      <c r="S34" t="s">
        <v>796</v>
      </c>
      <c r="T34">
        <v>9366.855285</v>
      </c>
      <c r="U34" s="2">
        <v>44521</v>
      </c>
      <c r="V34" t="s">
        <v>808</v>
      </c>
    </row>
    <row r="35" spans="1:22">
      <c r="A35" s="1" t="s">
        <v>55</v>
      </c>
      <c r="B35">
        <f>HYPERLINK("https://www.suredividend.com/sure-analysis-EBTC/","Enterprise Bancorp, Inc.")</f>
        <v>0</v>
      </c>
      <c r="C35">
        <v>37.4</v>
      </c>
      <c r="D35">
        <v>41</v>
      </c>
      <c r="E35">
        <v>0.9121951219512194</v>
      </c>
      <c r="F35">
        <v>0.01978609625668449</v>
      </c>
      <c r="G35">
        <v>0.01855022935236317</v>
      </c>
      <c r="H35">
        <v>0.05</v>
      </c>
      <c r="I35">
        <v>0.08707388736451938</v>
      </c>
      <c r="J35" t="s">
        <v>780</v>
      </c>
      <c r="K35" t="s">
        <v>781</v>
      </c>
      <c r="L35">
        <v>3.4</v>
      </c>
      <c r="M35">
        <v>0.74</v>
      </c>
      <c r="N35">
        <v>0.2176470588235294</v>
      </c>
      <c r="O35">
        <v>27</v>
      </c>
      <c r="P35">
        <v>0.06207125806326297</v>
      </c>
      <c r="Q35">
        <v>0.458437968461854</v>
      </c>
      <c r="R35" t="s">
        <v>784</v>
      </c>
      <c r="S35" t="s">
        <v>794</v>
      </c>
      <c r="T35">
        <v>457.514117</v>
      </c>
      <c r="U35" s="2">
        <v>44494</v>
      </c>
      <c r="V35" t="s">
        <v>807</v>
      </c>
    </row>
    <row r="36" spans="1:22">
      <c r="A36" s="1" t="s">
        <v>56</v>
      </c>
      <c r="B36">
        <f>HYPERLINK("https://www.suredividend.com/sure-analysis-MET/","Metlife Inc")</f>
        <v>0</v>
      </c>
      <c r="C36">
        <v>60.82</v>
      </c>
      <c r="D36">
        <v>77</v>
      </c>
      <c r="E36">
        <v>0.7898701298701298</v>
      </c>
      <c r="F36">
        <v>0.03156856297270635</v>
      </c>
      <c r="G36">
        <v>0.04830790782269867</v>
      </c>
      <c r="H36">
        <v>0.01</v>
      </c>
      <c r="I36">
        <v>0.08571602950073531</v>
      </c>
      <c r="J36" t="s">
        <v>780</v>
      </c>
      <c r="K36" t="s">
        <v>780</v>
      </c>
      <c r="L36">
        <v>8.5</v>
      </c>
      <c r="M36">
        <v>1.92</v>
      </c>
      <c r="N36">
        <v>0.2258823529411765</v>
      </c>
      <c r="O36">
        <v>9</v>
      </c>
      <c r="P36">
        <v>0.0403582746309219</v>
      </c>
      <c r="Q36">
        <v>0.369483492993785</v>
      </c>
      <c r="R36" t="s">
        <v>784</v>
      </c>
      <c r="S36" t="s">
        <v>794</v>
      </c>
      <c r="T36">
        <v>51142.539734</v>
      </c>
      <c r="U36" s="2">
        <v>44511</v>
      </c>
      <c r="V36" t="s">
        <v>803</v>
      </c>
    </row>
    <row r="37" spans="1:22">
      <c r="A37" s="1" t="s">
        <v>57</v>
      </c>
      <c r="B37">
        <f>HYPERLINK("https://www.suredividend.com/sure-analysis-MATW/","Matthews International Corp.")</f>
        <v>0</v>
      </c>
      <c r="C37">
        <v>35.69</v>
      </c>
      <c r="D37">
        <v>42</v>
      </c>
      <c r="E37">
        <v>0.8497619047619047</v>
      </c>
      <c r="F37">
        <v>0.02465676660128888</v>
      </c>
      <c r="G37">
        <v>0.03309568710886701</v>
      </c>
      <c r="H37">
        <v>0.03</v>
      </c>
      <c r="I37">
        <v>0.08548832864450651</v>
      </c>
      <c r="J37" t="s">
        <v>780</v>
      </c>
      <c r="K37" t="s">
        <v>781</v>
      </c>
      <c r="L37">
        <v>3.25</v>
      </c>
      <c r="M37">
        <v>0.88</v>
      </c>
      <c r="N37">
        <v>0.2707692307692308</v>
      </c>
      <c r="O37">
        <v>28</v>
      </c>
      <c r="P37">
        <v>0.04941452284458392</v>
      </c>
      <c r="Q37">
        <v>0.334639123602158</v>
      </c>
      <c r="R37" t="s">
        <v>784</v>
      </c>
      <c r="S37" t="s">
        <v>790</v>
      </c>
      <c r="T37">
        <v>1106.489138</v>
      </c>
      <c r="U37" s="2">
        <v>44417</v>
      </c>
      <c r="V37" t="s">
        <v>805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42.94</v>
      </c>
      <c r="D38">
        <v>48</v>
      </c>
      <c r="E38">
        <v>0.8945833333333333</v>
      </c>
      <c r="F38">
        <v>0.03726129482999534</v>
      </c>
      <c r="G38">
        <v>0.02252948396373511</v>
      </c>
      <c r="H38">
        <v>0.03</v>
      </c>
      <c r="I38">
        <v>0.08466398732116831</v>
      </c>
      <c r="J38" t="s">
        <v>780</v>
      </c>
      <c r="K38" t="s">
        <v>780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0.208046138697425</v>
      </c>
      <c r="R38" t="s">
        <v>784</v>
      </c>
      <c r="S38" t="s">
        <v>794</v>
      </c>
      <c r="T38">
        <v>766.181898</v>
      </c>
      <c r="U38" s="2">
        <v>44490</v>
      </c>
      <c r="V38" t="s">
        <v>807</v>
      </c>
    </row>
    <row r="39" spans="1:22">
      <c r="A39" s="1" t="s">
        <v>59</v>
      </c>
      <c r="B39">
        <f>HYPERLINK("https://www.suredividend.com/sure-analysis-SWK/","Stanley Black &amp; Decker Inc")</f>
        <v>0</v>
      </c>
      <c r="C39">
        <v>191.98</v>
      </c>
      <c r="D39">
        <v>182</v>
      </c>
      <c r="E39">
        <v>1.054835164835165</v>
      </c>
      <c r="F39">
        <v>0.01646004792165851</v>
      </c>
      <c r="G39">
        <v>-0.01062010676161906</v>
      </c>
      <c r="H39">
        <v>0.08</v>
      </c>
      <c r="I39">
        <v>0.08406540829903975</v>
      </c>
      <c r="J39" t="s">
        <v>780</v>
      </c>
      <c r="K39" t="s">
        <v>781</v>
      </c>
      <c r="L39">
        <v>11</v>
      </c>
      <c r="M39">
        <v>3.16</v>
      </c>
      <c r="N39">
        <v>0.2872727272727273</v>
      </c>
      <c r="O39">
        <v>54</v>
      </c>
      <c r="P39">
        <v>0.07985683020954282</v>
      </c>
      <c r="Q39">
        <v>0.140640673155607</v>
      </c>
      <c r="R39" t="s">
        <v>784</v>
      </c>
      <c r="S39" t="s">
        <v>790</v>
      </c>
      <c r="T39">
        <v>31201.295921</v>
      </c>
      <c r="U39" s="2">
        <v>44500</v>
      </c>
      <c r="V39" t="s">
        <v>800</v>
      </c>
    </row>
    <row r="40" spans="1:22">
      <c r="A40" s="1" t="s">
        <v>60</v>
      </c>
      <c r="B40">
        <f>HYPERLINK("https://www.suredividend.com/sure-analysis-WSM/","Williams-Sonoma, Inc.")</f>
        <v>0</v>
      </c>
      <c r="C40">
        <v>171.6</v>
      </c>
      <c r="D40">
        <v>216</v>
      </c>
      <c r="E40">
        <v>0.7944444444444444</v>
      </c>
      <c r="F40">
        <v>0.01655011655011655</v>
      </c>
      <c r="G40">
        <v>0.04709791189073953</v>
      </c>
      <c r="H40">
        <v>0.02</v>
      </c>
      <c r="I40">
        <v>0.08282345881593378</v>
      </c>
      <c r="J40" t="s">
        <v>780</v>
      </c>
      <c r="K40" t="s">
        <v>781</v>
      </c>
      <c r="L40">
        <v>13.5</v>
      </c>
      <c r="M40">
        <v>2.84</v>
      </c>
      <c r="N40">
        <v>0.2103703703703703</v>
      </c>
      <c r="O40">
        <v>15</v>
      </c>
      <c r="P40">
        <v>0.05996872493653238</v>
      </c>
      <c r="Q40">
        <v>0.6128083547267611</v>
      </c>
      <c r="R40" t="s">
        <v>784</v>
      </c>
      <c r="S40" t="s">
        <v>792</v>
      </c>
      <c r="T40">
        <v>12402.26823</v>
      </c>
      <c r="U40" s="2">
        <v>44520</v>
      </c>
      <c r="V40" t="s">
        <v>803</v>
      </c>
    </row>
    <row r="41" spans="1:22">
      <c r="A41" s="1" t="s">
        <v>61</v>
      </c>
      <c r="B41">
        <f>HYPERLINK("https://www.suredividend.com/sure-analysis-NIDB/","Northeast Indiana Bancorp Inc.")</f>
        <v>0</v>
      </c>
      <c r="C41">
        <v>47</v>
      </c>
      <c r="D41">
        <v>54</v>
      </c>
      <c r="E41">
        <v>0.8703703703703703</v>
      </c>
      <c r="F41">
        <v>0.02553191489361702</v>
      </c>
      <c r="G41">
        <v>0.02815639324725039</v>
      </c>
      <c r="H41">
        <v>0.03</v>
      </c>
      <c r="I41">
        <v>0.08031639016689662</v>
      </c>
      <c r="J41" t="s">
        <v>780</v>
      </c>
      <c r="K41" t="s">
        <v>780</v>
      </c>
      <c r="L41">
        <v>6</v>
      </c>
      <c r="M41">
        <v>1.2</v>
      </c>
      <c r="N41">
        <v>0.2</v>
      </c>
      <c r="O41">
        <v>27</v>
      </c>
      <c r="P41">
        <v>0.02983277847878951</v>
      </c>
      <c r="Q41">
        <v>0.164473684210526</v>
      </c>
      <c r="R41" t="s">
        <v>784</v>
      </c>
      <c r="S41" t="s">
        <v>794</v>
      </c>
      <c r="T41">
        <v>53.340499</v>
      </c>
      <c r="U41" s="2">
        <v>44503</v>
      </c>
      <c r="V41" t="s">
        <v>800</v>
      </c>
    </row>
    <row r="42" spans="1:22">
      <c r="A42" s="1" t="s">
        <v>62</v>
      </c>
      <c r="B42">
        <f>HYPERLINK("https://www.suredividend.com/sure-analysis-CP/","Canadian Pacific Railway Ltd")</f>
        <v>0</v>
      </c>
      <c r="C42">
        <v>73.66</v>
      </c>
      <c r="D42">
        <v>64</v>
      </c>
      <c r="E42">
        <v>1.1509375</v>
      </c>
      <c r="F42">
        <v>0.008281292424653815</v>
      </c>
      <c r="G42">
        <v>-0.02772380682885478</v>
      </c>
      <c r="H42">
        <v>0.1</v>
      </c>
      <c r="I42">
        <v>0.07915943423006166</v>
      </c>
      <c r="J42" t="s">
        <v>780</v>
      </c>
      <c r="K42" t="s">
        <v>530</v>
      </c>
      <c r="L42">
        <v>3.06</v>
      </c>
      <c r="M42">
        <v>0.61</v>
      </c>
      <c r="N42">
        <v>0.1993464052287582</v>
      </c>
      <c r="O42">
        <v>5</v>
      </c>
      <c r="P42">
        <v>0.1505753231079818</v>
      </c>
      <c r="Q42">
        <v>0.09668779196676101</v>
      </c>
      <c r="R42" t="s">
        <v>784</v>
      </c>
      <c r="S42" t="s">
        <v>790</v>
      </c>
      <c r="T42">
        <v>48555.873694</v>
      </c>
      <c r="U42" s="2">
        <v>44491</v>
      </c>
      <c r="V42" t="s">
        <v>809</v>
      </c>
    </row>
    <row r="43" spans="1:22">
      <c r="A43" s="1" t="s">
        <v>63</v>
      </c>
      <c r="B43">
        <f>HYPERLINK("https://www.suredividend.com/sure-analysis-BRC/","Brady Corp.")</f>
        <v>0</v>
      </c>
      <c r="C43">
        <v>52.97</v>
      </c>
      <c r="D43">
        <v>57</v>
      </c>
      <c r="E43">
        <v>0.9292982456140351</v>
      </c>
      <c r="F43">
        <v>0.01699074948083821</v>
      </c>
      <c r="G43">
        <v>0.01477317078064111</v>
      </c>
      <c r="H43">
        <v>0.05</v>
      </c>
      <c r="I43">
        <v>0.07912245113792449</v>
      </c>
      <c r="J43" t="s">
        <v>780</v>
      </c>
      <c r="K43" t="s">
        <v>781</v>
      </c>
      <c r="L43">
        <v>3</v>
      </c>
      <c r="M43">
        <v>0.9</v>
      </c>
      <c r="N43">
        <v>0.3</v>
      </c>
      <c r="O43">
        <v>36</v>
      </c>
      <c r="P43">
        <v>0.01924487649145656</v>
      </c>
      <c r="Q43">
        <v>0.121356609848119</v>
      </c>
      <c r="R43" t="s">
        <v>784</v>
      </c>
      <c r="S43" t="s">
        <v>790</v>
      </c>
      <c r="T43">
        <v>2524.740317</v>
      </c>
      <c r="U43" s="2">
        <v>44519</v>
      </c>
      <c r="V43" t="s">
        <v>800</v>
      </c>
    </row>
    <row r="44" spans="1:22">
      <c r="A44" s="1" t="s">
        <v>64</v>
      </c>
      <c r="B44">
        <f>HYPERLINK("https://www.suredividend.com/sure-analysis-V/","Visa Inc")</f>
        <v>0</v>
      </c>
      <c r="C44">
        <v>212.31</v>
      </c>
      <c r="D44">
        <v>178</v>
      </c>
      <c r="E44">
        <v>1.192752808988764</v>
      </c>
      <c r="F44">
        <v>0.007065140596297866</v>
      </c>
      <c r="G44">
        <v>-0.03463864258313454</v>
      </c>
      <c r="H44">
        <v>0.11</v>
      </c>
      <c r="I44">
        <v>0.07855032995598799</v>
      </c>
      <c r="J44" t="s">
        <v>780</v>
      </c>
      <c r="K44" t="s">
        <v>349</v>
      </c>
      <c r="L44">
        <v>7.1</v>
      </c>
      <c r="M44">
        <v>1.5</v>
      </c>
      <c r="N44">
        <v>0.2112676056338028</v>
      </c>
      <c r="O44">
        <v>14</v>
      </c>
      <c r="P44">
        <v>0.09487401536266371</v>
      </c>
      <c r="Q44">
        <v>0.019396100778358</v>
      </c>
      <c r="R44" t="s">
        <v>784</v>
      </c>
      <c r="S44" t="s">
        <v>794</v>
      </c>
      <c r="T44">
        <v>462795.92</v>
      </c>
      <c r="U44" s="2">
        <v>44497</v>
      </c>
      <c r="V44" t="s">
        <v>803</v>
      </c>
    </row>
    <row r="45" spans="1:22">
      <c r="A45" s="1" t="s">
        <v>65</v>
      </c>
      <c r="B45">
        <f>HYPERLINK("https://www.suredividend.com/sure-analysis-SYY/","Sysco Corp.")</f>
        <v>0</v>
      </c>
      <c r="C45">
        <v>74.56999999999999</v>
      </c>
      <c r="D45">
        <v>69</v>
      </c>
      <c r="E45">
        <v>1.080724637681159</v>
      </c>
      <c r="F45">
        <v>0.02521121094273837</v>
      </c>
      <c r="G45">
        <v>-0.01540644293907323</v>
      </c>
      <c r="H45">
        <v>0.07000000000000001</v>
      </c>
      <c r="I45">
        <v>0.07824661737261196</v>
      </c>
      <c r="J45" t="s">
        <v>780</v>
      </c>
      <c r="K45" t="s">
        <v>781</v>
      </c>
      <c r="L45">
        <v>3.47</v>
      </c>
      <c r="M45">
        <v>1.88</v>
      </c>
      <c r="N45">
        <v>0.5417867435158501</v>
      </c>
      <c r="O45">
        <v>51</v>
      </c>
      <c r="P45">
        <v>0.07981721406627784</v>
      </c>
      <c r="Q45">
        <v>0.025007563473927</v>
      </c>
      <c r="R45" t="s">
        <v>784</v>
      </c>
      <c r="S45" t="s">
        <v>795</v>
      </c>
      <c r="T45">
        <v>37690.494337</v>
      </c>
      <c r="U45" s="2">
        <v>44513</v>
      </c>
      <c r="V45" t="s">
        <v>802</v>
      </c>
    </row>
    <row r="46" spans="1:22">
      <c r="A46" s="1" t="s">
        <v>66</v>
      </c>
      <c r="B46">
        <f>HYPERLINK("https://www.suredividend.com/sure-analysis-ROP/","Roper Technologies Inc")</f>
        <v>0</v>
      </c>
      <c r="C46">
        <v>479.26</v>
      </c>
      <c r="D46">
        <v>423</v>
      </c>
      <c r="E46">
        <v>1.133002364066194</v>
      </c>
      <c r="F46">
        <v>0.00517464424320828</v>
      </c>
      <c r="G46">
        <v>-0.02466493803256664</v>
      </c>
      <c r="H46">
        <v>0.1</v>
      </c>
      <c r="I46">
        <v>0.07806044604835738</v>
      </c>
      <c r="J46" t="s">
        <v>780</v>
      </c>
      <c r="K46" t="s">
        <v>349</v>
      </c>
      <c r="L46">
        <v>14.1</v>
      </c>
      <c r="M46">
        <v>2.48</v>
      </c>
      <c r="N46">
        <v>0.175886524822695</v>
      </c>
      <c r="O46">
        <v>29</v>
      </c>
      <c r="P46">
        <v>0.09977601258252333</v>
      </c>
      <c r="Q46">
        <v>0.10834856562881</v>
      </c>
      <c r="R46" t="s">
        <v>784</v>
      </c>
      <c r="S46" t="s">
        <v>790</v>
      </c>
      <c r="T46">
        <v>49158.084219</v>
      </c>
      <c r="U46" s="2">
        <v>44494</v>
      </c>
      <c r="V46" t="s">
        <v>799</v>
      </c>
    </row>
    <row r="47" spans="1:22">
      <c r="A47" s="1" t="s">
        <v>67</v>
      </c>
      <c r="B47">
        <f>HYPERLINK("https://www.suredividend.com/sure-analysis-JNJ/","Johnson &amp; Johnson")</f>
        <v>0</v>
      </c>
      <c r="C47">
        <v>171.14</v>
      </c>
      <c r="D47">
        <v>167</v>
      </c>
      <c r="E47">
        <v>1.024790419161677</v>
      </c>
      <c r="F47">
        <v>0.02477503798060068</v>
      </c>
      <c r="G47">
        <v>-0.004885650707400324</v>
      </c>
      <c r="H47">
        <v>0.06</v>
      </c>
      <c r="I47">
        <v>0.07771133225670379</v>
      </c>
      <c r="J47" t="s">
        <v>780</v>
      </c>
      <c r="K47" t="s">
        <v>780</v>
      </c>
      <c r="L47">
        <v>9.800000000000001</v>
      </c>
      <c r="M47">
        <v>4.24</v>
      </c>
      <c r="N47">
        <v>0.4326530612244898</v>
      </c>
      <c r="O47">
        <v>59</v>
      </c>
      <c r="P47">
        <v>0.05984764821935884</v>
      </c>
      <c r="Q47">
        <v>0.171138643311291</v>
      </c>
      <c r="R47" t="s">
        <v>784</v>
      </c>
      <c r="S47" t="s">
        <v>789</v>
      </c>
      <c r="T47">
        <v>448304.937851</v>
      </c>
      <c r="U47" s="2">
        <v>44489</v>
      </c>
      <c r="V47" t="s">
        <v>800</v>
      </c>
    </row>
    <row r="48" spans="1:22">
      <c r="A48" s="1" t="s">
        <v>68</v>
      </c>
      <c r="B48">
        <f>HYPERLINK("https://www.suredividend.com/sure-analysis-AFL/","Aflac Inc.")</f>
        <v>0</v>
      </c>
      <c r="C48">
        <v>57.35</v>
      </c>
      <c r="D48">
        <v>61</v>
      </c>
      <c r="E48">
        <v>0.9401639344262296</v>
      </c>
      <c r="F48">
        <v>0.02789886660854403</v>
      </c>
      <c r="G48">
        <v>0.01241665860274921</v>
      </c>
      <c r="H48">
        <v>0.04</v>
      </c>
      <c r="I48">
        <v>0.07742613838483892</v>
      </c>
      <c r="J48" t="s">
        <v>780</v>
      </c>
      <c r="K48" t="s">
        <v>780</v>
      </c>
      <c r="L48">
        <v>6.1</v>
      </c>
      <c r="M48">
        <v>1.6</v>
      </c>
      <c r="N48">
        <v>0.2622950819672131</v>
      </c>
      <c r="O48">
        <v>40</v>
      </c>
      <c r="P48">
        <v>0.04142312668144399</v>
      </c>
      <c r="Q48">
        <v>0.315871258250093</v>
      </c>
      <c r="R48" t="s">
        <v>784</v>
      </c>
      <c r="S48" t="s">
        <v>794</v>
      </c>
      <c r="T48">
        <v>37812.952998</v>
      </c>
      <c r="U48" s="2">
        <v>44497</v>
      </c>
      <c r="V48" t="s">
        <v>803</v>
      </c>
    </row>
    <row r="49" spans="1:22">
      <c r="A49" s="1" t="s">
        <v>69</v>
      </c>
      <c r="B49">
        <f>HYPERLINK("https://www.suredividend.com/sure-analysis-SEIC/","SEI Investments Co.")</f>
        <v>0</v>
      </c>
      <c r="C49">
        <v>62.35</v>
      </c>
      <c r="D49">
        <v>64</v>
      </c>
      <c r="E49">
        <v>0.97421875</v>
      </c>
      <c r="F49">
        <v>0.01283079390537289</v>
      </c>
      <c r="G49">
        <v>0.005237550509689992</v>
      </c>
      <c r="H49">
        <v>0.06</v>
      </c>
      <c r="I49">
        <v>0.07731775468855107</v>
      </c>
      <c r="J49" t="s">
        <v>780</v>
      </c>
      <c r="K49" t="s">
        <v>781</v>
      </c>
      <c r="L49">
        <v>3.75</v>
      </c>
      <c r="M49">
        <v>0.8</v>
      </c>
      <c r="N49">
        <v>0.2133333333333333</v>
      </c>
      <c r="O49">
        <v>31</v>
      </c>
      <c r="P49">
        <v>0.06381792112252427</v>
      </c>
      <c r="Q49">
        <v>0.128061019670814</v>
      </c>
      <c r="R49" t="s">
        <v>784</v>
      </c>
      <c r="S49" t="s">
        <v>794</v>
      </c>
      <c r="T49">
        <v>8620.953982999999</v>
      </c>
      <c r="U49" s="2">
        <v>44493</v>
      </c>
      <c r="V49" t="s">
        <v>804</v>
      </c>
    </row>
    <row r="50" spans="1:22">
      <c r="A50" s="1" t="s">
        <v>70</v>
      </c>
      <c r="B50">
        <f>HYPERLINK("https://www.suredividend.com/sure-analysis-EMR/","Emerson Electric Co.")</f>
        <v>0</v>
      </c>
      <c r="C50">
        <v>92.73</v>
      </c>
      <c r="D50">
        <v>92</v>
      </c>
      <c r="E50">
        <v>1.007934782608696</v>
      </c>
      <c r="F50">
        <v>0.02221503289118948</v>
      </c>
      <c r="G50">
        <v>-0.001579444914556638</v>
      </c>
      <c r="H50">
        <v>0.06</v>
      </c>
      <c r="I50">
        <v>0.07702924227923691</v>
      </c>
      <c r="J50" t="s">
        <v>780</v>
      </c>
      <c r="K50" t="s">
        <v>780</v>
      </c>
      <c r="L50">
        <v>4.85</v>
      </c>
      <c r="M50">
        <v>2.06</v>
      </c>
      <c r="N50">
        <v>0.4247422680412372</v>
      </c>
      <c r="O50">
        <v>65</v>
      </c>
      <c r="P50">
        <v>0.03016344758557654</v>
      </c>
      <c r="Q50">
        <v>0.160776799204038</v>
      </c>
      <c r="R50" t="s">
        <v>784</v>
      </c>
      <c r="S50" t="s">
        <v>790</v>
      </c>
      <c r="T50">
        <v>54344.115</v>
      </c>
      <c r="U50" s="2">
        <v>44524</v>
      </c>
      <c r="V50" t="s">
        <v>804</v>
      </c>
    </row>
    <row r="51" spans="1:22">
      <c r="A51" s="1" t="s">
        <v>71</v>
      </c>
      <c r="B51">
        <f>HYPERLINK("https://www.suredividend.com/sure-analysis-ABC/","Amerisource Bergen Corp.")</f>
        <v>0</v>
      </c>
      <c r="C51">
        <v>123.77</v>
      </c>
      <c r="D51">
        <v>138</v>
      </c>
      <c r="E51">
        <v>0.8968840579710144</v>
      </c>
      <c r="F51">
        <v>0.01486628423689101</v>
      </c>
      <c r="G51">
        <v>0.02200433772421739</v>
      </c>
      <c r="H51">
        <v>0.04</v>
      </c>
      <c r="I51">
        <v>0.07684541914958531</v>
      </c>
      <c r="J51" t="s">
        <v>780</v>
      </c>
      <c r="K51" t="s">
        <v>781</v>
      </c>
      <c r="L51">
        <v>10.65</v>
      </c>
      <c r="M51">
        <v>1.84</v>
      </c>
      <c r="N51">
        <v>0.1727699530516432</v>
      </c>
      <c r="O51">
        <v>18</v>
      </c>
      <c r="P51">
        <v>0.06994234673120125</v>
      </c>
      <c r="Q51">
        <v>0.28897907212324</v>
      </c>
      <c r="R51" t="s">
        <v>784</v>
      </c>
      <c r="S51" t="s">
        <v>789</v>
      </c>
      <c r="T51">
        <v>25662.843411</v>
      </c>
      <c r="U51" s="2">
        <v>44511</v>
      </c>
      <c r="V51" t="s">
        <v>803</v>
      </c>
    </row>
    <row r="52" spans="1:22">
      <c r="A52" s="1" t="s">
        <v>72</v>
      </c>
      <c r="B52">
        <f>HYPERLINK("https://www.suredividend.com/sure-analysis-WMT/","Walmart Inc")</f>
        <v>0</v>
      </c>
      <c r="C52">
        <v>145.77</v>
      </c>
      <c r="D52">
        <v>154</v>
      </c>
      <c r="E52">
        <v>0.9465584415584416</v>
      </c>
      <c r="F52">
        <v>0.01509226864238183</v>
      </c>
      <c r="G52">
        <v>0.01104506433482588</v>
      </c>
      <c r="H52">
        <v>0.05</v>
      </c>
      <c r="I52">
        <v>0.07504727782214871</v>
      </c>
      <c r="J52" t="s">
        <v>780</v>
      </c>
      <c r="K52" t="s">
        <v>781</v>
      </c>
      <c r="L52">
        <v>6.4</v>
      </c>
      <c r="M52">
        <v>2.2</v>
      </c>
      <c r="N52">
        <v>0.34375</v>
      </c>
      <c r="O52">
        <v>48</v>
      </c>
      <c r="P52">
        <v>0.05016303610438722</v>
      </c>
      <c r="Q52">
        <v>0.010949981899991</v>
      </c>
      <c r="R52" t="s">
        <v>784</v>
      </c>
      <c r="S52" t="s">
        <v>795</v>
      </c>
      <c r="T52">
        <v>402045.943703</v>
      </c>
      <c r="U52" s="2">
        <v>44534</v>
      </c>
      <c r="V52" t="s">
        <v>804</v>
      </c>
    </row>
    <row r="53" spans="1:22">
      <c r="A53" s="1" t="s">
        <v>73</v>
      </c>
      <c r="B53">
        <f>HYPERLINK("https://www.suredividend.com/sure-analysis-BKH/","Black Hills Corporation")</f>
        <v>0</v>
      </c>
      <c r="C53">
        <v>69.95999999999999</v>
      </c>
      <c r="D53">
        <v>71</v>
      </c>
      <c r="E53">
        <v>0.9853521126760563</v>
      </c>
      <c r="F53">
        <v>0.03401943967981704</v>
      </c>
      <c r="G53">
        <v>0.002955604590137106</v>
      </c>
      <c r="H53">
        <v>0.04</v>
      </c>
      <c r="I53">
        <v>0.07448828128168672</v>
      </c>
      <c r="J53" t="s">
        <v>780</v>
      </c>
      <c r="K53" t="s">
        <v>780</v>
      </c>
      <c r="L53">
        <v>3.92</v>
      </c>
      <c r="M53">
        <v>2.38</v>
      </c>
      <c r="N53">
        <v>0.6071428571428571</v>
      </c>
      <c r="O53">
        <v>50</v>
      </c>
      <c r="P53">
        <v>0.05016931709648742</v>
      </c>
      <c r="Q53">
        <v>0.2018217827345</v>
      </c>
      <c r="R53" t="s">
        <v>784</v>
      </c>
      <c r="S53" t="s">
        <v>796</v>
      </c>
      <c r="T53">
        <v>4345.224482</v>
      </c>
      <c r="U53" s="2">
        <v>44533</v>
      </c>
      <c r="V53" t="s">
        <v>801</v>
      </c>
    </row>
    <row r="54" spans="1:22">
      <c r="A54" s="1" t="s">
        <v>74</v>
      </c>
      <c r="B54">
        <f>HYPERLINK("https://www.suredividend.com/sure-analysis-AIZ/","Assurant Inc")</f>
        <v>0</v>
      </c>
      <c r="C54">
        <v>153.48</v>
      </c>
      <c r="D54">
        <v>138</v>
      </c>
      <c r="E54">
        <v>1.112173913043478</v>
      </c>
      <c r="F54">
        <v>0.01772217878550952</v>
      </c>
      <c r="G54">
        <v>-0.02103884555054347</v>
      </c>
      <c r="H54">
        <v>0.08</v>
      </c>
      <c r="I54">
        <v>0.07370872424932262</v>
      </c>
      <c r="J54" t="s">
        <v>780</v>
      </c>
      <c r="K54" t="s">
        <v>781</v>
      </c>
      <c r="L54">
        <v>10</v>
      </c>
      <c r="M54">
        <v>2.72</v>
      </c>
      <c r="N54">
        <v>0.272</v>
      </c>
      <c r="O54">
        <v>17</v>
      </c>
      <c r="P54">
        <v>0.06000153927394081</v>
      </c>
      <c r="Q54">
        <v>0.181829799879592</v>
      </c>
      <c r="R54" t="s">
        <v>784</v>
      </c>
      <c r="S54" t="s">
        <v>794</v>
      </c>
      <c r="T54">
        <v>8746.494599</v>
      </c>
      <c r="U54" s="2">
        <v>44512</v>
      </c>
      <c r="V54" t="s">
        <v>807</v>
      </c>
    </row>
    <row r="55" spans="1:22">
      <c r="A55" s="1" t="s">
        <v>75</v>
      </c>
      <c r="B55">
        <f>HYPERLINK("https://www.suredividend.com/sure-analysis-FMCB/","Farmers &amp; Merchants Bancorp")</f>
        <v>0</v>
      </c>
      <c r="C55">
        <v>964</v>
      </c>
      <c r="D55">
        <v>1008</v>
      </c>
      <c r="E55">
        <v>0.9563492063492064</v>
      </c>
      <c r="F55">
        <v>0.01587136929460581</v>
      </c>
      <c r="G55">
        <v>0.008966390197359786</v>
      </c>
      <c r="H55">
        <v>0.05</v>
      </c>
      <c r="I55">
        <v>0.0736485408239631</v>
      </c>
      <c r="J55" t="s">
        <v>780</v>
      </c>
      <c r="K55" t="s">
        <v>781</v>
      </c>
      <c r="L55">
        <v>84</v>
      </c>
      <c r="M55">
        <v>15.3</v>
      </c>
      <c r="N55">
        <v>0.1821428571428572</v>
      </c>
      <c r="O55">
        <v>56</v>
      </c>
      <c r="P55">
        <v>0.0500311005456211</v>
      </c>
      <c r="Q55">
        <v>0.339539597650863</v>
      </c>
      <c r="R55" t="s">
        <v>784</v>
      </c>
      <c r="S55" t="s">
        <v>794</v>
      </c>
      <c r="T55">
        <v>762.982263</v>
      </c>
      <c r="U55" s="2">
        <v>44498</v>
      </c>
      <c r="V55" t="s">
        <v>807</v>
      </c>
    </row>
    <row r="56" spans="1:22">
      <c r="A56" s="1" t="s">
        <v>76</v>
      </c>
      <c r="B56">
        <f>HYPERLINK("https://www.suredividend.com/sure-analysis-ANTM/","Anthem Inc")</f>
        <v>0</v>
      </c>
      <c r="C56">
        <v>443.56</v>
      </c>
      <c r="D56">
        <v>388</v>
      </c>
      <c r="E56">
        <v>1.14319587628866</v>
      </c>
      <c r="F56">
        <v>0.0101902786545225</v>
      </c>
      <c r="G56">
        <v>-0.02641052532194998</v>
      </c>
      <c r="H56">
        <v>0.09</v>
      </c>
      <c r="I56">
        <v>0.07148992020669098</v>
      </c>
      <c r="J56" t="s">
        <v>780</v>
      </c>
      <c r="K56" t="s">
        <v>349</v>
      </c>
      <c r="L56">
        <v>25.85</v>
      </c>
      <c r="M56">
        <v>4.52</v>
      </c>
      <c r="N56">
        <v>0.1748549323017408</v>
      </c>
      <c r="O56">
        <v>11</v>
      </c>
      <c r="P56">
        <v>0.0898563876885603</v>
      </c>
      <c r="Q56">
        <v>0.41634478990483</v>
      </c>
      <c r="R56" t="s">
        <v>784</v>
      </c>
      <c r="S56" t="s">
        <v>789</v>
      </c>
      <c r="T56">
        <v>105323.606503</v>
      </c>
      <c r="U56" s="2">
        <v>44490</v>
      </c>
      <c r="V56" t="s">
        <v>800</v>
      </c>
    </row>
    <row r="57" spans="1:22">
      <c r="A57" s="1" t="s">
        <v>77</v>
      </c>
      <c r="B57">
        <f>HYPERLINK("https://www.suredividend.com/sure-analysis-TMO/","Thermo Fisher Scientific Inc.")</f>
        <v>0</v>
      </c>
      <c r="C57">
        <v>655.74</v>
      </c>
      <c r="D57">
        <v>561</v>
      </c>
      <c r="E57">
        <v>1.168877005347594</v>
      </c>
      <c r="F57">
        <v>0.001585994449019428</v>
      </c>
      <c r="G57">
        <v>-0.0307267282682</v>
      </c>
      <c r="H57">
        <v>0.1</v>
      </c>
      <c r="I57">
        <v>0.06809597950671553</v>
      </c>
      <c r="J57" t="s">
        <v>780</v>
      </c>
      <c r="K57" t="s">
        <v>530</v>
      </c>
      <c r="L57">
        <v>23.37</v>
      </c>
      <c r="M57">
        <v>1.04</v>
      </c>
      <c r="N57">
        <v>0.04450149764655541</v>
      </c>
      <c r="O57">
        <v>4</v>
      </c>
      <c r="P57">
        <v>0.1498007546802556</v>
      </c>
      <c r="Q57">
        <v>0.355892429516588</v>
      </c>
      <c r="R57" t="s">
        <v>784</v>
      </c>
      <c r="S57" t="s">
        <v>789</v>
      </c>
      <c r="T57">
        <v>249081.736274</v>
      </c>
      <c r="U57" s="2">
        <v>44499</v>
      </c>
      <c r="V57" t="s">
        <v>799</v>
      </c>
    </row>
    <row r="58" spans="1:22">
      <c r="A58" s="1" t="s">
        <v>78</v>
      </c>
      <c r="B58">
        <f>HYPERLINK("https://www.suredividend.com/sure-analysis-SON/","Sonoco Products Co.")</f>
        <v>0</v>
      </c>
      <c r="C58">
        <v>59.05</v>
      </c>
      <c r="D58">
        <v>56</v>
      </c>
      <c r="E58">
        <v>1.054464285714286</v>
      </c>
      <c r="F58">
        <v>0.03048264182895851</v>
      </c>
      <c r="G58">
        <v>-0.01055051905981275</v>
      </c>
      <c r="H58">
        <v>0.05</v>
      </c>
      <c r="I58">
        <v>0.06766983008917404</v>
      </c>
      <c r="J58" t="s">
        <v>780</v>
      </c>
      <c r="K58" t="s">
        <v>780</v>
      </c>
      <c r="L58">
        <v>3.52</v>
      </c>
      <c r="M58">
        <v>1.8</v>
      </c>
      <c r="N58">
        <v>0.5113636363636364</v>
      </c>
      <c r="O58">
        <v>38</v>
      </c>
      <c r="P58">
        <v>0.05024607263868264</v>
      </c>
      <c r="Q58">
        <v>0.015315750812407</v>
      </c>
      <c r="R58" t="s">
        <v>784</v>
      </c>
      <c r="S58" t="s">
        <v>792</v>
      </c>
      <c r="T58">
        <v>5803.218698</v>
      </c>
      <c r="U58" s="2">
        <v>44491</v>
      </c>
      <c r="V58" t="s">
        <v>800</v>
      </c>
    </row>
    <row r="59" spans="1:22">
      <c r="A59" s="1" t="s">
        <v>79</v>
      </c>
      <c r="B59">
        <f>HYPERLINK("https://www.suredividend.com/sure-analysis-MDT/","Medtronic Plc")</f>
        <v>0</v>
      </c>
      <c r="C59">
        <v>104.94</v>
      </c>
      <c r="D59">
        <v>97</v>
      </c>
      <c r="E59">
        <v>1.081855670103093</v>
      </c>
      <c r="F59">
        <v>0.02401372212692968</v>
      </c>
      <c r="G59">
        <v>-0.01561239891813648</v>
      </c>
      <c r="H59">
        <v>0.06</v>
      </c>
      <c r="I59">
        <v>0.06761226456816027</v>
      </c>
      <c r="J59" t="s">
        <v>780</v>
      </c>
      <c r="K59" t="s">
        <v>781</v>
      </c>
      <c r="L59">
        <v>5.7</v>
      </c>
      <c r="M59">
        <v>2.52</v>
      </c>
      <c r="N59">
        <v>0.4421052631578947</v>
      </c>
      <c r="O59">
        <v>44</v>
      </c>
      <c r="P59">
        <v>0.07513154857768045</v>
      </c>
      <c r="Q59">
        <v>0.017577329590645</v>
      </c>
      <c r="R59" t="s">
        <v>784</v>
      </c>
      <c r="S59" t="s">
        <v>789</v>
      </c>
      <c r="T59">
        <v>150173.658895</v>
      </c>
      <c r="U59" s="2">
        <v>44525</v>
      </c>
      <c r="V59" t="s">
        <v>803</v>
      </c>
    </row>
    <row r="60" spans="1:22">
      <c r="A60" s="1" t="s">
        <v>80</v>
      </c>
      <c r="B60">
        <f>HYPERLINK("https://www.suredividend.com/sure-analysis-KO/","Coca-Cola Co")</f>
        <v>0</v>
      </c>
      <c r="C60">
        <v>58.06</v>
      </c>
      <c r="D60">
        <v>53</v>
      </c>
      <c r="E60">
        <v>1.095471698113208</v>
      </c>
      <c r="F60">
        <v>0.02893558387874612</v>
      </c>
      <c r="G60">
        <v>-0.01807172107111221</v>
      </c>
      <c r="H60">
        <v>0.06</v>
      </c>
      <c r="I60">
        <v>0.06721531634754618</v>
      </c>
      <c r="J60" t="s">
        <v>780</v>
      </c>
      <c r="K60" t="s">
        <v>781</v>
      </c>
      <c r="L60">
        <v>2.3</v>
      </c>
      <c r="M60">
        <v>1.68</v>
      </c>
      <c r="N60">
        <v>0.7304347826086957</v>
      </c>
      <c r="O60">
        <v>59</v>
      </c>
      <c r="P60">
        <v>0.03959498820755258</v>
      </c>
      <c r="Q60">
        <v>0.119246193497915</v>
      </c>
      <c r="R60" t="s">
        <v>784</v>
      </c>
      <c r="S60" t="s">
        <v>795</v>
      </c>
      <c r="T60">
        <v>249662.489641</v>
      </c>
      <c r="U60" s="2">
        <v>44512</v>
      </c>
      <c r="V60" t="s">
        <v>804</v>
      </c>
    </row>
    <row r="61" spans="1:22">
      <c r="A61" s="1" t="s">
        <v>81</v>
      </c>
      <c r="B61">
        <f>HYPERLINK("https://www.suredividend.com/sure-analysis-CPKF/","Chesapeake Financial Shares Inc")</f>
        <v>0</v>
      </c>
      <c r="C61">
        <v>29.75</v>
      </c>
      <c r="D61">
        <v>38</v>
      </c>
      <c r="E61">
        <v>0.7828947368421053</v>
      </c>
      <c r="F61">
        <v>0.01882352941176471</v>
      </c>
      <c r="G61">
        <v>0.05016931709648742</v>
      </c>
      <c r="H61">
        <v>0</v>
      </c>
      <c r="I61">
        <v>0.06703342292770875</v>
      </c>
      <c r="J61" t="s">
        <v>780</v>
      </c>
      <c r="K61" t="s">
        <v>781</v>
      </c>
      <c r="L61">
        <v>3.6</v>
      </c>
      <c r="M61">
        <v>0.5600000000000001</v>
      </c>
      <c r="N61">
        <v>0.1555555555555556</v>
      </c>
      <c r="O61">
        <v>29</v>
      </c>
      <c r="P61">
        <v>0.03959498820755258</v>
      </c>
      <c r="Q61">
        <v>0.4917664520528711</v>
      </c>
      <c r="R61" t="s">
        <v>784</v>
      </c>
      <c r="S61" t="s">
        <v>794</v>
      </c>
      <c r="T61">
        <v>141.021664</v>
      </c>
      <c r="U61" s="2">
        <v>44507</v>
      </c>
      <c r="V61" t="s">
        <v>804</v>
      </c>
    </row>
    <row r="62" spans="1:22">
      <c r="A62" s="1" t="s">
        <v>82</v>
      </c>
      <c r="B62">
        <f>HYPERLINK("https://www.suredividend.com/sure-analysis-ABBV/","Abbvie Inc")</f>
        <v>0</v>
      </c>
      <c r="C62">
        <v>130.23</v>
      </c>
      <c r="D62">
        <v>127</v>
      </c>
      <c r="E62">
        <v>1.025433070866142</v>
      </c>
      <c r="F62">
        <v>0.0433079935498733</v>
      </c>
      <c r="G62">
        <v>-0.005010412103777839</v>
      </c>
      <c r="H62">
        <v>0.03</v>
      </c>
      <c r="I62">
        <v>0.06681928585816554</v>
      </c>
      <c r="J62" t="s">
        <v>780</v>
      </c>
      <c r="K62" t="s">
        <v>780</v>
      </c>
      <c r="L62">
        <v>12.65</v>
      </c>
      <c r="M62">
        <v>5.64</v>
      </c>
      <c r="N62">
        <v>0.4458498023715415</v>
      </c>
      <c r="O62">
        <v>50</v>
      </c>
      <c r="P62">
        <v>0.05005169060192549</v>
      </c>
      <c r="Q62">
        <v>0.280186823398785</v>
      </c>
      <c r="R62" t="s">
        <v>784</v>
      </c>
      <c r="S62" t="s">
        <v>789</v>
      </c>
      <c r="T62">
        <v>224943.773468</v>
      </c>
      <c r="U62" s="2">
        <v>44504</v>
      </c>
      <c r="V62" t="s">
        <v>801</v>
      </c>
    </row>
    <row r="63" spans="1:22">
      <c r="A63" s="1" t="s">
        <v>83</v>
      </c>
      <c r="B63">
        <f>HYPERLINK("https://www.suredividend.com/sure-analysis-NWN/","Northwest Natural Holding Co")</f>
        <v>0</v>
      </c>
      <c r="C63">
        <v>47.64</v>
      </c>
      <c r="D63">
        <v>50.8</v>
      </c>
      <c r="E63">
        <v>0.9377952755905512</v>
      </c>
      <c r="F63">
        <v>0.04030226700251889</v>
      </c>
      <c r="G63">
        <v>0.01292756980023713</v>
      </c>
      <c r="H63">
        <v>0.016</v>
      </c>
      <c r="I63">
        <v>0.0651106439575253</v>
      </c>
      <c r="J63" t="s">
        <v>780</v>
      </c>
      <c r="K63" t="s">
        <v>780</v>
      </c>
      <c r="L63">
        <v>2.54</v>
      </c>
      <c r="M63">
        <v>1.92</v>
      </c>
      <c r="N63">
        <v>0.7559055118110236</v>
      </c>
      <c r="O63">
        <v>66</v>
      </c>
      <c r="P63">
        <v>0.02383625553960966</v>
      </c>
      <c r="Q63">
        <v>-0.039969179593079</v>
      </c>
      <c r="R63" t="s">
        <v>784</v>
      </c>
      <c r="S63" t="s">
        <v>796</v>
      </c>
      <c r="T63">
        <v>1421.680665</v>
      </c>
      <c r="U63" s="2">
        <v>44509</v>
      </c>
      <c r="V63" t="s">
        <v>808</v>
      </c>
    </row>
    <row r="64" spans="1:22">
      <c r="A64" s="1" t="s">
        <v>84</v>
      </c>
      <c r="B64">
        <f>HYPERLINK("https://www.suredividend.com/sure-analysis-WHR/","Whirlpool Corp.")</f>
        <v>0</v>
      </c>
      <c r="C64">
        <v>237.86</v>
      </c>
      <c r="D64">
        <v>289</v>
      </c>
      <c r="E64">
        <v>0.823044982698962</v>
      </c>
      <c r="F64">
        <v>0.02354326074161271</v>
      </c>
      <c r="G64">
        <v>0.03971733668548638</v>
      </c>
      <c r="H64">
        <v>0</v>
      </c>
      <c r="I64">
        <v>0.06147779029106482</v>
      </c>
      <c r="J64" t="s">
        <v>780</v>
      </c>
      <c r="K64" t="s">
        <v>781</v>
      </c>
      <c r="L64">
        <v>26.25</v>
      </c>
      <c r="M64">
        <v>5.6</v>
      </c>
      <c r="N64">
        <v>0.2133333333333333</v>
      </c>
      <c r="O64">
        <v>11</v>
      </c>
      <c r="P64">
        <v>0.03990057173719119</v>
      </c>
      <c r="Q64">
        <v>0.292248569320096</v>
      </c>
      <c r="R64" t="s">
        <v>784</v>
      </c>
      <c r="S64" t="s">
        <v>792</v>
      </c>
      <c r="T64">
        <v>14548.46491</v>
      </c>
      <c r="U64" s="2">
        <v>44494</v>
      </c>
      <c r="V64" t="s">
        <v>803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34.61</v>
      </c>
      <c r="D65">
        <v>33</v>
      </c>
      <c r="E65">
        <v>1.048787878787879</v>
      </c>
      <c r="F65">
        <v>0.03351632476162959</v>
      </c>
      <c r="G65">
        <v>-0.009481780964336828</v>
      </c>
      <c r="H65">
        <v>0.04</v>
      </c>
      <c r="I65">
        <v>0.06100891333580227</v>
      </c>
      <c r="J65" t="s">
        <v>780</v>
      </c>
      <c r="K65" t="s">
        <v>780</v>
      </c>
      <c r="L65">
        <v>3.3</v>
      </c>
      <c r="M65">
        <v>1.16</v>
      </c>
      <c r="N65">
        <v>0.3515151515151515</v>
      </c>
      <c r="O65">
        <v>42</v>
      </c>
      <c r="P65">
        <v>0.03232437953530787</v>
      </c>
      <c r="Q65">
        <v>0.477092584320835</v>
      </c>
      <c r="R65" t="s">
        <v>784</v>
      </c>
      <c r="S65" t="s">
        <v>794</v>
      </c>
      <c r="T65">
        <v>16961.271626</v>
      </c>
      <c r="U65" s="2">
        <v>44507</v>
      </c>
      <c r="V65" t="s">
        <v>803</v>
      </c>
    </row>
    <row r="66" spans="1:22">
      <c r="A66" s="1" t="s">
        <v>86</v>
      </c>
      <c r="B66">
        <f>HYPERLINK("https://www.suredividend.com/sure-analysis-ADP/","Automatic Data Processing Inc.")</f>
        <v>0</v>
      </c>
      <c r="C66">
        <v>233.92</v>
      </c>
      <c r="D66">
        <v>196</v>
      </c>
      <c r="E66">
        <v>1.193469387755102</v>
      </c>
      <c r="F66">
        <v>0.01778385772913817</v>
      </c>
      <c r="G66">
        <v>-0.03475459422036808</v>
      </c>
      <c r="H66">
        <v>0.08</v>
      </c>
      <c r="I66">
        <v>0.06087995879381625</v>
      </c>
      <c r="J66" t="s">
        <v>780</v>
      </c>
      <c r="K66" t="s">
        <v>349</v>
      </c>
      <c r="L66">
        <v>6.75</v>
      </c>
      <c r="M66">
        <v>4.16</v>
      </c>
      <c r="N66">
        <v>0.6162962962962963</v>
      </c>
      <c r="O66">
        <v>47</v>
      </c>
      <c r="P66">
        <v>0.0799150058822331</v>
      </c>
      <c r="Q66">
        <v>0.351912020964876</v>
      </c>
      <c r="R66" t="s">
        <v>784</v>
      </c>
      <c r="S66" t="s">
        <v>790</v>
      </c>
      <c r="T66">
        <v>96800.342128</v>
      </c>
      <c r="U66" s="2">
        <v>44512</v>
      </c>
      <c r="V66" t="s">
        <v>804</v>
      </c>
    </row>
    <row r="67" spans="1:22">
      <c r="A67" s="1" t="s">
        <v>87</v>
      </c>
      <c r="B67">
        <f>HYPERLINK("https://www.suredividend.com/sure-analysis-LANC/","Lancaster Colony Corp.")</f>
        <v>0</v>
      </c>
      <c r="C67">
        <v>158.82</v>
      </c>
      <c r="D67">
        <v>159</v>
      </c>
      <c r="E67">
        <v>0.9988679245283019</v>
      </c>
      <c r="F67">
        <v>0.02014859589472359</v>
      </c>
      <c r="G67">
        <v>0.0002265690135161424</v>
      </c>
      <c r="H67">
        <v>0.04</v>
      </c>
      <c r="I67">
        <v>0.06002531713129167</v>
      </c>
      <c r="J67" t="s">
        <v>780</v>
      </c>
      <c r="K67" t="s">
        <v>781</v>
      </c>
      <c r="L67">
        <v>5.88</v>
      </c>
      <c r="M67">
        <v>3.2</v>
      </c>
      <c r="N67">
        <v>0.54421768707483</v>
      </c>
      <c r="O67">
        <v>59</v>
      </c>
      <c r="P67">
        <v>0.05988502997905321</v>
      </c>
      <c r="Q67">
        <v>-0.085280656395227</v>
      </c>
      <c r="R67" t="s">
        <v>784</v>
      </c>
      <c r="S67" t="s">
        <v>795</v>
      </c>
      <c r="T67">
        <v>4289.4493</v>
      </c>
      <c r="U67" s="2">
        <v>44541</v>
      </c>
      <c r="V67" t="s">
        <v>804</v>
      </c>
    </row>
    <row r="68" spans="1:22">
      <c r="A68" s="1" t="s">
        <v>88</v>
      </c>
      <c r="B68">
        <f>HYPERLINK("https://www.suredividend.com/sure-analysis-NFG/","National Fuel Gas Co.")</f>
        <v>0</v>
      </c>
      <c r="C68">
        <v>63.14</v>
      </c>
      <c r="D68">
        <v>71</v>
      </c>
      <c r="E68">
        <v>0.8892957746478873</v>
      </c>
      <c r="F68">
        <v>0.02882483370288248</v>
      </c>
      <c r="G68">
        <v>0.02374254978594337</v>
      </c>
      <c r="H68">
        <v>0.01</v>
      </c>
      <c r="I68">
        <v>0.05954249237195541</v>
      </c>
      <c r="J68" t="s">
        <v>780</v>
      </c>
      <c r="K68" t="s">
        <v>780</v>
      </c>
      <c r="L68">
        <v>5.1</v>
      </c>
      <c r="M68">
        <v>1.82</v>
      </c>
      <c r="N68">
        <v>0.3568627450980393</v>
      </c>
      <c r="O68">
        <v>51</v>
      </c>
      <c r="P68">
        <v>0.02107112828035462</v>
      </c>
      <c r="Q68">
        <v>0.52526401141513</v>
      </c>
      <c r="R68" t="s">
        <v>784</v>
      </c>
      <c r="S68" t="s">
        <v>796</v>
      </c>
      <c r="T68">
        <v>5712.146235</v>
      </c>
      <c r="U68" s="2">
        <v>44524</v>
      </c>
      <c r="V68" t="s">
        <v>807</v>
      </c>
    </row>
    <row r="69" spans="1:22">
      <c r="A69" s="1" t="s">
        <v>89</v>
      </c>
      <c r="B69">
        <f>HYPERLINK("https://www.suredividend.com/sure-analysis-AMP/","Ameriprise Financial Inc")</f>
        <v>0</v>
      </c>
      <c r="C69">
        <v>298.24</v>
      </c>
      <c r="D69">
        <v>250</v>
      </c>
      <c r="E69">
        <v>1.19296</v>
      </c>
      <c r="F69">
        <v>0.01515557939914163</v>
      </c>
      <c r="G69">
        <v>-0.0346721773357721</v>
      </c>
      <c r="H69">
        <v>0.08</v>
      </c>
      <c r="I69">
        <v>0.05832378645265268</v>
      </c>
      <c r="J69" t="s">
        <v>780</v>
      </c>
      <c r="K69" t="s">
        <v>349</v>
      </c>
      <c r="L69">
        <v>21.74</v>
      </c>
      <c r="M69">
        <v>4.52</v>
      </c>
      <c r="N69">
        <v>0.2079116835326587</v>
      </c>
      <c r="O69">
        <v>17</v>
      </c>
      <c r="P69">
        <v>0.07995566992594827</v>
      </c>
      <c r="Q69">
        <v>0.5566200294982261</v>
      </c>
      <c r="R69" t="s">
        <v>784</v>
      </c>
      <c r="S69" t="s">
        <v>794</v>
      </c>
      <c r="T69">
        <v>32698.68012</v>
      </c>
      <c r="U69" s="2">
        <v>44496</v>
      </c>
      <c r="V69" t="s">
        <v>800</v>
      </c>
    </row>
    <row r="70" spans="1:22">
      <c r="A70" s="1" t="s">
        <v>90</v>
      </c>
      <c r="B70">
        <f>HYPERLINK("https://www.suredividend.com/sure-analysis-TRV/","Travelers Companies Inc.")</f>
        <v>0</v>
      </c>
      <c r="C70">
        <v>158.37</v>
      </c>
      <c r="D70">
        <v>147</v>
      </c>
      <c r="E70">
        <v>1.07734693877551</v>
      </c>
      <c r="F70">
        <v>0.02222643177369451</v>
      </c>
      <c r="G70">
        <v>-0.0147898360423403</v>
      </c>
      <c r="H70">
        <v>0.05</v>
      </c>
      <c r="I70">
        <v>0.05733227890842296</v>
      </c>
      <c r="J70" t="s">
        <v>780</v>
      </c>
      <c r="K70" t="s">
        <v>781</v>
      </c>
      <c r="L70">
        <v>12.25</v>
      </c>
      <c r="M70">
        <v>3.52</v>
      </c>
      <c r="N70">
        <v>0.2873469387755102</v>
      </c>
      <c r="O70">
        <v>16</v>
      </c>
      <c r="P70">
        <v>0.0701307832252307</v>
      </c>
      <c r="Q70">
        <v>0.196182108479895</v>
      </c>
      <c r="R70" t="s">
        <v>784</v>
      </c>
      <c r="S70" t="s">
        <v>794</v>
      </c>
      <c r="T70">
        <v>38556.941514</v>
      </c>
      <c r="U70" s="2">
        <v>44492</v>
      </c>
      <c r="V70" t="s">
        <v>804</v>
      </c>
    </row>
    <row r="71" spans="1:22">
      <c r="A71" s="1" t="s">
        <v>91</v>
      </c>
      <c r="B71">
        <f>HYPERLINK("https://www.suredividend.com/sure-analysis-TGT/","Target Corp")</f>
        <v>0</v>
      </c>
      <c r="C71">
        <v>236.65</v>
      </c>
      <c r="D71">
        <v>239</v>
      </c>
      <c r="E71">
        <v>0.9901673640167364</v>
      </c>
      <c r="F71">
        <v>0.01521233889710543</v>
      </c>
      <c r="G71">
        <v>0.001978213202946</v>
      </c>
      <c r="H71">
        <v>0.04</v>
      </c>
      <c r="I71">
        <v>0.0570426069974741</v>
      </c>
      <c r="J71" t="s">
        <v>780</v>
      </c>
      <c r="K71" t="s">
        <v>781</v>
      </c>
      <c r="L71">
        <v>13.25</v>
      </c>
      <c r="M71">
        <v>3.6</v>
      </c>
      <c r="N71">
        <v>0.2716981132075472</v>
      </c>
      <c r="O71">
        <v>54</v>
      </c>
      <c r="P71">
        <v>0.06010506010596317</v>
      </c>
      <c r="Q71">
        <v>0.389926811444802</v>
      </c>
      <c r="R71" t="s">
        <v>784</v>
      </c>
      <c r="S71" t="s">
        <v>795</v>
      </c>
      <c r="T71">
        <v>112728.275427</v>
      </c>
      <c r="U71" s="2">
        <v>44536</v>
      </c>
      <c r="V71" t="s">
        <v>804</v>
      </c>
    </row>
    <row r="72" spans="1:22">
      <c r="A72" s="1" t="s">
        <v>92</v>
      </c>
      <c r="B72">
        <f>HYPERLINK("https://www.suredividend.com/sure-analysis-RNR/","RenaissanceRe Holdings Ltd")</f>
        <v>0</v>
      </c>
      <c r="C72">
        <v>167.48</v>
      </c>
      <c r="D72">
        <v>167</v>
      </c>
      <c r="E72">
        <v>1.002874251497006</v>
      </c>
      <c r="F72">
        <v>0.008598041557200861</v>
      </c>
      <c r="G72">
        <v>-0.000573861025578104</v>
      </c>
      <c r="H72">
        <v>0.05</v>
      </c>
      <c r="I72">
        <v>0.05695818297631461</v>
      </c>
      <c r="J72" t="s">
        <v>780</v>
      </c>
      <c r="K72" t="s">
        <v>349</v>
      </c>
      <c r="L72">
        <v>11</v>
      </c>
      <c r="M72">
        <v>1.44</v>
      </c>
      <c r="N72">
        <v>0.1309090909090909</v>
      </c>
      <c r="O72">
        <v>26</v>
      </c>
      <c r="P72">
        <v>0.02635185407071083</v>
      </c>
      <c r="Q72">
        <v>0.016376444756182</v>
      </c>
      <c r="R72" t="s">
        <v>784</v>
      </c>
      <c r="S72" t="s">
        <v>794</v>
      </c>
      <c r="T72">
        <v>7668.753136</v>
      </c>
      <c r="U72" s="2">
        <v>44495</v>
      </c>
      <c r="V72" t="s">
        <v>799</v>
      </c>
    </row>
    <row r="73" spans="1:22">
      <c r="A73" s="1" t="s">
        <v>93</v>
      </c>
      <c r="B73">
        <f>HYPERLINK("https://www.suredividend.com/sure-analysis-DG/","Dollar General Corp.")</f>
        <v>0</v>
      </c>
      <c r="C73">
        <v>226.12</v>
      </c>
      <c r="D73">
        <v>178</v>
      </c>
      <c r="E73">
        <v>1.270337078651685</v>
      </c>
      <c r="F73">
        <v>0.007164337519900938</v>
      </c>
      <c r="G73">
        <v>-0.04672938675493143</v>
      </c>
      <c r="H73">
        <v>0.1</v>
      </c>
      <c r="I73">
        <v>0.05621229841957098</v>
      </c>
      <c r="J73" t="s">
        <v>780</v>
      </c>
      <c r="K73" t="s">
        <v>349</v>
      </c>
      <c r="L73">
        <v>9.9</v>
      </c>
      <c r="M73">
        <v>1.62</v>
      </c>
      <c r="N73">
        <v>0.1636363636363636</v>
      </c>
      <c r="O73">
        <v>7</v>
      </c>
      <c r="P73">
        <v>0.08977506465822516</v>
      </c>
      <c r="Q73">
        <v>0.103445913040924</v>
      </c>
      <c r="R73" t="s">
        <v>784</v>
      </c>
      <c r="S73" t="s">
        <v>795</v>
      </c>
      <c r="T73">
        <v>52238.231327</v>
      </c>
      <c r="U73" s="2">
        <v>44541</v>
      </c>
      <c r="V73" t="s">
        <v>806</v>
      </c>
    </row>
    <row r="74" spans="1:22">
      <c r="A74" s="1" t="s">
        <v>94</v>
      </c>
      <c r="B74">
        <f>HYPERLINK("https://www.suredividend.com/sure-analysis-LOW/","Lowe`s Cos., Inc.")</f>
        <v>0</v>
      </c>
      <c r="C74">
        <v>257.54</v>
      </c>
      <c r="D74">
        <v>226.94</v>
      </c>
      <c r="E74">
        <v>1.134837401956464</v>
      </c>
      <c r="F74">
        <v>0.01242525432942456</v>
      </c>
      <c r="G74">
        <v>-0.02498056660579473</v>
      </c>
      <c r="H74">
        <v>0.07000000000000001</v>
      </c>
      <c r="I74">
        <v>0.05587377455877673</v>
      </c>
      <c r="J74" t="s">
        <v>780</v>
      </c>
      <c r="K74" t="s">
        <v>781</v>
      </c>
      <c r="L74">
        <v>11.33</v>
      </c>
      <c r="M74">
        <v>3.2</v>
      </c>
      <c r="N74">
        <v>0.2824360105913504</v>
      </c>
      <c r="O74">
        <v>59</v>
      </c>
      <c r="P74">
        <v>0.07008745458377241</v>
      </c>
      <c r="Q74">
        <v>0.593977158003001</v>
      </c>
      <c r="R74" t="s">
        <v>784</v>
      </c>
      <c r="S74" t="s">
        <v>792</v>
      </c>
      <c r="T74">
        <v>170094.215335</v>
      </c>
      <c r="U74" s="2">
        <v>44434</v>
      </c>
      <c r="V74" t="s">
        <v>805</v>
      </c>
    </row>
    <row r="75" spans="1:22">
      <c r="A75" s="1" t="s">
        <v>95</v>
      </c>
      <c r="B75">
        <f>HYPERLINK("https://www.suredividend.com/sure-analysis-VFC/","VF Corp.")</f>
        <v>0</v>
      </c>
      <c r="C75">
        <v>73.8</v>
      </c>
      <c r="D75">
        <v>61</v>
      </c>
      <c r="E75">
        <v>1.209836065573771</v>
      </c>
      <c r="F75">
        <v>0.02710027100271003</v>
      </c>
      <c r="G75">
        <v>-0.03738041221283472</v>
      </c>
      <c r="H75">
        <v>0.07000000000000001</v>
      </c>
      <c r="I75">
        <v>0.05572092184377109</v>
      </c>
      <c r="J75" t="s">
        <v>780</v>
      </c>
      <c r="K75" t="s">
        <v>781</v>
      </c>
      <c r="L75">
        <v>3.2</v>
      </c>
      <c r="M75">
        <v>2</v>
      </c>
      <c r="N75">
        <v>0.625</v>
      </c>
      <c r="O75">
        <v>49</v>
      </c>
      <c r="P75">
        <v>0.03886011825408464</v>
      </c>
      <c r="Q75">
        <v>-0.119791822450871</v>
      </c>
      <c r="R75" t="s">
        <v>784</v>
      </c>
      <c r="S75" t="s">
        <v>792</v>
      </c>
      <c r="T75">
        <v>28896.991898</v>
      </c>
      <c r="U75" s="2">
        <v>44493</v>
      </c>
      <c r="V75" t="s">
        <v>803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68.29000000000001</v>
      </c>
      <c r="D76">
        <v>62</v>
      </c>
      <c r="E76">
        <v>1.101451612903226</v>
      </c>
      <c r="F76">
        <v>0.01537560404158735</v>
      </c>
      <c r="G76">
        <v>-0.01914024567174721</v>
      </c>
      <c r="H76">
        <v>0.06</v>
      </c>
      <c r="I76">
        <v>0.05540458699505235</v>
      </c>
      <c r="J76" t="s">
        <v>780</v>
      </c>
      <c r="K76" t="s">
        <v>781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0.146005323988273</v>
      </c>
      <c r="R76" t="s">
        <v>784</v>
      </c>
      <c r="S76" t="s">
        <v>794</v>
      </c>
      <c r="T76">
        <v>7901.978084</v>
      </c>
      <c r="U76" s="2">
        <v>44499</v>
      </c>
      <c r="V76" t="s">
        <v>801</v>
      </c>
    </row>
    <row r="77" spans="1:22">
      <c r="A77" s="1" t="s">
        <v>97</v>
      </c>
      <c r="B77">
        <f>HYPERLINK("https://www.suredividend.com/sure-analysis-EXPD/","Expeditors International Of Washington, Inc.")</f>
        <v>0</v>
      </c>
      <c r="C77">
        <v>135.11</v>
      </c>
      <c r="D77">
        <v>138</v>
      </c>
      <c r="E77">
        <v>0.9790579710144929</v>
      </c>
      <c r="F77">
        <v>0.008585596921027309</v>
      </c>
      <c r="G77">
        <v>0.004241856047373815</v>
      </c>
      <c r="H77">
        <v>0.04</v>
      </c>
      <c r="I77">
        <v>0.05241259857239866</v>
      </c>
      <c r="J77" t="s">
        <v>780</v>
      </c>
      <c r="K77" t="s">
        <v>349</v>
      </c>
      <c r="L77">
        <v>7.67</v>
      </c>
      <c r="M77">
        <v>1.16</v>
      </c>
      <c r="N77">
        <v>0.151238591916558</v>
      </c>
      <c r="O77">
        <v>27</v>
      </c>
      <c r="P77">
        <v>0.03980577390781126</v>
      </c>
      <c r="Q77">
        <v>0.49041254108791</v>
      </c>
      <c r="R77" t="s">
        <v>784</v>
      </c>
      <c r="S77" t="s">
        <v>790</v>
      </c>
      <c r="T77">
        <v>22559.506976</v>
      </c>
      <c r="U77" s="2">
        <v>44513</v>
      </c>
      <c r="V77" t="s">
        <v>802</v>
      </c>
    </row>
    <row r="78" spans="1:22">
      <c r="A78" s="1" t="s">
        <v>98</v>
      </c>
      <c r="B78">
        <f>HYPERLINK("https://www.suredividend.com/sure-analysis-QCOM/","Qualcomm, Inc.")</f>
        <v>0</v>
      </c>
      <c r="C78">
        <v>189.28</v>
      </c>
      <c r="D78">
        <v>162</v>
      </c>
      <c r="E78">
        <v>1.168395061728395</v>
      </c>
      <c r="F78">
        <v>0.01437024513947591</v>
      </c>
      <c r="G78">
        <v>-0.0306467796226183</v>
      </c>
      <c r="H78">
        <v>0.07000000000000001</v>
      </c>
      <c r="I78">
        <v>0.05204543672907014</v>
      </c>
      <c r="J78" t="s">
        <v>780</v>
      </c>
      <c r="K78" t="s">
        <v>349</v>
      </c>
      <c r="L78">
        <v>10.14</v>
      </c>
      <c r="M78">
        <v>2.72</v>
      </c>
      <c r="N78">
        <v>0.2682445759368836</v>
      </c>
      <c r="O78">
        <v>19</v>
      </c>
      <c r="P78">
        <v>0.06972270615977982</v>
      </c>
      <c r="Q78">
        <v>0.266896125378022</v>
      </c>
      <c r="R78" t="s">
        <v>784</v>
      </c>
      <c r="S78" t="s">
        <v>791</v>
      </c>
      <c r="T78">
        <v>203817.6</v>
      </c>
      <c r="U78" s="2">
        <v>44505</v>
      </c>
      <c r="V78" t="s">
        <v>800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133.02</v>
      </c>
      <c r="D79">
        <v>114</v>
      </c>
      <c r="E79">
        <v>1.166842105263158</v>
      </c>
      <c r="F79">
        <v>0.02450759284318147</v>
      </c>
      <c r="G79">
        <v>-0.03038889338680895</v>
      </c>
      <c r="H79">
        <v>0.06</v>
      </c>
      <c r="I79">
        <v>0.05143197861429849</v>
      </c>
      <c r="J79" t="s">
        <v>780</v>
      </c>
      <c r="K79" t="s">
        <v>780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0.413911647137391</v>
      </c>
      <c r="R79" t="s">
        <v>784</v>
      </c>
      <c r="S79" t="s">
        <v>792</v>
      </c>
      <c r="T79">
        <v>18785.428561</v>
      </c>
      <c r="U79" s="2">
        <v>44499</v>
      </c>
      <c r="V79" t="s">
        <v>804</v>
      </c>
    </row>
    <row r="80" spans="1:22">
      <c r="A80" s="1" t="s">
        <v>100</v>
      </c>
      <c r="B80">
        <f>HYPERLINK("https://www.suredividend.com/sure-analysis-LECO/","Lincoln Electric Holdings, Inc.")</f>
        <v>0</v>
      </c>
      <c r="C80">
        <v>134.09</v>
      </c>
      <c r="D80">
        <v>112</v>
      </c>
      <c r="E80">
        <v>1.197232142857143</v>
      </c>
      <c r="F80">
        <v>0.01670519800134238</v>
      </c>
      <c r="G80">
        <v>-0.03536208821013764</v>
      </c>
      <c r="H80">
        <v>0.07000000000000001</v>
      </c>
      <c r="I80">
        <v>0.05016947794723992</v>
      </c>
      <c r="J80" t="s">
        <v>780</v>
      </c>
      <c r="K80" t="s">
        <v>781</v>
      </c>
      <c r="L80">
        <v>6.2</v>
      </c>
      <c r="M80">
        <v>2.24</v>
      </c>
      <c r="N80">
        <v>0.3612903225806452</v>
      </c>
      <c r="O80">
        <v>26</v>
      </c>
      <c r="P80">
        <v>0.0799150058822331</v>
      </c>
      <c r="Q80">
        <v>0.140680816471039</v>
      </c>
      <c r="R80" t="s">
        <v>784</v>
      </c>
      <c r="S80" t="s">
        <v>790</v>
      </c>
      <c r="T80">
        <v>7838.069351</v>
      </c>
      <c r="U80" s="2">
        <v>44500</v>
      </c>
      <c r="V80" t="s">
        <v>801</v>
      </c>
    </row>
    <row r="81" spans="1:22">
      <c r="A81" s="1" t="s">
        <v>101</v>
      </c>
      <c r="B81">
        <f>HYPERLINK("https://www.suredividend.com/sure-analysis-TSN/","Tyson Foods, Inc.")</f>
        <v>0</v>
      </c>
      <c r="C81">
        <v>85.91</v>
      </c>
      <c r="D81">
        <v>81</v>
      </c>
      <c r="E81">
        <v>1.060617283950617</v>
      </c>
      <c r="F81">
        <v>0.02071935746711675</v>
      </c>
      <c r="G81">
        <v>-0.01170121837104798</v>
      </c>
      <c r="H81">
        <v>0.04</v>
      </c>
      <c r="I81">
        <v>0.04910581292063343</v>
      </c>
      <c r="J81" t="s">
        <v>780</v>
      </c>
      <c r="K81" t="s">
        <v>781</v>
      </c>
      <c r="L81">
        <v>6.75</v>
      </c>
      <c r="M81">
        <v>1.78</v>
      </c>
      <c r="N81">
        <v>0.2637037037037037</v>
      </c>
      <c r="O81">
        <v>10</v>
      </c>
      <c r="P81">
        <v>0.05981824312960904</v>
      </c>
      <c r="Q81">
        <v>0.258071094587873</v>
      </c>
      <c r="R81" t="s">
        <v>784</v>
      </c>
      <c r="S81" t="s">
        <v>795</v>
      </c>
      <c r="T81">
        <v>31224.662</v>
      </c>
      <c r="U81" s="2">
        <v>44515</v>
      </c>
      <c r="V81" t="s">
        <v>803</v>
      </c>
    </row>
    <row r="82" spans="1:22">
      <c r="A82" s="1" t="s">
        <v>102</v>
      </c>
      <c r="B82">
        <f>HYPERLINK("https://www.suredividend.com/sure-analysis-CL/","Colgate-Palmolive Co.")</f>
        <v>0</v>
      </c>
      <c r="C82">
        <v>82.76000000000001</v>
      </c>
      <c r="D82">
        <v>74</v>
      </c>
      <c r="E82">
        <v>1.118378378378379</v>
      </c>
      <c r="F82">
        <v>0.02174963750604157</v>
      </c>
      <c r="G82">
        <v>-0.02212746713418989</v>
      </c>
      <c r="H82">
        <v>0.05</v>
      </c>
      <c r="I82">
        <v>0.04854621029653927</v>
      </c>
      <c r="J82" t="s">
        <v>780</v>
      </c>
      <c r="K82" t="s">
        <v>781</v>
      </c>
      <c r="L82">
        <v>3.2</v>
      </c>
      <c r="M82">
        <v>1.8</v>
      </c>
      <c r="N82">
        <v>0.5625</v>
      </c>
      <c r="O82">
        <v>58</v>
      </c>
      <c r="P82">
        <v>0.05024607263868264</v>
      </c>
      <c r="Q82">
        <v>-0.002180793225569</v>
      </c>
      <c r="R82" t="s">
        <v>784</v>
      </c>
      <c r="S82" t="s">
        <v>795</v>
      </c>
      <c r="T82">
        <v>69223.162992</v>
      </c>
      <c r="U82" s="2">
        <v>44519</v>
      </c>
      <c r="V82" t="s">
        <v>804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206.24</v>
      </c>
      <c r="D83">
        <v>173</v>
      </c>
      <c r="E83">
        <v>1.192138728323699</v>
      </c>
      <c r="F83">
        <v>0.02307990690457719</v>
      </c>
      <c r="G83">
        <v>-0.03453920992088888</v>
      </c>
      <c r="H83">
        <v>0.06</v>
      </c>
      <c r="I83">
        <v>0.04738241692079903</v>
      </c>
      <c r="J83" t="s">
        <v>780</v>
      </c>
      <c r="K83" t="s">
        <v>781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0.361902473405519</v>
      </c>
      <c r="R83" t="s">
        <v>784</v>
      </c>
      <c r="S83" t="s">
        <v>790</v>
      </c>
      <c r="T83">
        <v>56813.46922</v>
      </c>
      <c r="U83" s="2">
        <v>44508</v>
      </c>
      <c r="V83" t="s">
        <v>806</v>
      </c>
    </row>
    <row r="84" spans="1:22">
      <c r="A84" s="1" t="s">
        <v>104</v>
      </c>
      <c r="B84">
        <f>HYPERLINK("https://www.suredividend.com/sure-analysis-PNR/","Pentair plc")</f>
        <v>0</v>
      </c>
      <c r="C84">
        <v>73.73</v>
      </c>
      <c r="D84">
        <v>64</v>
      </c>
      <c r="E84">
        <v>1.15203125</v>
      </c>
      <c r="F84">
        <v>0.0113929201139292</v>
      </c>
      <c r="G84">
        <v>-0.02790849472995371</v>
      </c>
      <c r="H84">
        <v>0.065</v>
      </c>
      <c r="I84">
        <v>0.04652483387719153</v>
      </c>
      <c r="J84" t="s">
        <v>780</v>
      </c>
      <c r="K84" t="s">
        <v>781</v>
      </c>
      <c r="L84">
        <v>3.37</v>
      </c>
      <c r="M84">
        <v>0.84</v>
      </c>
      <c r="N84">
        <v>0.2492581602373887</v>
      </c>
      <c r="O84">
        <v>46</v>
      </c>
      <c r="P84">
        <v>0.04959293402845044</v>
      </c>
      <c r="Q84">
        <v>0.416073269227357</v>
      </c>
      <c r="R84" t="s">
        <v>784</v>
      </c>
      <c r="S84" t="s">
        <v>790</v>
      </c>
      <c r="T84">
        <v>11889.610035</v>
      </c>
      <c r="U84" s="2">
        <v>44503</v>
      </c>
      <c r="V84" t="s">
        <v>801</v>
      </c>
    </row>
    <row r="85" spans="1:22">
      <c r="A85" s="1" t="s">
        <v>105</v>
      </c>
      <c r="B85">
        <f>HYPERLINK("https://www.suredividend.com/sure-analysis-FFMR/","First Farmers Financial Corp")</f>
        <v>0</v>
      </c>
      <c r="C85">
        <v>52.25</v>
      </c>
      <c r="D85">
        <v>45</v>
      </c>
      <c r="E85">
        <v>1.161111111111111</v>
      </c>
      <c r="F85">
        <v>0.02526315789473685</v>
      </c>
      <c r="G85">
        <v>-0.02943361925844556</v>
      </c>
      <c r="H85">
        <v>0.05</v>
      </c>
      <c r="I85">
        <v>0.04640290428659899</v>
      </c>
      <c r="J85" t="s">
        <v>780</v>
      </c>
      <c r="K85" t="s">
        <v>780</v>
      </c>
      <c r="L85">
        <v>4.5</v>
      </c>
      <c r="M85">
        <v>1.32</v>
      </c>
      <c r="N85">
        <v>0.2933333333333333</v>
      </c>
      <c r="O85">
        <v>30</v>
      </c>
      <c r="P85">
        <v>0.0698417929634616</v>
      </c>
      <c r="Q85">
        <v>0.228357510528778</v>
      </c>
      <c r="R85" t="s">
        <v>784</v>
      </c>
      <c r="S85" t="s">
        <v>794</v>
      </c>
      <c r="T85">
        <v>369.463553</v>
      </c>
      <c r="U85" s="2">
        <v>44253</v>
      </c>
      <c r="V85" t="s">
        <v>804</v>
      </c>
    </row>
    <row r="86" spans="1:22">
      <c r="A86" s="1" t="s">
        <v>106</v>
      </c>
      <c r="B86">
        <f>HYPERLINK("https://www.suredividend.com/sure-analysis-TXT/","Textron Inc.")</f>
        <v>0</v>
      </c>
      <c r="C86">
        <v>75.15000000000001</v>
      </c>
      <c r="D86">
        <v>70</v>
      </c>
      <c r="E86">
        <v>1.073571428571429</v>
      </c>
      <c r="F86">
        <v>0.001064537591483699</v>
      </c>
      <c r="G86">
        <v>-0.01409785608790659</v>
      </c>
      <c r="H86">
        <v>0.06</v>
      </c>
      <c r="I86">
        <v>0.04594723987285443</v>
      </c>
      <c r="J86" t="s">
        <v>780</v>
      </c>
      <c r="K86" t="s">
        <v>530</v>
      </c>
      <c r="L86">
        <v>3.25</v>
      </c>
      <c r="M86">
        <v>0.08</v>
      </c>
      <c r="N86">
        <v>0.02461538461538462</v>
      </c>
      <c r="O86">
        <v>0</v>
      </c>
      <c r="P86">
        <v>0</v>
      </c>
      <c r="Q86">
        <v>0.5667306440004111</v>
      </c>
      <c r="R86" t="s">
        <v>784</v>
      </c>
      <c r="S86" t="s">
        <v>790</v>
      </c>
      <c r="T86">
        <v>16121.900371</v>
      </c>
      <c r="U86" s="2">
        <v>44504</v>
      </c>
      <c r="V86" t="s">
        <v>806</v>
      </c>
    </row>
    <row r="87" spans="1:22">
      <c r="A87" s="1" t="s">
        <v>107</v>
      </c>
      <c r="B87">
        <f>HYPERLINK("https://www.suredividend.com/sure-analysis-SCL/","Stepan Co.")</f>
        <v>0</v>
      </c>
      <c r="C87">
        <v>122.13</v>
      </c>
      <c r="D87">
        <v>113</v>
      </c>
      <c r="E87">
        <v>1.080796460176991</v>
      </c>
      <c r="F87">
        <v>0.01097191517235733</v>
      </c>
      <c r="G87">
        <v>-0.01541952918593892</v>
      </c>
      <c r="H87">
        <v>0.05</v>
      </c>
      <c r="I87">
        <v>0.04570865884542585</v>
      </c>
      <c r="J87" t="s">
        <v>780</v>
      </c>
      <c r="K87" t="s">
        <v>781</v>
      </c>
      <c r="L87">
        <v>6.3</v>
      </c>
      <c r="M87">
        <v>1.34</v>
      </c>
      <c r="N87">
        <v>0.2126984126984127</v>
      </c>
      <c r="O87">
        <v>54</v>
      </c>
      <c r="P87">
        <v>0.08012069093414587</v>
      </c>
      <c r="Q87">
        <v>0.030771641125498</v>
      </c>
      <c r="R87" t="s">
        <v>784</v>
      </c>
      <c r="S87" t="s">
        <v>793</v>
      </c>
      <c r="T87">
        <v>2684.067413</v>
      </c>
      <c r="U87" s="2">
        <v>44499</v>
      </c>
      <c r="V87" t="s">
        <v>804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202.55</v>
      </c>
      <c r="D88">
        <v>168</v>
      </c>
      <c r="E88">
        <v>1.205654761904762</v>
      </c>
      <c r="F88">
        <v>0.02192051345346828</v>
      </c>
      <c r="G88">
        <v>-0.03671364873775507</v>
      </c>
      <c r="H88">
        <v>0.06</v>
      </c>
      <c r="I88">
        <v>0.04543755631606472</v>
      </c>
      <c r="J88" t="s">
        <v>780</v>
      </c>
      <c r="K88" t="s">
        <v>781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0.150030370520348</v>
      </c>
      <c r="R88" t="s">
        <v>784</v>
      </c>
      <c r="S88" t="s">
        <v>790</v>
      </c>
      <c r="T88">
        <v>109075.464224</v>
      </c>
      <c r="U88" s="2">
        <v>44503</v>
      </c>
      <c r="V88" t="s">
        <v>803</v>
      </c>
    </row>
    <row r="89" spans="1:22">
      <c r="A89" s="1" t="s">
        <v>109</v>
      </c>
      <c r="B89">
        <f>HYPERLINK("https://www.suredividend.com/sure-analysis-PSBQ/","PSB Holdings Inc (WI)")</f>
        <v>0</v>
      </c>
      <c r="C89">
        <v>26.25</v>
      </c>
      <c r="D89">
        <v>30</v>
      </c>
      <c r="E89">
        <v>0.875</v>
      </c>
      <c r="F89">
        <v>0.01752380952380952</v>
      </c>
      <c r="G89">
        <v>0.02706608708935176</v>
      </c>
      <c r="H89">
        <v>0</v>
      </c>
      <c r="I89">
        <v>0.04477497968063715</v>
      </c>
      <c r="J89" t="s">
        <v>780</v>
      </c>
      <c r="K89" t="s">
        <v>781</v>
      </c>
      <c r="L89">
        <v>3</v>
      </c>
      <c r="M89">
        <v>0.46</v>
      </c>
      <c r="N89">
        <v>0.1533333333333333</v>
      </c>
      <c r="O89">
        <v>28</v>
      </c>
      <c r="P89">
        <v>0.05103901130952315</v>
      </c>
      <c r="Q89">
        <v>0.230118934927879</v>
      </c>
      <c r="R89" t="s">
        <v>784</v>
      </c>
      <c r="S89" t="s">
        <v>794</v>
      </c>
      <c r="T89">
        <v>117.528206</v>
      </c>
      <c r="U89" s="2">
        <v>44512</v>
      </c>
      <c r="V89" t="s">
        <v>804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159.92</v>
      </c>
      <c r="D90">
        <v>117</v>
      </c>
      <c r="E90">
        <v>1.366837606837607</v>
      </c>
      <c r="F90">
        <v>0.01150575287643822</v>
      </c>
      <c r="G90">
        <v>-0.06058689122938177</v>
      </c>
      <c r="H90">
        <v>0.095</v>
      </c>
      <c r="I90">
        <v>0.04172489816196134</v>
      </c>
      <c r="J90" t="s">
        <v>780</v>
      </c>
      <c r="K90" t="s">
        <v>349</v>
      </c>
      <c r="L90">
        <v>4.68</v>
      </c>
      <c r="M90">
        <v>1.84</v>
      </c>
      <c r="N90">
        <v>0.3931623931623932</v>
      </c>
      <c r="O90">
        <v>31</v>
      </c>
      <c r="P90">
        <v>0.08991774272866437</v>
      </c>
      <c r="Q90">
        <v>0.043874223282992</v>
      </c>
      <c r="R90" t="s">
        <v>784</v>
      </c>
      <c r="S90" t="s">
        <v>791</v>
      </c>
      <c r="T90">
        <v>12020.561545</v>
      </c>
      <c r="U90" s="2">
        <v>44512</v>
      </c>
      <c r="V90" t="s">
        <v>801</v>
      </c>
    </row>
    <row r="91" spans="1:22">
      <c r="A91" s="1" t="s">
        <v>111</v>
      </c>
      <c r="B91">
        <f>HYPERLINK("https://www.suredividend.com/sure-analysis-PPG/","PPG Industries, Inc.")</f>
        <v>0</v>
      </c>
      <c r="C91">
        <v>165.86</v>
      </c>
      <c r="D91">
        <v>127</v>
      </c>
      <c r="E91">
        <v>1.305984251968504</v>
      </c>
      <c r="F91">
        <v>0.01422886771976365</v>
      </c>
      <c r="G91">
        <v>-0.05199110561919318</v>
      </c>
      <c r="H91">
        <v>0.08</v>
      </c>
      <c r="I91">
        <v>0.03976271094532136</v>
      </c>
      <c r="J91" t="s">
        <v>780</v>
      </c>
      <c r="K91" t="s">
        <v>781</v>
      </c>
      <c r="L91">
        <v>6.7</v>
      </c>
      <c r="M91">
        <v>2.36</v>
      </c>
      <c r="N91">
        <v>0.3522388059701492</v>
      </c>
      <c r="O91">
        <v>50</v>
      </c>
      <c r="P91">
        <v>0.08014856837381279</v>
      </c>
      <c r="Q91">
        <v>0.162412144724104</v>
      </c>
      <c r="R91" t="s">
        <v>784</v>
      </c>
      <c r="S91" t="s">
        <v>793</v>
      </c>
      <c r="T91">
        <v>38568.142578</v>
      </c>
      <c r="U91" s="2">
        <v>44490</v>
      </c>
      <c r="V91" t="s">
        <v>800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36.12</v>
      </c>
      <c r="D92">
        <v>38</v>
      </c>
      <c r="E92">
        <v>0.9505263157894737</v>
      </c>
      <c r="F92">
        <v>0.02879291251384275</v>
      </c>
      <c r="G92">
        <v>0.01019955064667877</v>
      </c>
      <c r="H92">
        <v>0</v>
      </c>
      <c r="I92">
        <v>0.03800479331829854</v>
      </c>
      <c r="J92" t="s">
        <v>780</v>
      </c>
      <c r="K92" t="s">
        <v>780</v>
      </c>
      <c r="L92">
        <v>3.2</v>
      </c>
      <c r="M92">
        <v>1.04</v>
      </c>
      <c r="N92">
        <v>0.325</v>
      </c>
      <c r="O92">
        <v>26</v>
      </c>
      <c r="P92">
        <v>0.02031177855938826</v>
      </c>
      <c r="Q92">
        <v>0.180707873796136</v>
      </c>
      <c r="R92" t="s">
        <v>784</v>
      </c>
      <c r="S92" t="s">
        <v>794</v>
      </c>
      <c r="T92">
        <v>549.442763</v>
      </c>
      <c r="U92" s="2">
        <v>44518</v>
      </c>
      <c r="V92" t="s">
        <v>804</v>
      </c>
    </row>
    <row r="93" spans="1:22">
      <c r="A93" s="1" t="s">
        <v>113</v>
      </c>
      <c r="B93">
        <f>HYPERLINK("https://www.suredividend.com/sure-analysis-HRL/","Hormel Foods Corp.")</f>
        <v>0</v>
      </c>
      <c r="C93">
        <v>48.59</v>
      </c>
      <c r="D93">
        <v>43</v>
      </c>
      <c r="E93">
        <v>1.13</v>
      </c>
      <c r="F93">
        <v>0.02140358098374151</v>
      </c>
      <c r="G93">
        <v>-0.02414720285851069</v>
      </c>
      <c r="H93">
        <v>0.04</v>
      </c>
      <c r="I93">
        <v>0.03731358443527033</v>
      </c>
      <c r="J93" t="s">
        <v>780</v>
      </c>
      <c r="K93" t="s">
        <v>781</v>
      </c>
      <c r="L93">
        <v>1.95</v>
      </c>
      <c r="M93">
        <v>1.04</v>
      </c>
      <c r="N93">
        <v>0.5333333333333333</v>
      </c>
      <c r="O93">
        <v>56</v>
      </c>
      <c r="P93">
        <v>0.05042164036374652</v>
      </c>
      <c r="Q93">
        <v>0.036832444413659</v>
      </c>
      <c r="R93" t="s">
        <v>784</v>
      </c>
      <c r="S93" t="s">
        <v>795</v>
      </c>
      <c r="T93">
        <v>25989.100557</v>
      </c>
      <c r="U93" s="2">
        <v>44542</v>
      </c>
      <c r="V93" t="s">
        <v>804</v>
      </c>
    </row>
    <row r="94" spans="1:22">
      <c r="A94" s="1" t="s">
        <v>114</v>
      </c>
      <c r="B94">
        <f>HYPERLINK("https://www.suredividend.com/sure-analysis-SBSI/","Southside Bancshares Inc")</f>
        <v>0</v>
      </c>
      <c r="C94">
        <v>40.77</v>
      </c>
      <c r="D94">
        <v>36</v>
      </c>
      <c r="E94">
        <v>1.1325</v>
      </c>
      <c r="F94">
        <v>0.03237674760853568</v>
      </c>
      <c r="G94">
        <v>-0.02457842388296116</v>
      </c>
      <c r="H94">
        <v>0.03</v>
      </c>
      <c r="I94">
        <v>0.03725372992262299</v>
      </c>
      <c r="J94" t="s">
        <v>780</v>
      </c>
      <c r="K94" t="s">
        <v>780</v>
      </c>
      <c r="L94">
        <v>3.01</v>
      </c>
      <c r="M94">
        <v>1.32</v>
      </c>
      <c r="N94">
        <v>0.4385382059800665</v>
      </c>
      <c r="O94">
        <v>27</v>
      </c>
      <c r="P94">
        <v>0.02996744995959233</v>
      </c>
      <c r="Q94">
        <v>0.380411211950847</v>
      </c>
      <c r="R94" t="s">
        <v>784</v>
      </c>
      <c r="S94" t="s">
        <v>794</v>
      </c>
      <c r="T94">
        <v>1331.387351</v>
      </c>
      <c r="U94" s="2">
        <v>44495</v>
      </c>
      <c r="V94" t="s">
        <v>800</v>
      </c>
    </row>
    <row r="95" spans="1:22">
      <c r="A95" s="1" t="s">
        <v>115</v>
      </c>
      <c r="B95">
        <f>HYPERLINK("https://www.suredividend.com/sure-analysis-AXP/","American Express Co.")</f>
        <v>0</v>
      </c>
      <c r="C95">
        <v>162.24</v>
      </c>
      <c r="D95">
        <v>131</v>
      </c>
      <c r="E95">
        <v>1.238473282442748</v>
      </c>
      <c r="F95">
        <v>0.01060157790927022</v>
      </c>
      <c r="G95">
        <v>-0.04187389823636245</v>
      </c>
      <c r="H95">
        <v>0.07000000000000001</v>
      </c>
      <c r="I95">
        <v>0.03708568338492513</v>
      </c>
      <c r="J95" t="s">
        <v>780</v>
      </c>
      <c r="K95" t="s">
        <v>349</v>
      </c>
      <c r="L95">
        <v>8.75</v>
      </c>
      <c r="M95">
        <v>1.72</v>
      </c>
      <c r="N95">
        <v>0.1965714285714286</v>
      </c>
      <c r="O95">
        <v>9</v>
      </c>
      <c r="P95">
        <v>0.08023542380212056</v>
      </c>
      <c r="Q95">
        <v>0.403787338070954</v>
      </c>
      <c r="R95" t="s">
        <v>784</v>
      </c>
      <c r="S95" t="s">
        <v>794</v>
      </c>
      <c r="T95">
        <v>126136.405679</v>
      </c>
      <c r="U95" s="2">
        <v>44491</v>
      </c>
      <c r="V95" t="s">
        <v>801</v>
      </c>
    </row>
    <row r="96" spans="1:22">
      <c r="A96" s="1" t="s">
        <v>116</v>
      </c>
      <c r="B96">
        <f>HYPERLINK("https://www.suredividend.com/sure-analysis-MKC/","McCormick &amp; Co., Inc.")</f>
        <v>0</v>
      </c>
      <c r="C96">
        <v>92.20999999999999</v>
      </c>
      <c r="D96">
        <v>69</v>
      </c>
      <c r="E96">
        <v>1.336376811594203</v>
      </c>
      <c r="F96">
        <v>0.01605031992191736</v>
      </c>
      <c r="G96">
        <v>-0.05634289588614083</v>
      </c>
      <c r="H96">
        <v>0.08</v>
      </c>
      <c r="I96">
        <v>0.03690773925811008</v>
      </c>
      <c r="J96" t="s">
        <v>780</v>
      </c>
      <c r="K96" t="s">
        <v>349</v>
      </c>
      <c r="L96">
        <v>3</v>
      </c>
      <c r="M96">
        <v>1.48</v>
      </c>
      <c r="N96">
        <v>0.4933333333333333</v>
      </c>
      <c r="O96">
        <v>36</v>
      </c>
      <c r="P96">
        <v>0.07146234783937033</v>
      </c>
      <c r="Q96">
        <v>0.0007529141273570001</v>
      </c>
      <c r="R96" t="s">
        <v>784</v>
      </c>
      <c r="S96" t="s">
        <v>795</v>
      </c>
      <c r="T96">
        <v>24490.287314</v>
      </c>
      <c r="U96" s="2">
        <v>44470</v>
      </c>
      <c r="V96" t="s">
        <v>800</v>
      </c>
    </row>
    <row r="97" spans="1:22">
      <c r="A97" s="1" t="s">
        <v>117</v>
      </c>
      <c r="B97">
        <f>HYPERLINK("https://www.suredividend.com/sure-analysis-CSX/","CSX Corp.")</f>
        <v>0</v>
      </c>
      <c r="C97">
        <v>36.47</v>
      </c>
      <c r="D97">
        <v>28</v>
      </c>
      <c r="E97">
        <v>1.3025</v>
      </c>
      <c r="F97">
        <v>0.01014532492459556</v>
      </c>
      <c r="G97">
        <v>-0.05148445331451534</v>
      </c>
      <c r="H97">
        <v>0.08</v>
      </c>
      <c r="I97">
        <v>0.03678537297906948</v>
      </c>
      <c r="J97" t="s">
        <v>780</v>
      </c>
      <c r="K97" t="s">
        <v>349</v>
      </c>
      <c r="L97">
        <v>1.55</v>
      </c>
      <c r="M97">
        <v>0.37</v>
      </c>
      <c r="N97">
        <v>0.2387096774193548</v>
      </c>
      <c r="O97">
        <v>16</v>
      </c>
      <c r="P97">
        <v>0.1087611317268407</v>
      </c>
      <c r="Q97">
        <v>0.22553284407551</v>
      </c>
      <c r="R97" t="s">
        <v>784</v>
      </c>
      <c r="S97" t="s">
        <v>790</v>
      </c>
      <c r="T97">
        <v>80981.493087</v>
      </c>
      <c r="U97" s="2">
        <v>44493</v>
      </c>
      <c r="V97" t="s">
        <v>804</v>
      </c>
    </row>
    <row r="98" spans="1:22">
      <c r="A98" s="1" t="s">
        <v>118</v>
      </c>
      <c r="B98">
        <f>HYPERLINK("https://www.suredividend.com/sure-analysis-KR/","Kroger Co.")</f>
        <v>0</v>
      </c>
      <c r="C98">
        <v>46.22</v>
      </c>
      <c r="D98">
        <v>45</v>
      </c>
      <c r="E98">
        <v>1.027111111111111</v>
      </c>
      <c r="F98">
        <v>0.01817395067070532</v>
      </c>
      <c r="G98">
        <v>-0.005335737130010565</v>
      </c>
      <c r="H98">
        <v>0.02</v>
      </c>
      <c r="I98">
        <v>0.03485910310679485</v>
      </c>
      <c r="J98" t="s">
        <v>780</v>
      </c>
      <c r="K98" t="s">
        <v>781</v>
      </c>
      <c r="L98">
        <v>3.45</v>
      </c>
      <c r="M98">
        <v>0.84</v>
      </c>
      <c r="N98">
        <v>0.2434782608695652</v>
      </c>
      <c r="O98">
        <v>16</v>
      </c>
      <c r="P98">
        <v>0.07033701387905711</v>
      </c>
      <c r="Q98">
        <v>0.485905414524578</v>
      </c>
      <c r="R98" t="s">
        <v>784</v>
      </c>
      <c r="S98" t="s">
        <v>795</v>
      </c>
      <c r="T98">
        <v>33512.948607</v>
      </c>
      <c r="U98" s="2">
        <v>44534</v>
      </c>
      <c r="V98" t="s">
        <v>803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269.88</v>
      </c>
      <c r="D99">
        <v>252</v>
      </c>
      <c r="E99">
        <v>1.070952380952381</v>
      </c>
      <c r="F99">
        <v>0.02297317326219061</v>
      </c>
      <c r="G99">
        <v>-0.01361611618206138</v>
      </c>
      <c r="H99">
        <v>0.02</v>
      </c>
      <c r="I99">
        <v>0.03087228494292393</v>
      </c>
      <c r="J99" t="s">
        <v>780</v>
      </c>
      <c r="K99" t="s">
        <v>781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0.202163189496594</v>
      </c>
      <c r="R99" t="s">
        <v>784</v>
      </c>
      <c r="S99" t="s">
        <v>794</v>
      </c>
      <c r="T99">
        <v>10703.331578</v>
      </c>
      <c r="U99" s="2">
        <v>44508</v>
      </c>
      <c r="V99" t="s">
        <v>801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171.67</v>
      </c>
      <c r="D100">
        <v>127</v>
      </c>
      <c r="E100">
        <v>1.351732283464567</v>
      </c>
      <c r="F100">
        <v>0.01165025921826761</v>
      </c>
      <c r="G100">
        <v>-0.05849666489973704</v>
      </c>
      <c r="H100">
        <v>0.08</v>
      </c>
      <c r="I100">
        <v>0.02915883369307037</v>
      </c>
      <c r="J100" t="s">
        <v>780</v>
      </c>
      <c r="K100" t="s">
        <v>781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0.4174796912530691</v>
      </c>
      <c r="R100" t="s">
        <v>784</v>
      </c>
      <c r="S100" t="s">
        <v>790</v>
      </c>
      <c r="T100">
        <v>24199.50063</v>
      </c>
      <c r="U100" s="2">
        <v>44488</v>
      </c>
      <c r="V100" t="s">
        <v>800</v>
      </c>
    </row>
    <row r="101" spans="1:22">
      <c r="A101" s="1" t="s">
        <v>121</v>
      </c>
      <c r="B101">
        <f>HYPERLINK("https://www.suredividend.com/sure-analysis-TROW/","T. Rowe Price Group Inc.")</f>
        <v>0</v>
      </c>
      <c r="C101">
        <v>193.69</v>
      </c>
      <c r="D101">
        <v>179</v>
      </c>
      <c r="E101">
        <v>1.082067039106145</v>
      </c>
      <c r="F101">
        <v>0.02230368113996593</v>
      </c>
      <c r="G101">
        <v>-0.01565085961932655</v>
      </c>
      <c r="H101">
        <v>0.02</v>
      </c>
      <c r="I101">
        <v>0.02800545673245503</v>
      </c>
      <c r="J101" t="s">
        <v>780</v>
      </c>
      <c r="K101" t="s">
        <v>781</v>
      </c>
      <c r="L101">
        <v>12.74</v>
      </c>
      <c r="M101">
        <v>4.32</v>
      </c>
      <c r="N101">
        <v>0.3390894819466248</v>
      </c>
      <c r="O101">
        <v>35</v>
      </c>
      <c r="P101">
        <v>0.04563955259127317</v>
      </c>
      <c r="Q101">
        <v>0.327186081937432</v>
      </c>
      <c r="R101" t="s">
        <v>784</v>
      </c>
      <c r="S101" t="s">
        <v>794</v>
      </c>
      <c r="T101">
        <v>42707.250387</v>
      </c>
      <c r="U101" s="2">
        <v>44502</v>
      </c>
      <c r="V101" t="s">
        <v>803</v>
      </c>
    </row>
    <row r="102" spans="1:22">
      <c r="A102" s="1" t="s">
        <v>122</v>
      </c>
      <c r="B102">
        <f>HYPERLINK("https://www.suredividend.com/sure-analysis-THFF/","First Financial Corp. - Indiana")</f>
        <v>0</v>
      </c>
      <c r="C102">
        <v>44.76</v>
      </c>
      <c r="D102">
        <v>48</v>
      </c>
      <c r="E102">
        <v>0.9325</v>
      </c>
      <c r="F102">
        <v>0.02368185880250223</v>
      </c>
      <c r="G102">
        <v>0.01407536360886485</v>
      </c>
      <c r="H102">
        <v>-0.01</v>
      </c>
      <c r="I102">
        <v>0.02754306642438209</v>
      </c>
      <c r="J102" t="s">
        <v>780</v>
      </c>
      <c r="K102" t="s">
        <v>780</v>
      </c>
      <c r="L102">
        <v>4.4</v>
      </c>
      <c r="M102">
        <v>1.06</v>
      </c>
      <c r="N102">
        <v>0.2409090909090909</v>
      </c>
      <c r="O102">
        <v>32</v>
      </c>
      <c r="P102">
        <v>0.01994322923769842</v>
      </c>
      <c r="Q102">
        <v>0.194875519336957</v>
      </c>
      <c r="R102" t="s">
        <v>784</v>
      </c>
      <c r="S102" t="s">
        <v>794</v>
      </c>
      <c r="T102">
        <v>576.019136</v>
      </c>
      <c r="U102" s="2">
        <v>44518</v>
      </c>
      <c r="V102" t="s">
        <v>804</v>
      </c>
    </row>
    <row r="103" spans="1:22">
      <c r="A103" s="1" t="s">
        <v>123</v>
      </c>
      <c r="B103">
        <f>HYPERLINK("https://www.suredividend.com/sure-analysis-OZK/","Bank OZK")</f>
        <v>0</v>
      </c>
      <c r="C103">
        <v>45.79</v>
      </c>
      <c r="D103">
        <v>46</v>
      </c>
      <c r="E103">
        <v>0.9954347826086957</v>
      </c>
      <c r="F103">
        <v>0.02533304214894081</v>
      </c>
      <c r="G103">
        <v>0.0009155528268662838</v>
      </c>
      <c r="H103">
        <v>0</v>
      </c>
      <c r="I103">
        <v>0.02705897917640221</v>
      </c>
      <c r="J103" t="s">
        <v>780</v>
      </c>
      <c r="K103" t="s">
        <v>781</v>
      </c>
      <c r="L103">
        <v>4.2</v>
      </c>
      <c r="M103">
        <v>1.16</v>
      </c>
      <c r="N103">
        <v>0.2761904761904762</v>
      </c>
      <c r="O103">
        <v>25</v>
      </c>
      <c r="P103">
        <v>0.02927011184548056</v>
      </c>
      <c r="Q103">
        <v>0.5129821346153191</v>
      </c>
      <c r="R103" t="s">
        <v>784</v>
      </c>
      <c r="S103" t="s">
        <v>794</v>
      </c>
      <c r="T103">
        <v>5460.031019</v>
      </c>
      <c r="U103" s="2">
        <v>44493</v>
      </c>
      <c r="V103" t="s">
        <v>803</v>
      </c>
    </row>
    <row r="104" spans="1:22">
      <c r="A104" s="1" t="s">
        <v>124</v>
      </c>
      <c r="B104">
        <f>HYPERLINK("https://www.suredividend.com/sure-analysis-COST/","Costco Wholesale Corp")</f>
        <v>0</v>
      </c>
      <c r="C104">
        <v>565.48</v>
      </c>
      <c r="D104">
        <v>405</v>
      </c>
      <c r="E104">
        <v>1.396246913580247</v>
      </c>
      <c r="F104">
        <v>0.005588172879677443</v>
      </c>
      <c r="G104">
        <v>-0.06457805384433157</v>
      </c>
      <c r="H104">
        <v>0.09</v>
      </c>
      <c r="I104">
        <v>0.02646250650373227</v>
      </c>
      <c r="J104" t="s">
        <v>780</v>
      </c>
      <c r="K104" t="s">
        <v>530</v>
      </c>
      <c r="L104">
        <v>12.65</v>
      </c>
      <c r="M104">
        <v>3.16</v>
      </c>
      <c r="N104">
        <v>0.249802371541502</v>
      </c>
      <c r="O104">
        <v>18</v>
      </c>
      <c r="P104">
        <v>0.1000340793951375</v>
      </c>
      <c r="Q104">
        <v>0.4677633847214691</v>
      </c>
      <c r="R104" t="s">
        <v>784</v>
      </c>
      <c r="S104" t="s">
        <v>795</v>
      </c>
      <c r="T104">
        <v>241822.473159</v>
      </c>
      <c r="U104" s="2">
        <v>44542</v>
      </c>
      <c r="V104" t="s">
        <v>804</v>
      </c>
    </row>
    <row r="105" spans="1:22">
      <c r="A105" s="1" t="s">
        <v>125</v>
      </c>
      <c r="B105">
        <f>HYPERLINK("https://www.suredividend.com/sure-analysis-ORCL/","Oracle Corp.")</f>
        <v>0</v>
      </c>
      <c r="C105">
        <v>103.65</v>
      </c>
      <c r="D105">
        <v>75</v>
      </c>
      <c r="E105">
        <v>1.382</v>
      </c>
      <c r="F105">
        <v>0.01234925229136517</v>
      </c>
      <c r="G105">
        <v>-0.06265732173425897</v>
      </c>
      <c r="H105">
        <v>0.08</v>
      </c>
      <c r="I105">
        <v>0.02642661981780292</v>
      </c>
      <c r="J105" t="s">
        <v>780</v>
      </c>
      <c r="K105" t="s">
        <v>349</v>
      </c>
      <c r="L105">
        <v>4.7</v>
      </c>
      <c r="M105">
        <v>1.28</v>
      </c>
      <c r="N105">
        <v>0.2723404255319149</v>
      </c>
      <c r="O105">
        <v>12</v>
      </c>
      <c r="P105">
        <v>0.07056368416916192</v>
      </c>
      <c r="Q105">
        <v>0.6693405528259631</v>
      </c>
      <c r="R105" t="s">
        <v>784</v>
      </c>
      <c r="S105" t="s">
        <v>791</v>
      </c>
      <c r="T105">
        <v>266750.95083</v>
      </c>
      <c r="U105" s="2">
        <v>44476</v>
      </c>
      <c r="V105" t="s">
        <v>801</v>
      </c>
    </row>
    <row r="106" spans="1:22">
      <c r="A106" s="1" t="s">
        <v>126</v>
      </c>
      <c r="B106">
        <f>HYPERLINK("https://www.suredividend.com/sure-analysis-SPGI/","S&amp;P Global Inc")</f>
        <v>0</v>
      </c>
      <c r="C106">
        <v>478.97</v>
      </c>
      <c r="D106">
        <v>355</v>
      </c>
      <c r="E106">
        <v>1.349211267605634</v>
      </c>
      <c r="F106">
        <v>0.006430465373614214</v>
      </c>
      <c r="G106">
        <v>-0.05814508573870802</v>
      </c>
      <c r="H106">
        <v>0.08</v>
      </c>
      <c r="I106">
        <v>0.02561241502502987</v>
      </c>
      <c r="J106" t="s">
        <v>780</v>
      </c>
      <c r="K106" t="s">
        <v>349</v>
      </c>
      <c r="L106">
        <v>13.65</v>
      </c>
      <c r="M106">
        <v>3.08</v>
      </c>
      <c r="N106">
        <v>0.2256410256410256</v>
      </c>
      <c r="O106">
        <v>48</v>
      </c>
      <c r="P106">
        <v>0.1200820117377759</v>
      </c>
      <c r="Q106">
        <v>0.464464002874501</v>
      </c>
      <c r="R106" t="s">
        <v>784</v>
      </c>
      <c r="S106" t="s">
        <v>794</v>
      </c>
      <c r="T106">
        <v>113351.94</v>
      </c>
      <c r="U106" s="2">
        <v>44512</v>
      </c>
      <c r="V106" t="s">
        <v>804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239.43</v>
      </c>
      <c r="D107">
        <v>184</v>
      </c>
      <c r="E107">
        <v>1.30125</v>
      </c>
      <c r="F107">
        <v>0.00902142588648039</v>
      </c>
      <c r="G107">
        <v>-0.05130229168274147</v>
      </c>
      <c r="H107">
        <v>0.07000000000000001</v>
      </c>
      <c r="I107">
        <v>0.02506171314685757</v>
      </c>
      <c r="J107" t="s">
        <v>780</v>
      </c>
      <c r="K107" t="s">
        <v>349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0.540588830353271</v>
      </c>
      <c r="R107" t="s">
        <v>784</v>
      </c>
      <c r="S107" t="s">
        <v>790</v>
      </c>
      <c r="T107">
        <v>12262.300202</v>
      </c>
      <c r="U107" s="2">
        <v>44509</v>
      </c>
      <c r="V107" t="s">
        <v>801</v>
      </c>
    </row>
    <row r="108" spans="1:22">
      <c r="A108" s="1" t="s">
        <v>128</v>
      </c>
      <c r="B108">
        <f>HYPERLINK("https://www.suredividend.com/sure-analysis-BRO/","Brown &amp; Brown, Inc.")</f>
        <v>0</v>
      </c>
      <c r="C108">
        <v>68.06</v>
      </c>
      <c r="D108">
        <v>53</v>
      </c>
      <c r="E108">
        <v>1.284150943396226</v>
      </c>
      <c r="F108">
        <v>0.006024096385542168</v>
      </c>
      <c r="G108">
        <v>-0.0487891729030131</v>
      </c>
      <c r="H108">
        <v>0.07000000000000001</v>
      </c>
      <c r="I108">
        <v>0.02501042931938646</v>
      </c>
      <c r="J108" t="s">
        <v>780</v>
      </c>
      <c r="K108" t="s">
        <v>349</v>
      </c>
      <c r="L108">
        <v>2.2</v>
      </c>
      <c r="M108">
        <v>0.41</v>
      </c>
      <c r="N108">
        <v>0.1863636363636363</v>
      </c>
      <c r="O108">
        <v>28</v>
      </c>
      <c r="P108">
        <v>0.08971100922578001</v>
      </c>
      <c r="Q108">
        <v>0.483904423790338</v>
      </c>
      <c r="R108" t="s">
        <v>784</v>
      </c>
      <c r="S108" t="s">
        <v>794</v>
      </c>
      <c r="T108">
        <v>18911.301139</v>
      </c>
      <c r="U108" s="2">
        <v>44507</v>
      </c>
      <c r="V108" t="s">
        <v>804</v>
      </c>
    </row>
    <row r="109" spans="1:22">
      <c r="A109" s="1" t="s">
        <v>129</v>
      </c>
      <c r="B109">
        <f>HYPERLINK("https://www.suredividend.com/sure-analysis-AMAT/","Applied Materials Inc.")</f>
        <v>0</v>
      </c>
      <c r="C109">
        <v>153.66</v>
      </c>
      <c r="D109">
        <v>130</v>
      </c>
      <c r="E109">
        <v>1.182</v>
      </c>
      <c r="F109">
        <v>0.006247559547051933</v>
      </c>
      <c r="G109">
        <v>-0.03288859544233225</v>
      </c>
      <c r="H109">
        <v>0.05</v>
      </c>
      <c r="I109">
        <v>0.02325100597795182</v>
      </c>
      <c r="J109" t="s">
        <v>780</v>
      </c>
      <c r="K109" t="s">
        <v>530</v>
      </c>
      <c r="L109">
        <v>8.15</v>
      </c>
      <c r="M109">
        <v>0.96</v>
      </c>
      <c r="N109">
        <v>0.1177914110429448</v>
      </c>
      <c r="O109">
        <v>4</v>
      </c>
      <c r="P109">
        <v>0.1005558662160053</v>
      </c>
      <c r="Q109">
        <v>0.6811322408003151</v>
      </c>
      <c r="R109" t="s">
        <v>784</v>
      </c>
      <c r="S109" t="s">
        <v>791</v>
      </c>
      <c r="T109">
        <v>133389.627305</v>
      </c>
      <c r="U109" s="2">
        <v>44535</v>
      </c>
      <c r="V109" t="s">
        <v>804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397.73</v>
      </c>
      <c r="D110">
        <v>320</v>
      </c>
      <c r="E110">
        <v>1.24290625</v>
      </c>
      <c r="F110">
        <v>0.006235385814497272</v>
      </c>
      <c r="G110">
        <v>-0.04255832867945275</v>
      </c>
      <c r="H110">
        <v>0.06</v>
      </c>
      <c r="I110">
        <v>0.02288838900764989</v>
      </c>
      <c r="J110" t="s">
        <v>780</v>
      </c>
      <c r="K110" t="s">
        <v>530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0.437846539211895</v>
      </c>
      <c r="R110" t="s">
        <v>784</v>
      </c>
      <c r="S110" t="s">
        <v>794</v>
      </c>
      <c r="T110">
        <v>72861.64599999999</v>
      </c>
      <c r="U110" s="2">
        <v>44518</v>
      </c>
      <c r="V110" t="s">
        <v>804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78.58</v>
      </c>
      <c r="D111">
        <v>54</v>
      </c>
      <c r="E111">
        <v>1.455185185185185</v>
      </c>
      <c r="F111">
        <v>0.008526342580809367</v>
      </c>
      <c r="G111">
        <v>-0.07228122241080204</v>
      </c>
      <c r="H111">
        <v>0.09</v>
      </c>
      <c r="I111">
        <v>0.02053571117713271</v>
      </c>
      <c r="J111" t="s">
        <v>780</v>
      </c>
      <c r="K111" t="s">
        <v>349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0.528332754945218</v>
      </c>
      <c r="R111" t="s">
        <v>784</v>
      </c>
      <c r="S111" t="s">
        <v>793</v>
      </c>
      <c r="T111">
        <v>4050.340865</v>
      </c>
      <c r="U111" s="2">
        <v>44463</v>
      </c>
      <c r="V111" t="s">
        <v>807</v>
      </c>
    </row>
    <row r="112" spans="1:22">
      <c r="A112" s="1" t="s">
        <v>132</v>
      </c>
      <c r="B112">
        <f>HYPERLINK("https://www.suredividend.com/sure-analysis-CSVI/","Computer Services, Inc.")</f>
        <v>0</v>
      </c>
      <c r="C112">
        <v>55.5</v>
      </c>
      <c r="D112">
        <v>37</v>
      </c>
      <c r="E112">
        <v>1.5</v>
      </c>
      <c r="F112">
        <v>0.01945945945945946</v>
      </c>
      <c r="G112">
        <v>-0.07789208851827223</v>
      </c>
      <c r="H112">
        <v>0.08</v>
      </c>
      <c r="I112">
        <v>0.01989051167294331</v>
      </c>
      <c r="J112" t="s">
        <v>780</v>
      </c>
      <c r="K112" t="s">
        <v>781</v>
      </c>
      <c r="L112">
        <v>2.15</v>
      </c>
      <c r="M112">
        <v>1.08</v>
      </c>
      <c r="N112">
        <v>0.5023255813953489</v>
      </c>
      <c r="O112">
        <v>50</v>
      </c>
      <c r="P112">
        <v>0.08178074106640287</v>
      </c>
      <c r="Q112">
        <v>-0.017985741924213</v>
      </c>
      <c r="R112" t="s">
        <v>784</v>
      </c>
      <c r="S112" t="s">
        <v>791</v>
      </c>
      <c r="T112">
        <v>1636.207799</v>
      </c>
      <c r="U112" s="2">
        <v>44477</v>
      </c>
      <c r="V112" t="s">
        <v>807</v>
      </c>
    </row>
    <row r="113" spans="1:22">
      <c r="A113" s="1" t="s">
        <v>133</v>
      </c>
      <c r="B113">
        <f>HYPERLINK("https://www.suredividend.com/sure-analysis-SRCE/","1st Source Corp.")</f>
        <v>0</v>
      </c>
      <c r="C113">
        <v>48.29</v>
      </c>
      <c r="D113">
        <v>60</v>
      </c>
      <c r="E113">
        <v>0.8048333333333333</v>
      </c>
      <c r="F113">
        <v>0.02567819424311452</v>
      </c>
      <c r="G113">
        <v>0.04438063138942039</v>
      </c>
      <c r="H113">
        <v>-0.05</v>
      </c>
      <c r="I113">
        <v>0.01883266526140548</v>
      </c>
      <c r="J113" t="s">
        <v>780</v>
      </c>
      <c r="K113" t="s">
        <v>780</v>
      </c>
      <c r="L113">
        <v>4.8</v>
      </c>
      <c r="M113">
        <v>1.24</v>
      </c>
      <c r="N113">
        <v>0.2583333333333334</v>
      </c>
      <c r="O113">
        <v>34</v>
      </c>
      <c r="P113">
        <v>0.02013999925026777</v>
      </c>
      <c r="Q113">
        <v>0.226341006704713</v>
      </c>
      <c r="R113" t="s">
        <v>784</v>
      </c>
      <c r="S113" t="s">
        <v>794</v>
      </c>
      <c r="T113">
        <v>1198.797084</v>
      </c>
      <c r="U113" s="2">
        <v>44498</v>
      </c>
      <c r="V113" t="s">
        <v>804</v>
      </c>
    </row>
    <row r="114" spans="1:22">
      <c r="A114" s="1" t="s">
        <v>134</v>
      </c>
      <c r="B114">
        <f>HYPERLINK("https://www.suredividend.com/sure-analysis-UBSI/","United Bankshares, Inc.")</f>
        <v>0</v>
      </c>
      <c r="C114">
        <v>34.97</v>
      </c>
      <c r="D114">
        <v>34</v>
      </c>
      <c r="E114">
        <v>1.028529411764706</v>
      </c>
      <c r="F114">
        <v>0.04003431512725193</v>
      </c>
      <c r="G114">
        <v>-0.005610208961349006</v>
      </c>
      <c r="H114">
        <v>-0.02</v>
      </c>
      <c r="I114">
        <v>0.01770449086338699</v>
      </c>
      <c r="J114" t="s">
        <v>780</v>
      </c>
      <c r="K114" t="s">
        <v>780</v>
      </c>
      <c r="L114">
        <v>2.85</v>
      </c>
      <c r="M114">
        <v>1.4</v>
      </c>
      <c r="N114">
        <v>0.4912280701754386</v>
      </c>
      <c r="O114">
        <v>46</v>
      </c>
      <c r="P114">
        <v>0.02056514630321193</v>
      </c>
      <c r="Q114">
        <v>0.215858310069433</v>
      </c>
      <c r="R114" t="s">
        <v>784</v>
      </c>
      <c r="S114" t="s">
        <v>794</v>
      </c>
      <c r="T114">
        <v>4608.676967</v>
      </c>
      <c r="U114" s="2">
        <v>44501</v>
      </c>
      <c r="V114" t="s">
        <v>804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99.09999999999999</v>
      </c>
      <c r="D115">
        <v>75</v>
      </c>
      <c r="E115">
        <v>1.321333333333333</v>
      </c>
      <c r="F115">
        <v>0.01019172552976791</v>
      </c>
      <c r="G115">
        <v>-0.05420389364966405</v>
      </c>
      <c r="H115">
        <v>0.06</v>
      </c>
      <c r="I115">
        <v>0.01468093956857852</v>
      </c>
      <c r="J115" t="s">
        <v>780</v>
      </c>
      <c r="K115" t="s">
        <v>349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0.151141559490539</v>
      </c>
      <c r="R115" t="s">
        <v>784</v>
      </c>
      <c r="S115" t="s">
        <v>795</v>
      </c>
      <c r="T115">
        <v>23904.566515</v>
      </c>
      <c r="U115" s="2">
        <v>44519</v>
      </c>
      <c r="V115" t="s">
        <v>804</v>
      </c>
    </row>
    <row r="116" spans="1:22">
      <c r="A116" s="1" t="s">
        <v>136</v>
      </c>
      <c r="B116">
        <f>HYPERLINK("https://www.suredividend.com/sure-analysis-CB/","Chubb Limited")</f>
        <v>0</v>
      </c>
      <c r="C116">
        <v>193.16</v>
      </c>
      <c r="D116">
        <v>148</v>
      </c>
      <c r="E116">
        <v>1.305135135135135</v>
      </c>
      <c r="F116">
        <v>0.01656657693104163</v>
      </c>
      <c r="G116">
        <v>-0.05186778338442855</v>
      </c>
      <c r="H116">
        <v>0.05</v>
      </c>
      <c r="I116">
        <v>0.01464552665151575</v>
      </c>
      <c r="J116" t="s">
        <v>780</v>
      </c>
      <c r="K116" t="s">
        <v>781</v>
      </c>
      <c r="L116">
        <v>12.2</v>
      </c>
      <c r="M116">
        <v>3.2</v>
      </c>
      <c r="N116">
        <v>0.2622950819672131</v>
      </c>
      <c r="O116">
        <v>28</v>
      </c>
      <c r="P116">
        <v>0.05488534927137567</v>
      </c>
      <c r="Q116">
        <v>0.300444220506818</v>
      </c>
      <c r="R116" t="s">
        <v>784</v>
      </c>
      <c r="S116" t="s">
        <v>794</v>
      </c>
      <c r="T116">
        <v>82934.926051</v>
      </c>
      <c r="U116" s="2">
        <v>44506</v>
      </c>
      <c r="V116" t="s">
        <v>801</v>
      </c>
    </row>
    <row r="117" spans="1:22">
      <c r="A117" s="1" t="s">
        <v>137</v>
      </c>
      <c r="B117">
        <f>HYPERLINK("https://www.suredividend.com/sure-analysis-MCD/","McDonald`s Corp")</f>
        <v>0</v>
      </c>
      <c r="C117">
        <v>264.52</v>
      </c>
      <c r="D117">
        <v>186</v>
      </c>
      <c r="E117">
        <v>1.422150537634409</v>
      </c>
      <c r="F117">
        <v>0.02086798729774686</v>
      </c>
      <c r="G117">
        <v>-0.06801078646018421</v>
      </c>
      <c r="H117">
        <v>0.06</v>
      </c>
      <c r="I117">
        <v>0.01280991430363887</v>
      </c>
      <c r="J117" t="s">
        <v>780</v>
      </c>
      <c r="K117" t="s">
        <v>781</v>
      </c>
      <c r="L117">
        <v>9.300000000000001</v>
      </c>
      <c r="M117">
        <v>5.52</v>
      </c>
      <c r="N117">
        <v>0.5935483870967742</v>
      </c>
      <c r="O117">
        <v>47</v>
      </c>
      <c r="P117">
        <v>0.06008593430202303</v>
      </c>
      <c r="Q117">
        <v>0.267132131298675</v>
      </c>
      <c r="R117" t="s">
        <v>784</v>
      </c>
      <c r="S117" t="s">
        <v>792</v>
      </c>
      <c r="T117">
        <v>196166.869496</v>
      </c>
      <c r="U117" s="2">
        <v>44497</v>
      </c>
      <c r="V117" t="s">
        <v>803</v>
      </c>
    </row>
    <row r="118" spans="1:22">
      <c r="A118" s="1" t="s">
        <v>138</v>
      </c>
      <c r="B118">
        <f>HYPERLINK("https://www.suredividend.com/sure-analysis-GRC/","Gorman-Rupp Co.")</f>
        <v>0</v>
      </c>
      <c r="C118">
        <v>45.72</v>
      </c>
      <c r="D118">
        <v>33</v>
      </c>
      <c r="E118">
        <v>1.385454545454545</v>
      </c>
      <c r="F118">
        <v>0.01487314085739283</v>
      </c>
      <c r="G118">
        <v>-0.06312522987794666</v>
      </c>
      <c r="H118">
        <v>0.06</v>
      </c>
      <c r="I118">
        <v>0.01025444251190444</v>
      </c>
      <c r="J118" t="s">
        <v>780</v>
      </c>
      <c r="K118" t="s">
        <v>349</v>
      </c>
      <c r="L118">
        <v>1.3</v>
      </c>
      <c r="M118">
        <v>0.68</v>
      </c>
      <c r="N118">
        <v>0.5230769230769231</v>
      </c>
      <c r="O118">
        <v>49</v>
      </c>
      <c r="P118">
        <v>0.0505145404837426</v>
      </c>
      <c r="Q118">
        <v>0.317016214181306</v>
      </c>
      <c r="R118" t="s">
        <v>784</v>
      </c>
      <c r="S118" t="s">
        <v>790</v>
      </c>
      <c r="T118">
        <v>1169.950939</v>
      </c>
      <c r="U118" s="2">
        <v>44499</v>
      </c>
      <c r="V118" t="s">
        <v>804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163.9</v>
      </c>
      <c r="D119">
        <v>102</v>
      </c>
      <c r="E119">
        <v>1.606862745098039</v>
      </c>
      <c r="F119">
        <v>0.007443563148261135</v>
      </c>
      <c r="G119">
        <v>-0.09049677442446524</v>
      </c>
      <c r="H119">
        <v>0.1</v>
      </c>
      <c r="I119">
        <v>0.01022467781823999</v>
      </c>
      <c r="J119" t="s">
        <v>780</v>
      </c>
      <c r="K119" t="s">
        <v>349</v>
      </c>
      <c r="L119">
        <v>4.25</v>
      </c>
      <c r="M119">
        <v>1.22</v>
      </c>
      <c r="N119">
        <v>0.2870588235294118</v>
      </c>
      <c r="O119">
        <v>20</v>
      </c>
      <c r="P119">
        <v>0.09945953022431997</v>
      </c>
      <c r="Q119">
        <v>0.222803887836206</v>
      </c>
      <c r="R119" t="s">
        <v>784</v>
      </c>
      <c r="S119" t="s">
        <v>792</v>
      </c>
      <c r="T119">
        <v>259649.884646</v>
      </c>
      <c r="U119" s="2">
        <v>44464</v>
      </c>
      <c r="V119" t="s">
        <v>803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91.79000000000001</v>
      </c>
      <c r="D120">
        <v>59</v>
      </c>
      <c r="E120">
        <v>1.555762711864407</v>
      </c>
      <c r="F120">
        <v>0.007626103061335657</v>
      </c>
      <c r="G120">
        <v>-0.08459911416924393</v>
      </c>
      <c r="H120">
        <v>0.09</v>
      </c>
      <c r="I120">
        <v>0.007531916515600923</v>
      </c>
      <c r="J120" t="s">
        <v>780</v>
      </c>
      <c r="K120" t="s">
        <v>349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0.295367170873475</v>
      </c>
      <c r="R120" t="s">
        <v>784</v>
      </c>
      <c r="S120" t="s">
        <v>790</v>
      </c>
      <c r="T120">
        <v>4205.232394</v>
      </c>
      <c r="U120" s="2">
        <v>44496</v>
      </c>
      <c r="V120" t="s">
        <v>807</v>
      </c>
    </row>
    <row r="121" spans="1:22">
      <c r="A121" s="1" t="s">
        <v>141</v>
      </c>
      <c r="B121">
        <f>HYPERLINK("https://www.suredividend.com/sure-analysis-PG/","Procter &amp; Gamble Co.")</f>
        <v>0</v>
      </c>
      <c r="C121">
        <v>158.86</v>
      </c>
      <c r="D121">
        <v>118</v>
      </c>
      <c r="E121">
        <v>1.346271186440678</v>
      </c>
      <c r="F121">
        <v>0.02190608082588442</v>
      </c>
      <c r="G121">
        <v>-0.05773406690113803</v>
      </c>
      <c r="H121">
        <v>0.04</v>
      </c>
      <c r="I121">
        <v>0.005736570778655636</v>
      </c>
      <c r="J121" t="s">
        <v>780</v>
      </c>
      <c r="K121" t="s">
        <v>781</v>
      </c>
      <c r="L121">
        <v>5.9</v>
      </c>
      <c r="M121">
        <v>3.48</v>
      </c>
      <c r="N121">
        <v>0.5898305084745762</v>
      </c>
      <c r="O121">
        <v>65</v>
      </c>
      <c r="P121">
        <v>0.04515835609077623</v>
      </c>
      <c r="Q121">
        <v>0.19417919705881</v>
      </c>
      <c r="R121" t="s">
        <v>784</v>
      </c>
      <c r="S121" t="s">
        <v>795</v>
      </c>
      <c r="T121">
        <v>382956.742357</v>
      </c>
      <c r="U121" s="2">
        <v>44488</v>
      </c>
      <c r="V121" t="s">
        <v>803</v>
      </c>
    </row>
    <row r="122" spans="1:22">
      <c r="A122" s="1" t="s">
        <v>142</v>
      </c>
      <c r="B122">
        <f>HYPERLINK("https://www.suredividend.com/sure-analysis-ITW/","Illinois Tool Works, Inc.")</f>
        <v>0</v>
      </c>
      <c r="C122">
        <v>245.05</v>
      </c>
      <c r="D122">
        <v>160</v>
      </c>
      <c r="E122">
        <v>1.5315625</v>
      </c>
      <c r="F122">
        <v>0.01991430320342787</v>
      </c>
      <c r="G122">
        <v>-0.08172437765950913</v>
      </c>
      <c r="H122">
        <v>0.07000000000000001</v>
      </c>
      <c r="I122">
        <v>0.005533195808107072</v>
      </c>
      <c r="J122" t="s">
        <v>780</v>
      </c>
      <c r="K122" t="s">
        <v>781</v>
      </c>
      <c r="L122">
        <v>8.4</v>
      </c>
      <c r="M122">
        <v>4.88</v>
      </c>
      <c r="N122">
        <v>0.5809523809523809</v>
      </c>
      <c r="O122">
        <v>58</v>
      </c>
      <c r="P122">
        <v>0.0400957567386353</v>
      </c>
      <c r="Q122">
        <v>0.236870089236824</v>
      </c>
      <c r="R122" t="s">
        <v>784</v>
      </c>
      <c r="S122" t="s">
        <v>790</v>
      </c>
      <c r="T122">
        <v>75864.971233</v>
      </c>
      <c r="U122" s="2">
        <v>44501</v>
      </c>
      <c r="V122" t="s">
        <v>803</v>
      </c>
    </row>
    <row r="123" spans="1:22">
      <c r="A123" s="1" t="s">
        <v>143</v>
      </c>
      <c r="B123">
        <f>HYPERLINK("https://www.suredividend.com/sure-analysis-RPM/","RPM International, Inc.")</f>
        <v>0</v>
      </c>
      <c r="C123">
        <v>98.73999999999999</v>
      </c>
      <c r="D123">
        <v>72</v>
      </c>
      <c r="E123">
        <v>1.371388888888889</v>
      </c>
      <c r="F123">
        <v>0.01620417257443792</v>
      </c>
      <c r="G123">
        <v>-0.06121125403943917</v>
      </c>
      <c r="H123">
        <v>0.05</v>
      </c>
      <c r="I123">
        <v>0.004873389540528184</v>
      </c>
      <c r="J123" t="s">
        <v>780</v>
      </c>
      <c r="K123" t="s">
        <v>781</v>
      </c>
      <c r="L123">
        <v>4</v>
      </c>
      <c r="M123">
        <v>1.6</v>
      </c>
      <c r="N123">
        <v>0.4</v>
      </c>
      <c r="O123">
        <v>48</v>
      </c>
      <c r="P123">
        <v>0.04978904632428516</v>
      </c>
      <c r="Q123">
        <v>0.140258642310377</v>
      </c>
      <c r="R123" t="s">
        <v>784</v>
      </c>
      <c r="S123" t="s">
        <v>793</v>
      </c>
      <c r="T123">
        <v>12561.668969</v>
      </c>
      <c r="U123" s="2">
        <v>44475</v>
      </c>
      <c r="V123" t="s">
        <v>800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70.39</v>
      </c>
      <c r="D124">
        <v>43</v>
      </c>
      <c r="E124">
        <v>1.636976744186047</v>
      </c>
      <c r="F124">
        <v>0.01932092626793579</v>
      </c>
      <c r="G124">
        <v>-0.09386793675002458</v>
      </c>
      <c r="H124">
        <v>0.076</v>
      </c>
      <c r="I124">
        <v>-0.0006936977733530414</v>
      </c>
      <c r="J124" t="s">
        <v>780</v>
      </c>
      <c r="K124" t="s">
        <v>781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0.032773258029763</v>
      </c>
      <c r="R124" t="s">
        <v>784</v>
      </c>
      <c r="S124" t="s">
        <v>796</v>
      </c>
      <c r="T124">
        <v>2052.939617</v>
      </c>
      <c r="U124" s="2">
        <v>44502</v>
      </c>
      <c r="V124" t="s">
        <v>800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135.56</v>
      </c>
      <c r="D125">
        <v>101</v>
      </c>
      <c r="E125">
        <v>1.342178217821782</v>
      </c>
      <c r="F125">
        <v>0.01386839775745057</v>
      </c>
      <c r="G125">
        <v>-0.05716007917320531</v>
      </c>
      <c r="H125">
        <v>0.04</v>
      </c>
      <c r="I125">
        <v>-0.002123115607112092</v>
      </c>
      <c r="J125" t="s">
        <v>780</v>
      </c>
      <c r="K125" t="s">
        <v>781</v>
      </c>
      <c r="L125">
        <v>5.05</v>
      </c>
      <c r="M125">
        <v>1.88</v>
      </c>
      <c r="N125">
        <v>0.3722772277227723</v>
      </c>
      <c r="O125">
        <v>50</v>
      </c>
      <c r="P125">
        <v>0.06034828502666922</v>
      </c>
      <c r="Q125">
        <v>0.264114791588416</v>
      </c>
      <c r="R125" t="s">
        <v>784</v>
      </c>
      <c r="S125" t="s">
        <v>789</v>
      </c>
      <c r="T125">
        <v>235076.069659</v>
      </c>
      <c r="U125" s="2">
        <v>44490</v>
      </c>
      <c r="V125" t="s">
        <v>803</v>
      </c>
    </row>
    <row r="126" spans="1:22">
      <c r="A126" s="1" t="s">
        <v>146</v>
      </c>
      <c r="B126">
        <f>HYPERLINK("https://www.suredividend.com/sure-analysis-ATR/","Aptargroup Inc.")</f>
        <v>0</v>
      </c>
      <c r="C126">
        <v>118.37</v>
      </c>
      <c r="D126">
        <v>77</v>
      </c>
      <c r="E126">
        <v>1.537272727272727</v>
      </c>
      <c r="F126">
        <v>0.01267212976260877</v>
      </c>
      <c r="G126">
        <v>-0.08240758380001911</v>
      </c>
      <c r="H126">
        <v>0.07000000000000001</v>
      </c>
      <c r="I126">
        <v>-0.002860117721246502</v>
      </c>
      <c r="J126" t="s">
        <v>780</v>
      </c>
      <c r="K126" t="s">
        <v>349</v>
      </c>
      <c r="L126">
        <v>3.87</v>
      </c>
      <c r="M126">
        <v>1.5</v>
      </c>
      <c r="N126">
        <v>0.3875968992248062</v>
      </c>
      <c r="O126">
        <v>28</v>
      </c>
      <c r="P126">
        <v>0.04951444805329408</v>
      </c>
      <c r="Q126">
        <v>-0.079161410918413</v>
      </c>
      <c r="R126" t="s">
        <v>784</v>
      </c>
      <c r="S126" t="s">
        <v>792</v>
      </c>
      <c r="T126">
        <v>7698.480047</v>
      </c>
      <c r="U126" s="2">
        <v>44507</v>
      </c>
      <c r="V126" t="s">
        <v>802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83.67</v>
      </c>
      <c r="D127">
        <v>55</v>
      </c>
      <c r="E127">
        <v>1.521272727272727</v>
      </c>
      <c r="F127">
        <v>0.01338592087964623</v>
      </c>
      <c r="G127">
        <v>-0.08048549576363362</v>
      </c>
      <c r="H127">
        <v>0.06</v>
      </c>
      <c r="I127">
        <v>-0.007176534160078907</v>
      </c>
      <c r="J127" t="s">
        <v>780</v>
      </c>
      <c r="K127" t="s">
        <v>349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0.5047862039849851</v>
      </c>
      <c r="R127" t="s">
        <v>784</v>
      </c>
      <c r="S127" t="s">
        <v>790</v>
      </c>
      <c r="T127">
        <v>13236.65476</v>
      </c>
      <c r="U127" s="2">
        <v>44510</v>
      </c>
      <c r="V127" t="s">
        <v>801</v>
      </c>
    </row>
    <row r="128" spans="1:22">
      <c r="A128" s="1" t="s">
        <v>148</v>
      </c>
      <c r="B128">
        <f>HYPERLINK("https://www.suredividend.com/sure-analysis-GWW/","W.W. Grainger Inc.")</f>
        <v>0</v>
      </c>
      <c r="C128">
        <v>513.95</v>
      </c>
      <c r="D128">
        <v>356</v>
      </c>
      <c r="E128">
        <v>1.443679775280899</v>
      </c>
      <c r="F128">
        <v>0.01260823037260434</v>
      </c>
      <c r="G128">
        <v>-0.07080722230483572</v>
      </c>
      <c r="H128">
        <v>0.05</v>
      </c>
      <c r="I128">
        <v>-0.008248835145867828</v>
      </c>
      <c r="J128" t="s">
        <v>780</v>
      </c>
      <c r="K128" t="s">
        <v>781</v>
      </c>
      <c r="L128">
        <v>19.75</v>
      </c>
      <c r="M128">
        <v>6.48</v>
      </c>
      <c r="N128">
        <v>0.3281012658227848</v>
      </c>
      <c r="O128">
        <v>50</v>
      </c>
      <c r="P128">
        <v>0.06020279266594519</v>
      </c>
      <c r="Q128">
        <v>0.286761631310456</v>
      </c>
      <c r="R128" t="s">
        <v>784</v>
      </c>
      <c r="S128" t="s">
        <v>790</v>
      </c>
      <c r="T128">
        <v>26159.819065</v>
      </c>
      <c r="U128" s="2">
        <v>44505</v>
      </c>
      <c r="V128" t="s">
        <v>803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334.65</v>
      </c>
      <c r="D129">
        <v>216</v>
      </c>
      <c r="E129">
        <v>1.549305555555555</v>
      </c>
      <c r="F129">
        <v>0.007410727625877783</v>
      </c>
      <c r="G129">
        <v>-0.08383734615558547</v>
      </c>
      <c r="H129">
        <v>0.07000000000000001</v>
      </c>
      <c r="I129">
        <v>-0.009445937460547449</v>
      </c>
      <c r="J129" t="s">
        <v>780</v>
      </c>
      <c r="K129" t="s">
        <v>349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0.5457156926344761</v>
      </c>
      <c r="R129" t="s">
        <v>784</v>
      </c>
      <c r="S129" t="s">
        <v>791</v>
      </c>
      <c r="T129">
        <v>2465170.298983</v>
      </c>
      <c r="U129" s="2">
        <v>44497</v>
      </c>
      <c r="V129" t="s">
        <v>803</v>
      </c>
    </row>
    <row r="130" spans="1:22">
      <c r="A130" s="1" t="s">
        <v>150</v>
      </c>
      <c r="B130">
        <f>HYPERLINK("https://www.suredividend.com/sure-analysis-LIN/","Linde Plc")</f>
        <v>0</v>
      </c>
      <c r="C130">
        <v>341.36</v>
      </c>
      <c r="D130">
        <v>222</v>
      </c>
      <c r="E130">
        <v>1.537657657657658</v>
      </c>
      <c r="F130">
        <v>0.01242090461682681</v>
      </c>
      <c r="G130">
        <v>-0.08245352960256624</v>
      </c>
      <c r="H130">
        <v>0.06</v>
      </c>
      <c r="I130">
        <v>-0.0108830277394365</v>
      </c>
      <c r="J130" t="s">
        <v>780</v>
      </c>
      <c r="K130" t="s">
        <v>349</v>
      </c>
      <c r="L130">
        <v>10.57</v>
      </c>
      <c r="M130">
        <v>4.24</v>
      </c>
      <c r="N130">
        <v>0.4011352885525071</v>
      </c>
      <c r="O130">
        <v>28</v>
      </c>
      <c r="P130">
        <v>0.07011443361889147</v>
      </c>
      <c r="Q130">
        <v>0.370732544878685</v>
      </c>
      <c r="R130" t="s">
        <v>784</v>
      </c>
      <c r="S130" t="s">
        <v>793</v>
      </c>
      <c r="T130">
        <v>171449.55752</v>
      </c>
      <c r="U130" s="2">
        <v>44503</v>
      </c>
      <c r="V130" t="s">
        <v>801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79.79000000000001</v>
      </c>
      <c r="D131">
        <v>54.5</v>
      </c>
      <c r="E131">
        <v>1.464036697247707</v>
      </c>
      <c r="F131">
        <v>0.01942599323223462</v>
      </c>
      <c r="G131">
        <v>-0.07340573594258881</v>
      </c>
      <c r="H131">
        <v>0.041</v>
      </c>
      <c r="I131">
        <v>-0.01163294720325458</v>
      </c>
      <c r="J131" t="s">
        <v>780</v>
      </c>
      <c r="K131" t="s">
        <v>781</v>
      </c>
      <c r="L131">
        <v>3.03</v>
      </c>
      <c r="M131">
        <v>1.55</v>
      </c>
      <c r="N131">
        <v>0.5115511551155116</v>
      </c>
      <c r="O131">
        <v>45</v>
      </c>
      <c r="P131">
        <v>0.03601968190208304</v>
      </c>
      <c r="Q131">
        <v>0.116605657046251</v>
      </c>
      <c r="R131" t="s">
        <v>784</v>
      </c>
      <c r="S131" t="s">
        <v>796</v>
      </c>
      <c r="T131">
        <v>2804.10771</v>
      </c>
      <c r="U131" s="2">
        <v>44531</v>
      </c>
      <c r="V131" t="s">
        <v>808</v>
      </c>
    </row>
    <row r="132" spans="1:22">
      <c r="A132" s="1" t="s">
        <v>152</v>
      </c>
      <c r="B132">
        <f>HYPERLINK("https://www.suredividend.com/sure-analysis-EBAY/","EBay Inc.")</f>
        <v>0</v>
      </c>
      <c r="C132">
        <v>65.61</v>
      </c>
      <c r="D132">
        <v>47.5</v>
      </c>
      <c r="E132">
        <v>1.381263157894737</v>
      </c>
      <c r="F132">
        <v>0.01097393689986282</v>
      </c>
      <c r="G132">
        <v>-0.0625573369893917</v>
      </c>
      <c r="H132">
        <v>0.037</v>
      </c>
      <c r="I132">
        <v>-0.01302189681175503</v>
      </c>
      <c r="J132" t="s">
        <v>780</v>
      </c>
      <c r="K132" t="s">
        <v>349</v>
      </c>
      <c r="L132">
        <v>3.96</v>
      </c>
      <c r="M132">
        <v>0.72</v>
      </c>
      <c r="N132">
        <v>0.1818181818181818</v>
      </c>
      <c r="O132">
        <v>2</v>
      </c>
      <c r="P132">
        <v>0.07423907511540473</v>
      </c>
      <c r="Q132">
        <v>0.343214167696769</v>
      </c>
      <c r="R132" t="s">
        <v>784</v>
      </c>
      <c r="S132" t="s">
        <v>792</v>
      </c>
      <c r="T132">
        <v>42806.174759</v>
      </c>
      <c r="U132" s="2">
        <v>44504</v>
      </c>
      <c r="V132" t="s">
        <v>808</v>
      </c>
    </row>
    <row r="133" spans="1:22">
      <c r="A133" s="1" t="s">
        <v>153</v>
      </c>
      <c r="B133">
        <f>HYPERLINK("https://www.suredividend.com/sure-analysis-TSCO/","Tractor Supply Co.")</f>
        <v>0</v>
      </c>
      <c r="C133">
        <v>236.97</v>
      </c>
      <c r="D133">
        <v>152</v>
      </c>
      <c r="E133">
        <v>1.559013157894737</v>
      </c>
      <c r="F133">
        <v>0.008777482381736085</v>
      </c>
      <c r="G133">
        <v>-0.08498114375381871</v>
      </c>
      <c r="H133">
        <v>0.065</v>
      </c>
      <c r="I133">
        <v>-0.01360865845786563</v>
      </c>
      <c r="J133" t="s">
        <v>780</v>
      </c>
      <c r="K133" t="s">
        <v>530</v>
      </c>
      <c r="L133">
        <v>8.01</v>
      </c>
      <c r="M133">
        <v>2.08</v>
      </c>
      <c r="N133">
        <v>0.2596754057428215</v>
      </c>
      <c r="O133">
        <v>11</v>
      </c>
      <c r="P133">
        <v>0.07599829696383686</v>
      </c>
      <c r="Q133">
        <v>0.6845777585958851</v>
      </c>
      <c r="R133" t="s">
        <v>784</v>
      </c>
      <c r="S133" t="s">
        <v>792</v>
      </c>
      <c r="T133">
        <v>26654.317052</v>
      </c>
      <c r="U133" s="2">
        <v>44491</v>
      </c>
      <c r="V133" t="s">
        <v>808</v>
      </c>
    </row>
    <row r="134" spans="1:22">
      <c r="A134" s="1" t="s">
        <v>154</v>
      </c>
      <c r="B134">
        <f>HYPERLINK("https://www.suredividend.com/sure-analysis-MSA/","MSA Safety Inc")</f>
        <v>0</v>
      </c>
      <c r="C134">
        <v>144.79</v>
      </c>
      <c r="D134">
        <v>92</v>
      </c>
      <c r="E134">
        <v>1.573804347826087</v>
      </c>
      <c r="F134">
        <v>0.01215553560328752</v>
      </c>
      <c r="G134">
        <v>-0.08670758279187596</v>
      </c>
      <c r="H134">
        <v>0.06</v>
      </c>
      <c r="I134">
        <v>-0.01540164705229541</v>
      </c>
      <c r="J134" t="s">
        <v>780</v>
      </c>
      <c r="K134" t="s">
        <v>349</v>
      </c>
      <c r="L134">
        <v>4.4</v>
      </c>
      <c r="M134">
        <v>1.76</v>
      </c>
      <c r="N134">
        <v>0.4</v>
      </c>
      <c r="O134">
        <v>50</v>
      </c>
      <c r="P134">
        <v>0.07099588603959828</v>
      </c>
      <c r="Q134">
        <v>-0.021758443244762</v>
      </c>
      <c r="R134" t="s">
        <v>784</v>
      </c>
      <c r="S134" t="s">
        <v>790</v>
      </c>
      <c r="T134">
        <v>5677.233113</v>
      </c>
      <c r="U134" s="2">
        <v>44504</v>
      </c>
      <c r="V134" t="s">
        <v>803</v>
      </c>
    </row>
    <row r="135" spans="1:22">
      <c r="A135" s="1" t="s">
        <v>155</v>
      </c>
      <c r="B135">
        <f>HYPERLINK("https://www.suredividend.com/sure-analysis-TMP/","Tompkins Financial Corp")</f>
        <v>0</v>
      </c>
      <c r="C135">
        <v>81.61</v>
      </c>
      <c r="D135">
        <v>77</v>
      </c>
      <c r="E135">
        <v>1.05987012987013</v>
      </c>
      <c r="F135">
        <v>0.02793775272638157</v>
      </c>
      <c r="G135">
        <v>-0.01156191765527692</v>
      </c>
      <c r="H135">
        <v>-0.04</v>
      </c>
      <c r="I135">
        <v>-0.0161155944494783</v>
      </c>
      <c r="J135" t="s">
        <v>780</v>
      </c>
      <c r="K135" t="s">
        <v>780</v>
      </c>
      <c r="L135">
        <v>6.45</v>
      </c>
      <c r="M135">
        <v>2.28</v>
      </c>
      <c r="N135">
        <v>0.3534883720930232</v>
      </c>
      <c r="O135">
        <v>35</v>
      </c>
      <c r="P135">
        <v>0.02975477857041309</v>
      </c>
      <c r="Q135">
        <v>0.166421060519019</v>
      </c>
      <c r="R135" t="s">
        <v>784</v>
      </c>
      <c r="S135" t="s">
        <v>794</v>
      </c>
      <c r="T135">
        <v>1163.793491</v>
      </c>
      <c r="U135" s="2">
        <v>44499</v>
      </c>
      <c r="V135" t="s">
        <v>804</v>
      </c>
    </row>
    <row r="136" spans="1:22">
      <c r="A136" s="1" t="s">
        <v>156</v>
      </c>
      <c r="B136">
        <f>HYPERLINK("https://www.suredividend.com/sure-analysis-ECL/","Ecolab, Inc.")</f>
        <v>0</v>
      </c>
      <c r="C136">
        <v>229.18</v>
      </c>
      <c r="D136">
        <v>106</v>
      </c>
      <c r="E136">
        <v>2.162075471698113</v>
      </c>
      <c r="F136">
        <v>0.008901300287983244</v>
      </c>
      <c r="G136">
        <v>-0.1429111801965656</v>
      </c>
      <c r="H136">
        <v>0.13</v>
      </c>
      <c r="I136">
        <v>-0.01898987457638657</v>
      </c>
      <c r="J136" t="s">
        <v>780</v>
      </c>
      <c r="K136" t="s">
        <v>349</v>
      </c>
      <c r="L136">
        <v>5.3</v>
      </c>
      <c r="M136">
        <v>2.04</v>
      </c>
      <c r="N136">
        <v>0.3849056603773585</v>
      </c>
      <c r="O136">
        <v>36</v>
      </c>
      <c r="P136">
        <v>0.0801851873035635</v>
      </c>
      <c r="Q136">
        <v>0.064076088320918</v>
      </c>
      <c r="R136" t="s">
        <v>784</v>
      </c>
      <c r="S136" t="s">
        <v>793</v>
      </c>
      <c r="T136">
        <v>65589.525226</v>
      </c>
      <c r="U136" s="2">
        <v>44496</v>
      </c>
      <c r="V136" t="s">
        <v>807</v>
      </c>
    </row>
    <row r="137" spans="1:22">
      <c r="A137" s="1" t="s">
        <v>157</v>
      </c>
      <c r="B137">
        <f>HYPERLINK("https://www.suredividend.com/sure-analysis-UNF/","Unifirst Corp.")</f>
        <v>0</v>
      </c>
      <c r="C137">
        <v>208.19</v>
      </c>
      <c r="D137">
        <v>130</v>
      </c>
      <c r="E137">
        <v>1.601461538461538</v>
      </c>
      <c r="F137">
        <v>0.005763965608338537</v>
      </c>
      <c r="G137">
        <v>-0.08988410893971277</v>
      </c>
      <c r="H137">
        <v>0.063</v>
      </c>
      <c r="I137">
        <v>-0.02387407544589293</v>
      </c>
      <c r="J137" t="s">
        <v>780</v>
      </c>
      <c r="K137" t="s">
        <v>530</v>
      </c>
      <c r="L137">
        <v>5.9</v>
      </c>
      <c r="M137">
        <v>1.2</v>
      </c>
      <c r="N137">
        <v>0.2033898305084746</v>
      </c>
      <c r="O137">
        <v>4</v>
      </c>
      <c r="P137">
        <v>0.09970250059947383</v>
      </c>
      <c r="Q137">
        <v>0.021786294483515</v>
      </c>
      <c r="R137" t="s">
        <v>784</v>
      </c>
      <c r="S137" t="s">
        <v>790</v>
      </c>
      <c r="T137">
        <v>3134.405421</v>
      </c>
      <c r="U137" s="2">
        <v>44491</v>
      </c>
      <c r="V137" t="s">
        <v>805</v>
      </c>
    </row>
    <row r="138" spans="1:22">
      <c r="A138" s="1" t="s">
        <v>158</v>
      </c>
      <c r="B138">
        <f>HYPERLINK("https://www.suredividend.com/sure-analysis-TR/","Tootsie Roll Industries, Inc.")</f>
        <v>0</v>
      </c>
      <c r="C138">
        <v>38.72</v>
      </c>
      <c r="D138">
        <v>28</v>
      </c>
      <c r="E138">
        <v>1.382857142857143</v>
      </c>
      <c r="F138">
        <v>0.009297520661157025</v>
      </c>
      <c r="G138">
        <v>-0.06277355006034291</v>
      </c>
      <c r="H138">
        <v>0.03</v>
      </c>
      <c r="I138">
        <v>-0.02418031297372703</v>
      </c>
      <c r="J138" t="s">
        <v>780</v>
      </c>
      <c r="K138" t="s">
        <v>349</v>
      </c>
      <c r="L138">
        <v>0.92</v>
      </c>
      <c r="M138">
        <v>0.36</v>
      </c>
      <c r="N138">
        <v>0.3913043478260869</v>
      </c>
      <c r="O138">
        <v>53</v>
      </c>
      <c r="P138">
        <v>0</v>
      </c>
      <c r="Q138">
        <v>0.290690142803368</v>
      </c>
      <c r="R138" t="s">
        <v>784</v>
      </c>
      <c r="S138" t="s">
        <v>795</v>
      </c>
      <c r="T138">
        <v>1496.980183</v>
      </c>
      <c r="U138" s="2">
        <v>44522</v>
      </c>
      <c r="V138" t="s">
        <v>806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71.98999999999999</v>
      </c>
      <c r="D139">
        <v>42</v>
      </c>
      <c r="E139">
        <v>1.714047619047619</v>
      </c>
      <c r="F139">
        <v>0.01041811362689262</v>
      </c>
      <c r="G139">
        <v>-0.1021672905797311</v>
      </c>
      <c r="H139">
        <v>0.07000000000000001</v>
      </c>
      <c r="I139">
        <v>-0.02515878543344163</v>
      </c>
      <c r="J139" t="s">
        <v>780</v>
      </c>
      <c r="K139" t="s">
        <v>349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-0.025763181548882</v>
      </c>
      <c r="R139" t="s">
        <v>784</v>
      </c>
      <c r="S139" t="s">
        <v>795</v>
      </c>
      <c r="T139">
        <v>33585.208832</v>
      </c>
      <c r="U139" s="2">
        <v>44453</v>
      </c>
      <c r="V139" t="s">
        <v>801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179.3</v>
      </c>
      <c r="D140">
        <v>108</v>
      </c>
      <c r="E140">
        <v>1.660185185185185</v>
      </c>
      <c r="F140">
        <v>0.004907975460122699</v>
      </c>
      <c r="G140">
        <v>-0.09641566495310228</v>
      </c>
      <c r="H140">
        <v>0.07000000000000001</v>
      </c>
      <c r="I140">
        <v>-0.02527135578185213</v>
      </c>
      <c r="J140" t="s">
        <v>780</v>
      </c>
      <c r="K140" t="s">
        <v>530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0.440340268304995</v>
      </c>
      <c r="R140" t="s">
        <v>784</v>
      </c>
      <c r="S140" t="s">
        <v>791</v>
      </c>
      <c r="T140">
        <v>2860127.18901</v>
      </c>
      <c r="U140" s="2">
        <v>44500</v>
      </c>
      <c r="V140" t="s">
        <v>803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457.71</v>
      </c>
      <c r="D141">
        <v>271</v>
      </c>
      <c r="E141">
        <v>1.688966789667897</v>
      </c>
      <c r="F141">
        <v>0.008302200083022002</v>
      </c>
      <c r="G141">
        <v>-0.09951646154476412</v>
      </c>
      <c r="H141">
        <v>0.06</v>
      </c>
      <c r="I141">
        <v>-0.03241697432312707</v>
      </c>
      <c r="J141" t="s">
        <v>780</v>
      </c>
      <c r="K141" t="s">
        <v>349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0.303431419266807</v>
      </c>
      <c r="R141" t="s">
        <v>784</v>
      </c>
      <c r="S141" t="s">
        <v>790</v>
      </c>
      <c r="T141">
        <v>46387.62605</v>
      </c>
      <c r="U141" s="2">
        <v>44491</v>
      </c>
      <c r="V141" t="s">
        <v>804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345.64</v>
      </c>
      <c r="D142">
        <v>186</v>
      </c>
      <c r="E142">
        <v>1.858279569892473</v>
      </c>
      <c r="F142">
        <v>0.006365004050457124</v>
      </c>
      <c r="G142">
        <v>-0.116558514237078</v>
      </c>
      <c r="H142">
        <v>0.08</v>
      </c>
      <c r="I142">
        <v>-0.03519065643079455</v>
      </c>
      <c r="J142" t="s">
        <v>780</v>
      </c>
      <c r="K142" t="s">
        <v>349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0.441784926036803</v>
      </c>
      <c r="R142" t="s">
        <v>784</v>
      </c>
      <c r="S142" t="s">
        <v>793</v>
      </c>
      <c r="T142">
        <v>89870.368141</v>
      </c>
      <c r="U142" s="2">
        <v>44495</v>
      </c>
      <c r="V142" t="s">
        <v>803</v>
      </c>
    </row>
    <row r="143" spans="1:22">
      <c r="A143" s="1" t="s">
        <v>163</v>
      </c>
      <c r="B143">
        <f>HYPERLINK("https://www.suredividend.com/sure-analysis-NDSN/","Nordson Corp.")</f>
        <v>0</v>
      </c>
      <c r="C143">
        <v>269.12</v>
      </c>
      <c r="D143">
        <v>165</v>
      </c>
      <c r="E143">
        <v>1.631030303030303</v>
      </c>
      <c r="F143">
        <v>0.00758026159334126</v>
      </c>
      <c r="G143">
        <v>-0.09320817950589377</v>
      </c>
      <c r="H143">
        <v>0.05</v>
      </c>
      <c r="I143">
        <v>-0.0364514663995591</v>
      </c>
      <c r="J143" t="s">
        <v>780</v>
      </c>
      <c r="K143" t="s">
        <v>349</v>
      </c>
      <c r="L143">
        <v>7.85</v>
      </c>
      <c r="M143">
        <v>2.04</v>
      </c>
      <c r="N143">
        <v>0.2598726114649682</v>
      </c>
      <c r="O143">
        <v>58</v>
      </c>
      <c r="P143">
        <v>0.0801851873035635</v>
      </c>
      <c r="Q143">
        <v>0.335617250948729</v>
      </c>
      <c r="R143" t="s">
        <v>784</v>
      </c>
      <c r="S143" t="s">
        <v>790</v>
      </c>
      <c r="T143">
        <v>15374.786142</v>
      </c>
      <c r="U143" s="2">
        <v>44439</v>
      </c>
      <c r="V143" t="s">
        <v>803</v>
      </c>
    </row>
    <row r="144" spans="1:22">
      <c r="A144" s="1" t="s">
        <v>164</v>
      </c>
      <c r="B144">
        <f>HYPERLINK("https://www.suredividend.com/sure-analysis-CWT/","California Water Service Group")</f>
        <v>0</v>
      </c>
      <c r="C144">
        <v>70.66</v>
      </c>
      <c r="D144">
        <v>40</v>
      </c>
      <c r="E144">
        <v>1.7665</v>
      </c>
      <c r="F144">
        <v>0.01302009623549392</v>
      </c>
      <c r="G144">
        <v>-0.1075636082030234</v>
      </c>
      <c r="H144">
        <v>0.05</v>
      </c>
      <c r="I144">
        <v>-0.04358895023513198</v>
      </c>
      <c r="J144" t="s">
        <v>780</v>
      </c>
      <c r="K144" t="s">
        <v>781</v>
      </c>
      <c r="L144">
        <v>2.02</v>
      </c>
      <c r="M144">
        <v>0.92</v>
      </c>
      <c r="N144">
        <v>0.4554455445544555</v>
      </c>
      <c r="O144">
        <v>53</v>
      </c>
      <c r="P144">
        <v>0.05979888147511248</v>
      </c>
      <c r="Q144">
        <v>0.329047629226999</v>
      </c>
      <c r="R144" t="s">
        <v>784</v>
      </c>
      <c r="S144" t="s">
        <v>796</v>
      </c>
      <c r="T144">
        <v>3597.86112</v>
      </c>
      <c r="U144" s="2">
        <v>44504</v>
      </c>
      <c r="V144" t="s">
        <v>801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59.03</v>
      </c>
      <c r="D145">
        <v>30</v>
      </c>
      <c r="E145">
        <v>1.967666666666667</v>
      </c>
      <c r="F145">
        <v>0.008809080128748094</v>
      </c>
      <c r="G145">
        <v>-0.1266070252409915</v>
      </c>
      <c r="H145">
        <v>0.07000000000000001</v>
      </c>
      <c r="I145">
        <v>-0.05200974650072654</v>
      </c>
      <c r="J145" t="s">
        <v>780</v>
      </c>
      <c r="K145" t="s">
        <v>530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0.443386773547094</v>
      </c>
      <c r="R145" t="s">
        <v>784</v>
      </c>
      <c r="S145" t="s">
        <v>794</v>
      </c>
      <c r="T145">
        <v>94526.460529</v>
      </c>
      <c r="U145" s="2">
        <v>44528</v>
      </c>
      <c r="V145" t="s">
        <v>804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332.29</v>
      </c>
      <c r="D146">
        <v>174</v>
      </c>
      <c r="E146">
        <v>1.909712643678161</v>
      </c>
      <c r="F146">
        <v>0.004333564055493695</v>
      </c>
      <c r="G146">
        <v>-0.1213692564049758</v>
      </c>
      <c r="H146">
        <v>0.07000000000000001</v>
      </c>
      <c r="I146">
        <v>-0.05348880172006076</v>
      </c>
      <c r="J146" t="s">
        <v>780</v>
      </c>
      <c r="K146" t="s">
        <v>530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0.562563288514617</v>
      </c>
      <c r="R146" t="s">
        <v>784</v>
      </c>
      <c r="S146" t="s">
        <v>794</v>
      </c>
      <c r="T146">
        <v>13965.094507</v>
      </c>
      <c r="U146" s="2">
        <v>44518</v>
      </c>
      <c r="V146" t="s">
        <v>804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108.22</v>
      </c>
      <c r="D147">
        <v>60</v>
      </c>
      <c r="E147">
        <v>1.803666666666667</v>
      </c>
      <c r="F147">
        <v>0.01848087229717243</v>
      </c>
      <c r="G147">
        <v>-0.1112722434755673</v>
      </c>
      <c r="H147">
        <v>0.037</v>
      </c>
      <c r="I147">
        <v>-0.05408789097071831</v>
      </c>
      <c r="J147" t="s">
        <v>780</v>
      </c>
      <c r="K147" t="s">
        <v>781</v>
      </c>
      <c r="L147">
        <v>22.95</v>
      </c>
      <c r="M147">
        <v>2</v>
      </c>
      <c r="N147">
        <v>0.08714596949891068</v>
      </c>
      <c r="O147">
        <v>49</v>
      </c>
      <c r="P147">
        <v>0</v>
      </c>
      <c r="Q147">
        <v>1.173087262978058</v>
      </c>
      <c r="R147" t="s">
        <v>784</v>
      </c>
      <c r="S147" t="s">
        <v>793</v>
      </c>
      <c r="T147">
        <v>33844.302659</v>
      </c>
      <c r="U147" s="2">
        <v>44491</v>
      </c>
      <c r="V147" t="s">
        <v>808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443.52</v>
      </c>
      <c r="D148">
        <v>211</v>
      </c>
      <c r="E148">
        <v>2.101990521327014</v>
      </c>
      <c r="F148">
        <v>0.001623376623376623</v>
      </c>
      <c r="G148">
        <v>-0.1380663234337894</v>
      </c>
      <c r="H148">
        <v>0.09</v>
      </c>
      <c r="I148">
        <v>-0.05802094954592107</v>
      </c>
      <c r="J148" t="s">
        <v>780</v>
      </c>
      <c r="K148" t="s">
        <v>349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0.620503724939631</v>
      </c>
      <c r="R148" t="s">
        <v>784</v>
      </c>
      <c r="S148" t="s">
        <v>789</v>
      </c>
      <c r="T148">
        <v>31757.233023</v>
      </c>
      <c r="U148" s="2">
        <v>44502</v>
      </c>
      <c r="V148" t="s">
        <v>801</v>
      </c>
    </row>
    <row r="149" spans="1:22">
      <c r="A149" s="1" t="s">
        <v>169</v>
      </c>
      <c r="B149">
        <f>HYPERLINK("https://www.suredividend.com/sure-analysis-RLI/","RLI Corp.")</f>
        <v>0</v>
      </c>
      <c r="C149">
        <v>113.05</v>
      </c>
      <c r="D149">
        <v>67</v>
      </c>
      <c r="E149">
        <v>1.687313432835821</v>
      </c>
      <c r="F149">
        <v>0.008845643520566122</v>
      </c>
      <c r="G149">
        <v>-0.09934005834890069</v>
      </c>
      <c r="H149">
        <v>0.03</v>
      </c>
      <c r="I149">
        <v>-0.05883391271984628</v>
      </c>
      <c r="J149" t="s">
        <v>780</v>
      </c>
      <c r="K149" t="s">
        <v>349</v>
      </c>
      <c r="L149">
        <v>3.5</v>
      </c>
      <c r="M149">
        <v>1</v>
      </c>
      <c r="N149">
        <v>0.2857142857142857</v>
      </c>
      <c r="O149">
        <v>46</v>
      </c>
      <c r="P149">
        <v>0.05061112176150684</v>
      </c>
      <c r="Q149">
        <v>0.119868564642444</v>
      </c>
      <c r="R149" t="s">
        <v>784</v>
      </c>
      <c r="S149" t="s">
        <v>794</v>
      </c>
      <c r="T149">
        <v>5051.548983</v>
      </c>
      <c r="U149" s="2">
        <v>44505</v>
      </c>
      <c r="V149" t="s">
        <v>801</v>
      </c>
    </row>
    <row r="150" spans="1:22">
      <c r="A150" s="1" t="s">
        <v>170</v>
      </c>
      <c r="B150">
        <f>HYPERLINK("https://www.suredividend.com/sure-analysis-AWR/","American States Water Co.")</f>
        <v>0</v>
      </c>
      <c r="C150">
        <v>100.5</v>
      </c>
      <c r="D150">
        <v>60.8</v>
      </c>
      <c r="E150">
        <v>1.65296052631579</v>
      </c>
      <c r="F150">
        <v>0.0145273631840796</v>
      </c>
      <c r="G150">
        <v>-0.09562717602222082</v>
      </c>
      <c r="H150">
        <v>0.015</v>
      </c>
      <c r="I150">
        <v>-0.06138971953376637</v>
      </c>
      <c r="J150" t="s">
        <v>780</v>
      </c>
      <c r="K150" t="s">
        <v>781</v>
      </c>
      <c r="L150">
        <v>2.43</v>
      </c>
      <c r="M150">
        <v>1.46</v>
      </c>
      <c r="N150">
        <v>0.6008230452674896</v>
      </c>
      <c r="O150">
        <v>66</v>
      </c>
      <c r="P150">
        <v>0.01848215809402909</v>
      </c>
      <c r="Q150">
        <v>0.305143267714702</v>
      </c>
      <c r="R150" t="s">
        <v>784</v>
      </c>
      <c r="S150" t="s">
        <v>796</v>
      </c>
      <c r="T150">
        <v>3622.637417</v>
      </c>
      <c r="U150" s="2">
        <v>44506</v>
      </c>
      <c r="V150" t="s">
        <v>808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239.4</v>
      </c>
      <c r="D151">
        <v>97</v>
      </c>
      <c r="E151">
        <v>2.468041237113402</v>
      </c>
      <c r="F151">
        <v>0.006516290726817042</v>
      </c>
      <c r="G151">
        <v>-0.1653017218162589</v>
      </c>
      <c r="H151">
        <v>0.1</v>
      </c>
      <c r="I151">
        <v>-0.07017049138769316</v>
      </c>
      <c r="J151" t="s">
        <v>780</v>
      </c>
      <c r="K151" t="s">
        <v>530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0.823682517838177</v>
      </c>
      <c r="R151" t="s">
        <v>784</v>
      </c>
      <c r="S151" t="s">
        <v>793</v>
      </c>
      <c r="T151">
        <v>28522.335618</v>
      </c>
      <c r="U151" s="2">
        <v>44503</v>
      </c>
      <c r="V151" t="s">
        <v>800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107.36</v>
      </c>
      <c r="D152">
        <v>51</v>
      </c>
      <c r="E152">
        <v>2.105098039215686</v>
      </c>
      <c r="F152">
        <v>0.00745156482861401</v>
      </c>
      <c r="G152">
        <v>-0.1383209488471874</v>
      </c>
      <c r="H152">
        <v>0.05</v>
      </c>
      <c r="I152">
        <v>-0.08103908408894478</v>
      </c>
      <c r="J152" t="s">
        <v>780</v>
      </c>
      <c r="K152" t="s">
        <v>530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0.214631112457513</v>
      </c>
      <c r="R152" t="s">
        <v>784</v>
      </c>
      <c r="S152" t="s">
        <v>790</v>
      </c>
      <c r="T152">
        <v>3096.096411</v>
      </c>
      <c r="U152" s="2">
        <v>44485</v>
      </c>
      <c r="V152" t="s">
        <v>800</v>
      </c>
    </row>
    <row r="153" spans="1:22">
      <c r="A153" s="1" t="s">
        <v>173</v>
      </c>
      <c r="B153">
        <f>HYPERLINK("https://www.suredividend.com/sure-analysis-MSEX/","Middlesex Water Co.")</f>
        <v>0</v>
      </c>
      <c r="C153">
        <v>101.63</v>
      </c>
      <c r="D153">
        <v>48.6</v>
      </c>
      <c r="E153">
        <v>2.091152263374485</v>
      </c>
      <c r="F153">
        <v>0.01141395257305914</v>
      </c>
      <c r="G153">
        <v>-0.1371747047330949</v>
      </c>
      <c r="H153">
        <v>0.045</v>
      </c>
      <c r="I153">
        <v>-0.08137362152296435</v>
      </c>
      <c r="J153" t="s">
        <v>780</v>
      </c>
      <c r="K153" t="s">
        <v>349</v>
      </c>
      <c r="L153">
        <v>2.21</v>
      </c>
      <c r="M153">
        <v>1.16</v>
      </c>
      <c r="N153">
        <v>0.5248868778280543</v>
      </c>
      <c r="O153">
        <v>47</v>
      </c>
      <c r="P153">
        <v>0.006803348678863008</v>
      </c>
      <c r="Q153">
        <v>0.381610553693406</v>
      </c>
      <c r="R153" t="s">
        <v>784</v>
      </c>
      <c r="S153" t="s">
        <v>796</v>
      </c>
      <c r="T153">
        <v>1751.101261</v>
      </c>
      <c r="U153" s="2">
        <v>44506</v>
      </c>
      <c r="V153" t="s">
        <v>808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217.46</v>
      </c>
      <c r="D154">
        <v>265</v>
      </c>
      <c r="E154">
        <v>0.8206037735849057</v>
      </c>
      <c r="F154">
        <v>0.01839418743676998</v>
      </c>
      <c r="G154">
        <v>0.04033521161815257</v>
      </c>
      <c r="H154">
        <v>0.15</v>
      </c>
      <c r="I154">
        <v>0.2052320329973254</v>
      </c>
      <c r="J154" t="s">
        <v>781</v>
      </c>
      <c r="K154" t="s">
        <v>349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0.08050247205717401</v>
      </c>
      <c r="R154" t="s">
        <v>784</v>
      </c>
      <c r="S154" t="s">
        <v>789</v>
      </c>
      <c r="T154">
        <v>71793.884621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22.17</v>
      </c>
      <c r="D155">
        <v>32.5</v>
      </c>
      <c r="E155">
        <v>0.6821538461538462</v>
      </c>
      <c r="F155">
        <v>0.09382047812359043</v>
      </c>
      <c r="G155">
        <v>0.07950220452343748</v>
      </c>
      <c r="H155">
        <v>0.03</v>
      </c>
      <c r="I155">
        <v>0.1703006869869956</v>
      </c>
      <c r="J155" t="s">
        <v>781</v>
      </c>
      <c r="K155" t="s">
        <v>780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-0.230110319768446</v>
      </c>
      <c r="R155" t="s">
        <v>784</v>
      </c>
      <c r="S155" t="s">
        <v>788</v>
      </c>
      <c r="T155">
        <v>159150.6</v>
      </c>
      <c r="U155" s="2">
        <v>44490</v>
      </c>
      <c r="V155" t="s">
        <v>803</v>
      </c>
    </row>
    <row r="156" spans="1:22">
      <c r="A156" s="1" t="s">
        <v>176</v>
      </c>
      <c r="B156">
        <f>HYPERLINK("https://www.suredividend.com/sure-analysis-LAD/","Lithia Motors, Inc.")</f>
        <v>0</v>
      </c>
      <c r="C156">
        <v>284.16</v>
      </c>
      <c r="D156">
        <v>413</v>
      </c>
      <c r="E156">
        <v>0.6880387409200969</v>
      </c>
      <c r="F156">
        <v>0.004926801801801801</v>
      </c>
      <c r="G156">
        <v>0.07764922644991712</v>
      </c>
      <c r="H156">
        <v>0.08</v>
      </c>
      <c r="I156">
        <v>0.1674406833834738</v>
      </c>
      <c r="J156" t="s">
        <v>781</v>
      </c>
      <c r="K156" t="s">
        <v>530</v>
      </c>
      <c r="L156">
        <v>35</v>
      </c>
      <c r="M156">
        <v>1.4</v>
      </c>
      <c r="N156">
        <v>0.04</v>
      </c>
      <c r="O156">
        <v>8</v>
      </c>
      <c r="P156">
        <v>0.09953965407958165</v>
      </c>
      <c r="Q156">
        <v>0.03886587124542101</v>
      </c>
      <c r="R156" t="s">
        <v>784</v>
      </c>
      <c r="S156" t="s">
        <v>792</v>
      </c>
      <c r="T156">
        <v>8447.997519</v>
      </c>
      <c r="U156" s="2">
        <v>44493</v>
      </c>
      <c r="V156" t="s">
        <v>805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48.18</v>
      </c>
      <c r="D157">
        <v>61</v>
      </c>
      <c r="E157">
        <v>0.7898360655737705</v>
      </c>
      <c r="F157">
        <v>0.020755500207555</v>
      </c>
      <c r="G157">
        <v>0.04831695001683944</v>
      </c>
      <c r="H157">
        <v>0.09</v>
      </c>
      <c r="I157">
        <v>0.1581338578621696</v>
      </c>
      <c r="J157" t="s">
        <v>781</v>
      </c>
      <c r="K157" t="s">
        <v>781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-0.030689530413209</v>
      </c>
      <c r="R157" t="s">
        <v>784</v>
      </c>
      <c r="S157" t="s">
        <v>788</v>
      </c>
      <c r="T157">
        <v>222320.179949</v>
      </c>
      <c r="U157" s="2">
        <v>44506</v>
      </c>
      <c r="V157" t="s">
        <v>809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43.1</v>
      </c>
      <c r="D158">
        <v>60</v>
      </c>
      <c r="E158">
        <v>0.7183333333333334</v>
      </c>
      <c r="F158">
        <v>0.04361948955916473</v>
      </c>
      <c r="G158">
        <v>0.06840225514777765</v>
      </c>
      <c r="H158">
        <v>0.05</v>
      </c>
      <c r="I158">
        <v>0.1512840830010562</v>
      </c>
      <c r="J158" t="s">
        <v>781</v>
      </c>
      <c r="K158" t="s">
        <v>780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0.100030605998775</v>
      </c>
      <c r="R158" t="s">
        <v>785</v>
      </c>
      <c r="S158" t="s">
        <v>794</v>
      </c>
      <c r="T158">
        <v>4863.601505</v>
      </c>
      <c r="U158" s="2">
        <v>44508</v>
      </c>
      <c r="V158" t="s">
        <v>806</v>
      </c>
    </row>
    <row r="159" spans="1:22">
      <c r="A159" s="1" t="s">
        <v>179</v>
      </c>
      <c r="B159">
        <f>HYPERLINK("https://www.suredividend.com/sure-analysis-NC/","Nacco Industries Inc.")</f>
        <v>0</v>
      </c>
      <c r="C159">
        <v>29.32</v>
      </c>
      <c r="D159">
        <v>59</v>
      </c>
      <c r="E159">
        <v>0.4969491525423729</v>
      </c>
      <c r="F159">
        <v>0.02694406548431105</v>
      </c>
      <c r="G159">
        <v>0.1501053114743043</v>
      </c>
      <c r="H159">
        <v>-0.02</v>
      </c>
      <c r="I159">
        <v>0.1458625168769982</v>
      </c>
      <c r="J159" t="s">
        <v>781</v>
      </c>
      <c r="K159" t="s">
        <v>781</v>
      </c>
      <c r="L159">
        <v>6.5</v>
      </c>
      <c r="M159">
        <v>0.79</v>
      </c>
      <c r="N159">
        <v>0.1215384615384615</v>
      </c>
      <c r="O159">
        <v>36</v>
      </c>
      <c r="P159">
        <v>0.05036164940748145</v>
      </c>
      <c r="Q159">
        <v>0.052903353587369</v>
      </c>
      <c r="R159" t="s">
        <v>784</v>
      </c>
      <c r="S159" t="s">
        <v>797</v>
      </c>
      <c r="T159">
        <v>166.924826</v>
      </c>
      <c r="U159" s="2">
        <v>44506</v>
      </c>
      <c r="V159" t="s">
        <v>800</v>
      </c>
    </row>
    <row r="160" spans="1:22">
      <c r="A160" s="1" t="s">
        <v>180</v>
      </c>
      <c r="B160">
        <f>HYPERLINK("https://www.suredividend.com/sure-analysis-VZ/","Verizon Communications Inc")</f>
        <v>0</v>
      </c>
      <c r="C160">
        <v>50.55</v>
      </c>
      <c r="D160">
        <v>70</v>
      </c>
      <c r="E160">
        <v>0.7221428571428571</v>
      </c>
      <c r="F160">
        <v>0.05064292779426311</v>
      </c>
      <c r="G160">
        <v>0.06727263945219009</v>
      </c>
      <c r="H160">
        <v>0.04</v>
      </c>
      <c r="I160">
        <v>0.1433423032736856</v>
      </c>
      <c r="J160" t="s">
        <v>781</v>
      </c>
      <c r="K160" t="s">
        <v>780</v>
      </c>
      <c r="L160">
        <v>5.38</v>
      </c>
      <c r="M160">
        <v>2.56</v>
      </c>
      <c r="N160">
        <v>0.4758364312267658</v>
      </c>
      <c r="O160">
        <v>17</v>
      </c>
      <c r="P160">
        <v>0.02025632080394812</v>
      </c>
      <c r="Q160">
        <v>-0.108279357679448</v>
      </c>
      <c r="R160" t="s">
        <v>784</v>
      </c>
      <c r="S160" t="s">
        <v>788</v>
      </c>
      <c r="T160">
        <v>212617.245958</v>
      </c>
      <c r="U160" s="2">
        <v>44489</v>
      </c>
      <c r="V160" t="s">
        <v>800</v>
      </c>
    </row>
    <row r="161" spans="1:22">
      <c r="A161" s="1" t="s">
        <v>181</v>
      </c>
      <c r="B161">
        <f>HYPERLINK("https://www.suredividend.com/sure-analysis-OGN/","Organon &amp; Co.")</f>
        <v>0</v>
      </c>
      <c r="C161">
        <v>29.33</v>
      </c>
      <c r="D161">
        <v>44</v>
      </c>
      <c r="E161">
        <v>0.666590909090909</v>
      </c>
      <c r="F161">
        <v>0.03818615751789977</v>
      </c>
      <c r="G161">
        <v>0.08449641996403079</v>
      </c>
      <c r="H161">
        <v>0.03</v>
      </c>
      <c r="I161">
        <v>0.1426719857222625</v>
      </c>
      <c r="J161" t="s">
        <v>781</v>
      </c>
      <c r="K161" t="s">
        <v>780</v>
      </c>
      <c r="L161">
        <v>6.3</v>
      </c>
      <c r="M161">
        <v>1.12</v>
      </c>
      <c r="N161">
        <v>0.1777777777777778</v>
      </c>
      <c r="O161">
        <v>0</v>
      </c>
      <c r="P161">
        <v>0.03025579475561258</v>
      </c>
      <c r="Q161">
        <v>-0.132330827067669</v>
      </c>
      <c r="R161" t="s">
        <v>784</v>
      </c>
      <c r="S161" t="s">
        <v>789</v>
      </c>
      <c r="T161">
        <v>7314.918337</v>
      </c>
      <c r="U161" s="2">
        <v>44512</v>
      </c>
      <c r="V161" t="s">
        <v>800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14.4</v>
      </c>
      <c r="D162">
        <v>16</v>
      </c>
      <c r="E162">
        <v>0.9</v>
      </c>
      <c r="F162">
        <v>0.0486111111111111</v>
      </c>
      <c r="G162">
        <v>0.02129568760013512</v>
      </c>
      <c r="H162">
        <v>0.07000000000000001</v>
      </c>
      <c r="I162">
        <v>0.1318014077735243</v>
      </c>
      <c r="J162" t="s">
        <v>781</v>
      </c>
      <c r="K162" t="s">
        <v>780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-0.414876033057851</v>
      </c>
      <c r="R162" t="s">
        <v>784</v>
      </c>
      <c r="S162" t="s">
        <v>794</v>
      </c>
      <c r="T162">
        <v>52728.844537</v>
      </c>
      <c r="U162" s="2">
        <v>44517</v>
      </c>
      <c r="V162" t="s">
        <v>799</v>
      </c>
    </row>
    <row r="163" spans="1:22">
      <c r="A163" s="1" t="s">
        <v>183</v>
      </c>
      <c r="B163">
        <f>HYPERLINK("https://www.suredividend.com/sure-analysis-ENB/","Enbridge Inc")</f>
        <v>0</v>
      </c>
      <c r="C163">
        <v>37.08</v>
      </c>
      <c r="D163">
        <v>43</v>
      </c>
      <c r="E163">
        <v>0.8623255813953488</v>
      </c>
      <c r="F163">
        <v>0.07254584681769148</v>
      </c>
      <c r="G163">
        <v>0.03006764516156424</v>
      </c>
      <c r="H163">
        <v>0.04</v>
      </c>
      <c r="I163">
        <v>0.1279105097357609</v>
      </c>
      <c r="J163" t="s">
        <v>781</v>
      </c>
      <c r="K163" t="s">
        <v>780</v>
      </c>
      <c r="L163">
        <v>3.88</v>
      </c>
      <c r="M163">
        <v>2.69</v>
      </c>
      <c r="N163">
        <v>0.6932989690721649</v>
      </c>
      <c r="O163">
        <v>26</v>
      </c>
      <c r="P163">
        <v>0.04486096680385954</v>
      </c>
      <c r="Q163">
        <v>0.20004110389652</v>
      </c>
      <c r="R163" t="s">
        <v>784</v>
      </c>
      <c r="S163" t="s">
        <v>797</v>
      </c>
      <c r="T163">
        <v>75710.21881200001</v>
      </c>
      <c r="U163" s="2">
        <v>44505</v>
      </c>
      <c r="V163" t="s">
        <v>801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138.41</v>
      </c>
      <c r="D164">
        <v>160</v>
      </c>
      <c r="E164">
        <v>0.8650625</v>
      </c>
      <c r="F164">
        <v>0.01632829997832527</v>
      </c>
      <c r="G164">
        <v>0.02941502505553606</v>
      </c>
      <c r="H164">
        <v>0.08</v>
      </c>
      <c r="I164">
        <v>0.1251871036675904</v>
      </c>
      <c r="J164" t="s">
        <v>781</v>
      </c>
      <c r="K164" t="s">
        <v>349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0.136151312564777</v>
      </c>
      <c r="R164" t="s">
        <v>784</v>
      </c>
      <c r="S164" t="s">
        <v>791</v>
      </c>
      <c r="T164">
        <v>166584.856013</v>
      </c>
      <c r="U164" s="2">
        <v>44507</v>
      </c>
      <c r="V164" t="s">
        <v>801</v>
      </c>
    </row>
    <row r="165" spans="1:22">
      <c r="A165" s="1" t="s">
        <v>185</v>
      </c>
      <c r="B165">
        <f>HYPERLINK("https://www.suredividend.com/sure-analysis-AMGN/","AMGEN Inc.")</f>
        <v>0</v>
      </c>
      <c r="C165">
        <v>219.25</v>
      </c>
      <c r="D165">
        <v>225</v>
      </c>
      <c r="E165">
        <v>0.9744444444444444</v>
      </c>
      <c r="F165">
        <v>0.03539338654503991</v>
      </c>
      <c r="G165">
        <v>0.005190980886603747</v>
      </c>
      <c r="H165">
        <v>0.09</v>
      </c>
      <c r="I165">
        <v>0.1242565372311946</v>
      </c>
      <c r="J165" t="s">
        <v>781</v>
      </c>
      <c r="K165" t="s">
        <v>781</v>
      </c>
      <c r="L165">
        <v>16.8</v>
      </c>
      <c r="M165">
        <v>7.76</v>
      </c>
      <c r="N165">
        <v>0.4619047619047619</v>
      </c>
      <c r="O165">
        <v>11</v>
      </c>
      <c r="P165">
        <v>0.06894004502112439</v>
      </c>
      <c r="Q165">
        <v>-0.0396914648277</v>
      </c>
      <c r="R165" t="s">
        <v>784</v>
      </c>
      <c r="S165" t="s">
        <v>789</v>
      </c>
      <c r="T165">
        <v>120392.453893</v>
      </c>
      <c r="U165" s="2">
        <v>44503</v>
      </c>
      <c r="V165" t="s">
        <v>800</v>
      </c>
    </row>
    <row r="166" spans="1:22">
      <c r="A166" s="1" t="s">
        <v>186</v>
      </c>
      <c r="B166">
        <f>HYPERLINK("https://www.suredividend.com/sure-analysis-IPG/","Interpublic Group Of Cos., Inc.")</f>
        <v>0</v>
      </c>
      <c r="C166">
        <v>36.38</v>
      </c>
      <c r="D166">
        <v>41</v>
      </c>
      <c r="E166">
        <v>0.8873170731707317</v>
      </c>
      <c r="F166">
        <v>0.0296866410115448</v>
      </c>
      <c r="G166">
        <v>0.02419872863731509</v>
      </c>
      <c r="H166">
        <v>0.07000000000000001</v>
      </c>
      <c r="I166">
        <v>0.1197913581085941</v>
      </c>
      <c r="J166" t="s">
        <v>781</v>
      </c>
      <c r="K166" t="s">
        <v>781</v>
      </c>
      <c r="L166">
        <v>2.58</v>
      </c>
      <c r="M166">
        <v>1.08</v>
      </c>
      <c r="N166">
        <v>0.4186046511627907</v>
      </c>
      <c r="O166">
        <v>10</v>
      </c>
      <c r="P166">
        <v>0.06504410274056371</v>
      </c>
      <c r="Q166">
        <v>0.599514690222229</v>
      </c>
      <c r="R166" t="s">
        <v>784</v>
      </c>
      <c r="S166" t="s">
        <v>788</v>
      </c>
      <c r="T166">
        <v>14431.130279</v>
      </c>
      <c r="U166" s="2">
        <v>44494</v>
      </c>
      <c r="V166" t="s">
        <v>799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20.93</v>
      </c>
      <c r="D167">
        <v>24.1</v>
      </c>
      <c r="E167">
        <v>0.8684647302904563</v>
      </c>
      <c r="F167">
        <v>0.08600095556617296</v>
      </c>
      <c r="G167">
        <v>0.02860720685875173</v>
      </c>
      <c r="H167">
        <v>0.026</v>
      </c>
      <c r="I167">
        <v>0.1197545132584956</v>
      </c>
      <c r="J167" t="s">
        <v>781</v>
      </c>
      <c r="K167" t="s">
        <v>780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0.06408025386426401</v>
      </c>
      <c r="R167" t="s">
        <v>785</v>
      </c>
      <c r="S167" t="s">
        <v>797</v>
      </c>
      <c r="T167">
        <v>45366.481806</v>
      </c>
      <c r="U167" s="2">
        <v>44506</v>
      </c>
      <c r="V167" t="s">
        <v>808</v>
      </c>
    </row>
    <row r="168" spans="1:22">
      <c r="A168" s="1" t="s">
        <v>188</v>
      </c>
      <c r="B168">
        <f>HYPERLINK("https://www.suredividend.com/sure-analysis-SUN/","Sunoco LP")</f>
        <v>0</v>
      </c>
      <c r="C168">
        <v>37.57</v>
      </c>
      <c r="D168">
        <v>46</v>
      </c>
      <c r="E168">
        <v>0.8167391304347826</v>
      </c>
      <c r="F168">
        <v>0.08783603939313281</v>
      </c>
      <c r="G168">
        <v>0.04131788430086192</v>
      </c>
      <c r="H168">
        <v>0.015</v>
      </c>
      <c r="I168">
        <v>0.1194713534933793</v>
      </c>
      <c r="J168" t="s">
        <v>781</v>
      </c>
      <c r="K168" t="s">
        <v>780</v>
      </c>
      <c r="L168">
        <v>7</v>
      </c>
      <c r="M168">
        <v>3.3</v>
      </c>
      <c r="N168">
        <v>0.4714285714285714</v>
      </c>
      <c r="O168">
        <v>0</v>
      </c>
      <c r="P168">
        <v>0</v>
      </c>
      <c r="Q168">
        <v>0.378338710092735</v>
      </c>
      <c r="R168" t="s">
        <v>785</v>
      </c>
      <c r="S168" t="s">
        <v>797</v>
      </c>
      <c r="T168">
        <v>3123.204049</v>
      </c>
      <c r="U168" s="2">
        <v>44507</v>
      </c>
      <c r="V168" t="s">
        <v>801</v>
      </c>
    </row>
    <row r="169" spans="1:22">
      <c r="A169" s="1" t="s">
        <v>189</v>
      </c>
      <c r="B169">
        <f>HYPERLINK("https://www.suredividend.com/sure-analysis-MURGF/","Münchener Rückversicherungs-Gesellschaft AG")</f>
        <v>0</v>
      </c>
      <c r="C169">
        <v>277</v>
      </c>
      <c r="D169">
        <v>338</v>
      </c>
      <c r="E169">
        <v>0.8195266272189349</v>
      </c>
      <c r="F169">
        <v>0.04693140794223827</v>
      </c>
      <c r="G169">
        <v>0.04060854126431712</v>
      </c>
      <c r="H169">
        <v>0.04</v>
      </c>
      <c r="I169">
        <v>0.1193017695492617</v>
      </c>
      <c r="J169" t="s">
        <v>781</v>
      </c>
      <c r="K169" t="s">
        <v>780</v>
      </c>
      <c r="L169">
        <v>27</v>
      </c>
      <c r="M169">
        <v>13</v>
      </c>
      <c r="N169">
        <v>0.4814814814814815</v>
      </c>
      <c r="O169">
        <v>6</v>
      </c>
      <c r="P169">
        <v>0.0499789846479779</v>
      </c>
      <c r="Q169">
        <v>-0.04155565551365</v>
      </c>
      <c r="R169" t="s">
        <v>784</v>
      </c>
      <c r="S169" t="s">
        <v>794</v>
      </c>
      <c r="T169">
        <v>38807.403887</v>
      </c>
      <c r="U169" s="2">
        <v>44516</v>
      </c>
      <c r="V169" t="s">
        <v>799</v>
      </c>
    </row>
    <row r="170" spans="1:22">
      <c r="A170" s="1" t="s">
        <v>190</v>
      </c>
      <c r="B170">
        <f>HYPERLINK("https://www.suredividend.com/sure-analysis-FNV/","Franco-Nevada Corporation")</f>
        <v>0</v>
      </c>
      <c r="C170">
        <v>129.9</v>
      </c>
      <c r="D170">
        <v>161</v>
      </c>
      <c r="E170">
        <v>0.806832298136646</v>
      </c>
      <c r="F170">
        <v>0.009237875288683603</v>
      </c>
      <c r="G170">
        <v>0.04386261738844133</v>
      </c>
      <c r="H170">
        <v>0.065</v>
      </c>
      <c r="I170">
        <v>0.119265373386761</v>
      </c>
      <c r="J170" t="s">
        <v>781</v>
      </c>
      <c r="K170" t="s">
        <v>530</v>
      </c>
      <c r="L170">
        <v>3.49</v>
      </c>
      <c r="M170">
        <v>1.2</v>
      </c>
      <c r="N170">
        <v>0.3438395415472779</v>
      </c>
      <c r="O170">
        <v>14</v>
      </c>
      <c r="P170">
        <v>0.0796084730466029</v>
      </c>
      <c r="Q170">
        <v>0.01599785059458</v>
      </c>
      <c r="R170" t="s">
        <v>784</v>
      </c>
      <c r="S170" t="s">
        <v>793</v>
      </c>
      <c r="T170">
        <v>25015.591897</v>
      </c>
      <c r="U170" s="2">
        <v>44508</v>
      </c>
      <c r="V170" t="s">
        <v>805</v>
      </c>
    </row>
    <row r="171" spans="1:22">
      <c r="A171" s="1" t="s">
        <v>191</v>
      </c>
      <c r="B171">
        <f>HYPERLINK("https://www.suredividend.com/sure-analysis-INTC/","Intel Corp.")</f>
        <v>0</v>
      </c>
      <c r="C171">
        <v>50.67</v>
      </c>
      <c r="D171">
        <v>63</v>
      </c>
      <c r="E171">
        <v>0.8042857142857143</v>
      </c>
      <c r="F171">
        <v>0.02743240576277876</v>
      </c>
      <c r="G171">
        <v>0.04452281146715098</v>
      </c>
      <c r="H171">
        <v>0.05</v>
      </c>
      <c r="I171">
        <v>0.1178879231045225</v>
      </c>
      <c r="J171" t="s">
        <v>781</v>
      </c>
      <c r="K171" t="s">
        <v>781</v>
      </c>
      <c r="L171">
        <v>5.28</v>
      </c>
      <c r="M171">
        <v>1.39</v>
      </c>
      <c r="N171">
        <v>0.2632575757575757</v>
      </c>
      <c r="O171">
        <v>7</v>
      </c>
      <c r="P171">
        <v>0.04952235417884254</v>
      </c>
      <c r="Q171">
        <v>0.010240628341213</v>
      </c>
      <c r="R171" t="s">
        <v>784</v>
      </c>
      <c r="S171" t="s">
        <v>791</v>
      </c>
      <c r="T171">
        <v>202129.9</v>
      </c>
      <c r="U171" s="2">
        <v>44491</v>
      </c>
      <c r="V171" t="s">
        <v>800</v>
      </c>
    </row>
    <row r="172" spans="1:22">
      <c r="A172" s="1" t="s">
        <v>192</v>
      </c>
      <c r="B172">
        <f>HYPERLINK("https://www.suredividend.com/sure-analysis-TTE/","TotalEnergies SE")</f>
        <v>0</v>
      </c>
      <c r="C172">
        <v>50.09</v>
      </c>
      <c r="D172">
        <v>71</v>
      </c>
      <c r="E172">
        <v>0.7054929577464789</v>
      </c>
      <c r="F172">
        <v>0.06148931922539429</v>
      </c>
      <c r="G172">
        <v>0.07226335336943746</v>
      </c>
      <c r="H172">
        <v>0</v>
      </c>
      <c r="I172">
        <v>0.1165794620951599</v>
      </c>
      <c r="J172" t="s">
        <v>781</v>
      </c>
      <c r="K172" t="s">
        <v>780</v>
      </c>
      <c r="L172">
        <v>5.9</v>
      </c>
      <c r="M172">
        <v>3.08</v>
      </c>
      <c r="N172">
        <v>0.5220338983050847</v>
      </c>
      <c r="O172">
        <v>3</v>
      </c>
      <c r="P172">
        <v>0.01142428402057938</v>
      </c>
      <c r="Q172">
        <v>0.156316413634388</v>
      </c>
      <c r="R172" t="s">
        <v>784</v>
      </c>
      <c r="S172" t="s">
        <v>797</v>
      </c>
      <c r="T172">
        <v>130014.74016</v>
      </c>
      <c r="U172" s="2">
        <v>44501</v>
      </c>
      <c r="V172" t="s">
        <v>807</v>
      </c>
    </row>
    <row r="173" spans="1:22">
      <c r="A173" s="1" t="s">
        <v>193</v>
      </c>
      <c r="B173">
        <f>HYPERLINK("https://www.suredividend.com/sure-analysis-NVS/","Novartis AG")</f>
        <v>0</v>
      </c>
      <c r="C173">
        <v>81.52</v>
      </c>
      <c r="D173">
        <v>100</v>
      </c>
      <c r="E173">
        <v>0.8151999999999999</v>
      </c>
      <c r="F173">
        <v>0.03925417075564279</v>
      </c>
      <c r="G173">
        <v>0.04171079769986896</v>
      </c>
      <c r="H173">
        <v>0.04</v>
      </c>
      <c r="I173">
        <v>0.1137171390990805</v>
      </c>
      <c r="J173" t="s">
        <v>781</v>
      </c>
      <c r="K173" t="s">
        <v>780</v>
      </c>
      <c r="L173">
        <v>6.28</v>
      </c>
      <c r="M173">
        <v>3.2</v>
      </c>
      <c r="N173">
        <v>0.5095541401273885</v>
      </c>
      <c r="O173">
        <v>25</v>
      </c>
      <c r="P173">
        <v>0.03982420952666454</v>
      </c>
      <c r="Q173">
        <v>-0.07427722060321801</v>
      </c>
      <c r="R173" t="s">
        <v>784</v>
      </c>
      <c r="S173" t="s">
        <v>789</v>
      </c>
      <c r="T173">
        <v>196189.981943</v>
      </c>
      <c r="U173" s="2">
        <v>44496</v>
      </c>
      <c r="V173" t="s">
        <v>800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127.69</v>
      </c>
      <c r="D174">
        <v>151</v>
      </c>
      <c r="E174">
        <v>0.8456291390728476</v>
      </c>
      <c r="F174">
        <v>0.03445845406844703</v>
      </c>
      <c r="G174">
        <v>0.03410350960369057</v>
      </c>
      <c r="H174">
        <v>0.05</v>
      </c>
      <c r="I174">
        <v>0.1131742189564451</v>
      </c>
      <c r="J174" t="s">
        <v>781</v>
      </c>
      <c r="K174" t="s">
        <v>781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0.010279787036384</v>
      </c>
      <c r="R174" t="s">
        <v>784</v>
      </c>
      <c r="S174" t="s">
        <v>796</v>
      </c>
      <c r="T174">
        <v>40283.268956</v>
      </c>
      <c r="U174" s="2">
        <v>44516</v>
      </c>
      <c r="V174" t="s">
        <v>807</v>
      </c>
    </row>
    <row r="175" spans="1:22">
      <c r="A175" s="1" t="s">
        <v>195</v>
      </c>
      <c r="B175">
        <f>HYPERLINK("https://www.suredividend.com/sure-analysis-WU/","Western Union Company")</f>
        <v>0</v>
      </c>
      <c r="C175">
        <v>18.095</v>
      </c>
      <c r="D175">
        <v>23</v>
      </c>
      <c r="E175">
        <v>0.7867391304347826</v>
      </c>
      <c r="F175">
        <v>0.05194805194805195</v>
      </c>
      <c r="G175">
        <v>0.04914097657675764</v>
      </c>
      <c r="H175">
        <v>0.02</v>
      </c>
      <c r="I175">
        <v>0.1113604204425991</v>
      </c>
      <c r="J175" t="s">
        <v>781</v>
      </c>
      <c r="K175" t="s">
        <v>780</v>
      </c>
      <c r="L175">
        <v>2.07</v>
      </c>
      <c r="M175">
        <v>0.9399999999999999</v>
      </c>
      <c r="N175">
        <v>0.4541062801932367</v>
      </c>
      <c r="O175">
        <v>7</v>
      </c>
      <c r="P175">
        <v>0.03933463380769542</v>
      </c>
      <c r="Q175">
        <v>-0.141752334245024</v>
      </c>
      <c r="R175" t="s">
        <v>784</v>
      </c>
      <c r="S175" t="s">
        <v>791</v>
      </c>
      <c r="T175">
        <v>7316.520994</v>
      </c>
      <c r="U175" s="2">
        <v>44517</v>
      </c>
      <c r="V175" t="s">
        <v>806</v>
      </c>
    </row>
    <row r="176" spans="1:22">
      <c r="A176" s="1" t="s">
        <v>196</v>
      </c>
      <c r="B176">
        <f>HYPERLINK("https://www.suredividend.com/sure-analysis-OMC/","Omnicom Group, Inc.")</f>
        <v>0</v>
      </c>
      <c r="C176">
        <v>72.56</v>
      </c>
      <c r="D176">
        <v>87</v>
      </c>
      <c r="E176">
        <v>0.8340229885057472</v>
      </c>
      <c r="F176">
        <v>0.03858875413450936</v>
      </c>
      <c r="G176">
        <v>0.03696571042199404</v>
      </c>
      <c r="H176">
        <v>0.04</v>
      </c>
      <c r="I176">
        <v>0.1101251795072293</v>
      </c>
      <c r="J176" t="s">
        <v>781</v>
      </c>
      <c r="K176" t="s">
        <v>781</v>
      </c>
      <c r="L176">
        <v>6.2</v>
      </c>
      <c r="M176">
        <v>2.8</v>
      </c>
      <c r="N176">
        <v>0.4516129032258064</v>
      </c>
      <c r="O176">
        <v>1</v>
      </c>
      <c r="P176">
        <v>0.05502951838285242</v>
      </c>
      <c r="Q176">
        <v>0.177452222643136</v>
      </c>
      <c r="R176" t="s">
        <v>784</v>
      </c>
      <c r="S176" t="s">
        <v>788</v>
      </c>
      <c r="T176">
        <v>15327.595021</v>
      </c>
      <c r="U176" s="2">
        <v>44491</v>
      </c>
      <c r="V176" t="s">
        <v>801</v>
      </c>
    </row>
    <row r="177" spans="1:22">
      <c r="A177" s="1" t="s">
        <v>197</v>
      </c>
      <c r="B177">
        <f>HYPERLINK("https://www.suredividend.com/sure-analysis-DDS/","Dillard`s Inc.")</f>
        <v>0</v>
      </c>
      <c r="C177">
        <v>260.1</v>
      </c>
      <c r="D177">
        <v>391</v>
      </c>
      <c r="E177">
        <v>0.6652173913043479</v>
      </c>
      <c r="F177">
        <v>0.003075740099961553</v>
      </c>
      <c r="G177">
        <v>0.08494389665794611</v>
      </c>
      <c r="H177">
        <v>0.02</v>
      </c>
      <c r="I177">
        <v>0.1089821199033281</v>
      </c>
      <c r="J177" t="s">
        <v>781</v>
      </c>
      <c r="K177" t="s">
        <v>530</v>
      </c>
      <c r="L177">
        <v>35.5</v>
      </c>
      <c r="M177">
        <v>0.8</v>
      </c>
      <c r="N177">
        <v>0.02253521126760564</v>
      </c>
      <c r="O177">
        <v>11</v>
      </c>
      <c r="P177">
        <v>0.04563955259127317</v>
      </c>
      <c r="Q177">
        <v>4.139235644324946</v>
      </c>
      <c r="R177" t="s">
        <v>784</v>
      </c>
      <c r="S177" t="s">
        <v>792</v>
      </c>
      <c r="T177">
        <v>3927.175561</v>
      </c>
      <c r="U177" s="2">
        <v>44529</v>
      </c>
      <c r="V177" t="s">
        <v>801</v>
      </c>
    </row>
    <row r="178" spans="1:22">
      <c r="A178" s="1" t="s">
        <v>198</v>
      </c>
      <c r="B178">
        <f>HYPERLINK("https://www.suredividend.com/sure-analysis-FLIC/","First Of Long Island Corp.")</f>
        <v>0</v>
      </c>
      <c r="C178">
        <v>21.85</v>
      </c>
      <c r="D178">
        <v>24</v>
      </c>
      <c r="E178">
        <v>0.9104166666666668</v>
      </c>
      <c r="F178">
        <v>0.03661327231121281</v>
      </c>
      <c r="G178">
        <v>0.0189478565777399</v>
      </c>
      <c r="H178">
        <v>0.055</v>
      </c>
      <c r="I178">
        <v>0.1064217992798697</v>
      </c>
      <c r="J178" t="s">
        <v>781</v>
      </c>
      <c r="K178" t="s">
        <v>780</v>
      </c>
      <c r="L178">
        <v>1.85</v>
      </c>
      <c r="M178">
        <v>0.8</v>
      </c>
      <c r="N178">
        <v>0.4324324324324325</v>
      </c>
      <c r="O178">
        <v>13</v>
      </c>
      <c r="P178">
        <v>0.06576275663547415</v>
      </c>
      <c r="Q178">
        <v>0.256259487376337</v>
      </c>
      <c r="R178" t="s">
        <v>784</v>
      </c>
      <c r="S178" t="s">
        <v>794</v>
      </c>
      <c r="T178">
        <v>510.13787</v>
      </c>
      <c r="U178" s="2">
        <v>44506</v>
      </c>
      <c r="V178" t="s">
        <v>801</v>
      </c>
    </row>
    <row r="179" spans="1:22">
      <c r="A179" s="1" t="s">
        <v>199</v>
      </c>
      <c r="B179">
        <f>HYPERLINK("https://www.suredividend.com/sure-analysis-MO/","Altria Group Inc.")</f>
        <v>0</v>
      </c>
      <c r="C179">
        <v>45.96</v>
      </c>
      <c r="D179">
        <v>50.8</v>
      </c>
      <c r="E179">
        <v>0.9047244094488189</v>
      </c>
      <c r="F179">
        <v>0.0783289817232376</v>
      </c>
      <c r="G179">
        <v>0.02022682530179987</v>
      </c>
      <c r="H179">
        <v>0.022</v>
      </c>
      <c r="I179">
        <v>0.105308730747707</v>
      </c>
      <c r="J179" t="s">
        <v>781</v>
      </c>
      <c r="K179" t="s">
        <v>780</v>
      </c>
      <c r="L179">
        <v>4.62</v>
      </c>
      <c r="M179">
        <v>3.6</v>
      </c>
      <c r="N179">
        <v>0.7792207792207793</v>
      </c>
      <c r="O179">
        <v>52</v>
      </c>
      <c r="P179">
        <v>0.02129568760013512</v>
      </c>
      <c r="Q179">
        <v>0.13842666425942</v>
      </c>
      <c r="R179" t="s">
        <v>784</v>
      </c>
      <c r="S179" t="s">
        <v>795</v>
      </c>
      <c r="T179">
        <v>83399.292519</v>
      </c>
      <c r="U179" s="2">
        <v>44506</v>
      </c>
      <c r="V179" t="s">
        <v>808</v>
      </c>
    </row>
    <row r="180" spans="1:22">
      <c r="A180" s="1" t="s">
        <v>200</v>
      </c>
      <c r="B180">
        <f>HYPERLINK("https://www.suredividend.com/sure-analysis-GEF/","Greif Inc")</f>
        <v>0</v>
      </c>
      <c r="C180">
        <v>59.49</v>
      </c>
      <c r="D180">
        <v>84</v>
      </c>
      <c r="E180">
        <v>0.7082142857142857</v>
      </c>
      <c r="F180">
        <v>0.03092956799462095</v>
      </c>
      <c r="G180">
        <v>0.07143804508661367</v>
      </c>
      <c r="H180">
        <v>0.01</v>
      </c>
      <c r="I180">
        <v>0.1050259695284403</v>
      </c>
      <c r="J180" t="s">
        <v>781</v>
      </c>
      <c r="K180" t="s">
        <v>781</v>
      </c>
      <c r="L180">
        <v>6</v>
      </c>
      <c r="M180">
        <v>1.84</v>
      </c>
      <c r="N180">
        <v>0.3066666666666667</v>
      </c>
      <c r="O180">
        <v>1</v>
      </c>
      <c r="P180">
        <v>0.01884169405651681</v>
      </c>
      <c r="Q180">
        <v>0.319384790228028</v>
      </c>
      <c r="R180" t="s">
        <v>784</v>
      </c>
      <c r="S180" t="s">
        <v>792</v>
      </c>
      <c r="T180">
        <v>2851.553891</v>
      </c>
      <c r="U180" s="2">
        <v>44544</v>
      </c>
      <c r="V180" t="s">
        <v>803</v>
      </c>
    </row>
    <row r="181" spans="1:22">
      <c r="A181" s="1" t="s">
        <v>201</v>
      </c>
      <c r="B181">
        <f>HYPERLINK("https://www.suredividend.com/sure-analysis-MRK/","Merck &amp; Co Inc")</f>
        <v>0</v>
      </c>
      <c r="C181">
        <v>75.29000000000001</v>
      </c>
      <c r="D181">
        <v>85</v>
      </c>
      <c r="E181">
        <v>0.885764705882353</v>
      </c>
      <c r="F181">
        <v>0.03665825474830654</v>
      </c>
      <c r="G181">
        <v>0.0245574738377099</v>
      </c>
      <c r="H181">
        <v>0.05</v>
      </c>
      <c r="I181">
        <v>0.1047973597031262</v>
      </c>
      <c r="J181" t="s">
        <v>781</v>
      </c>
      <c r="K181" t="s">
        <v>781</v>
      </c>
      <c r="L181">
        <v>5.68</v>
      </c>
      <c r="M181">
        <v>2.76</v>
      </c>
      <c r="N181">
        <v>0.4859154929577464</v>
      </c>
      <c r="O181">
        <v>11</v>
      </c>
      <c r="P181">
        <v>0.03763783845459012</v>
      </c>
      <c r="Q181">
        <v>-0.04884046788997901</v>
      </c>
      <c r="R181" t="s">
        <v>784</v>
      </c>
      <c r="S181" t="s">
        <v>789</v>
      </c>
      <c r="T181">
        <v>186212.586962</v>
      </c>
      <c r="U181" s="2">
        <v>44500</v>
      </c>
      <c r="V181" t="s">
        <v>800</v>
      </c>
    </row>
    <row r="182" spans="1:22">
      <c r="A182" s="1" t="s">
        <v>202</v>
      </c>
      <c r="B182">
        <f>HYPERLINK("https://www.suredividend.com/sure-analysis-SWX/","Southwest Gas Holdings Inc")</f>
        <v>0</v>
      </c>
      <c r="C182">
        <v>69.29000000000001</v>
      </c>
      <c r="D182">
        <v>76</v>
      </c>
      <c r="E182">
        <v>0.9117105263157895</v>
      </c>
      <c r="F182">
        <v>0.03434839082118631</v>
      </c>
      <c r="G182">
        <v>0.01865848303025697</v>
      </c>
      <c r="H182">
        <v>0.055</v>
      </c>
      <c r="I182">
        <v>0.1030431689191535</v>
      </c>
      <c r="J182" t="s">
        <v>781</v>
      </c>
      <c r="K182" t="s">
        <v>781</v>
      </c>
      <c r="L182">
        <v>4.1</v>
      </c>
      <c r="M182">
        <v>2.38</v>
      </c>
      <c r="N182">
        <v>0.5804878048780489</v>
      </c>
      <c r="O182">
        <v>14</v>
      </c>
      <c r="P182">
        <v>0.05016931709648742</v>
      </c>
      <c r="Q182">
        <v>0.106742391146061</v>
      </c>
      <c r="R182" t="s">
        <v>784</v>
      </c>
      <c r="S182" t="s">
        <v>796</v>
      </c>
      <c r="T182">
        <v>4130.339746</v>
      </c>
      <c r="U182" s="2">
        <v>44511</v>
      </c>
      <c r="V182" t="s">
        <v>805</v>
      </c>
    </row>
    <row r="183" spans="1:22">
      <c r="A183" s="1" t="s">
        <v>203</v>
      </c>
      <c r="B183">
        <f>HYPERLINK("https://www.suredividend.com/sure-analysis-BNS/","Bank Of Nova Scotia")</f>
        <v>0</v>
      </c>
      <c r="C183">
        <v>67.48</v>
      </c>
      <c r="D183">
        <v>72</v>
      </c>
      <c r="E183">
        <v>0.9372222222222223</v>
      </c>
      <c r="F183">
        <v>0.0463841138114997</v>
      </c>
      <c r="G183">
        <v>0.01305140801651605</v>
      </c>
      <c r="H183">
        <v>0.05</v>
      </c>
      <c r="I183">
        <v>0.1027427035996371</v>
      </c>
      <c r="J183" t="s">
        <v>781</v>
      </c>
      <c r="K183" t="s">
        <v>780</v>
      </c>
      <c r="L183">
        <v>6.33</v>
      </c>
      <c r="M183">
        <v>3.13</v>
      </c>
      <c r="N183">
        <v>0.4944707740916272</v>
      </c>
      <c r="O183">
        <v>9</v>
      </c>
      <c r="P183">
        <v>0.0497495850210754</v>
      </c>
      <c r="Q183">
        <v>0.315551856533789</v>
      </c>
      <c r="R183" t="s">
        <v>784</v>
      </c>
      <c r="S183" t="s">
        <v>794</v>
      </c>
      <c r="T183">
        <v>81451.920791</v>
      </c>
      <c r="U183" s="2">
        <v>44530</v>
      </c>
      <c r="V183" t="s">
        <v>809</v>
      </c>
    </row>
    <row r="184" spans="1:22">
      <c r="A184" s="1" t="s">
        <v>204</v>
      </c>
      <c r="B184">
        <f>HYPERLINK("https://www.suredividend.com/sure-analysis-HBI/","Hanesbrands Inc")</f>
        <v>0</v>
      </c>
      <c r="C184">
        <v>16.82</v>
      </c>
      <c r="D184">
        <v>18</v>
      </c>
      <c r="E184">
        <v>0.9344444444444444</v>
      </c>
      <c r="F184">
        <v>0.0356718192627824</v>
      </c>
      <c r="G184">
        <v>0.01365298291097217</v>
      </c>
      <c r="H184">
        <v>0.06</v>
      </c>
      <c r="I184">
        <v>0.1011967802384099</v>
      </c>
      <c r="J184" t="s">
        <v>781</v>
      </c>
      <c r="K184" t="s">
        <v>780</v>
      </c>
      <c r="L184">
        <v>1.82</v>
      </c>
      <c r="M184">
        <v>0.6</v>
      </c>
      <c r="N184">
        <v>0.3296703296703297</v>
      </c>
      <c r="O184">
        <v>0</v>
      </c>
      <c r="P184">
        <v>0.01613736474159566</v>
      </c>
      <c r="Q184">
        <v>0.253320925206009</v>
      </c>
      <c r="R184" t="s">
        <v>784</v>
      </c>
      <c r="S184" t="s">
        <v>792</v>
      </c>
      <c r="T184">
        <v>5831.715367</v>
      </c>
      <c r="U184" s="2">
        <v>44512</v>
      </c>
      <c r="V184" t="s">
        <v>807</v>
      </c>
    </row>
    <row r="185" spans="1:22">
      <c r="A185" s="1" t="s">
        <v>205</v>
      </c>
      <c r="B185">
        <f>HYPERLINK("https://www.suredividend.com/sure-analysis-RDEIY/","Red Electrica Corporacion S.A.")</f>
        <v>0</v>
      </c>
      <c r="C185">
        <v>10.5</v>
      </c>
      <c r="D185">
        <v>10.5</v>
      </c>
      <c r="E185">
        <v>1</v>
      </c>
      <c r="F185">
        <v>0.05714285714285714</v>
      </c>
      <c r="G185">
        <v>0</v>
      </c>
      <c r="H185">
        <v>0.05</v>
      </c>
      <c r="I185">
        <v>0.09978729030878575</v>
      </c>
      <c r="J185" t="s">
        <v>781</v>
      </c>
      <c r="K185" t="s">
        <v>780</v>
      </c>
      <c r="L185">
        <v>1.75</v>
      </c>
      <c r="M185">
        <v>0.6</v>
      </c>
      <c r="N185">
        <v>0.3428571428571429</v>
      </c>
      <c r="O185">
        <v>5</v>
      </c>
      <c r="P185">
        <v>0.05115774595007161</v>
      </c>
      <c r="Q185">
        <v>0.027120315581853</v>
      </c>
      <c r="R185" t="s">
        <v>784</v>
      </c>
      <c r="S185" t="s">
        <v>796</v>
      </c>
      <c r="T185">
        <v>11270.6964</v>
      </c>
      <c r="U185" s="2">
        <v>44500</v>
      </c>
      <c r="V185" t="s">
        <v>800</v>
      </c>
    </row>
    <row r="186" spans="1:22">
      <c r="A186" s="1" t="s">
        <v>206</v>
      </c>
      <c r="B186">
        <f>HYPERLINK("https://www.suredividend.com/sure-analysis-BLK/","Blackrock Inc.")</f>
        <v>0</v>
      </c>
      <c r="C186">
        <v>914.91</v>
      </c>
      <c r="D186">
        <v>802</v>
      </c>
      <c r="E186">
        <v>1.140785536159601</v>
      </c>
      <c r="F186">
        <v>0.01805642085013827</v>
      </c>
      <c r="G186">
        <v>-0.02599945752422428</v>
      </c>
      <c r="H186">
        <v>0.11</v>
      </c>
      <c r="I186">
        <v>0.09882585961921309</v>
      </c>
      <c r="J186" t="s">
        <v>781</v>
      </c>
      <c r="K186" t="s">
        <v>349</v>
      </c>
      <c r="L186">
        <v>38.2</v>
      </c>
      <c r="M186">
        <v>16.52</v>
      </c>
      <c r="N186">
        <v>0.4324607329842932</v>
      </c>
      <c r="O186">
        <v>11</v>
      </c>
      <c r="P186">
        <v>0.1100226421779109</v>
      </c>
      <c r="Q186">
        <v>0.345438372293613</v>
      </c>
      <c r="R186" t="s">
        <v>784</v>
      </c>
      <c r="S186" t="s">
        <v>794</v>
      </c>
      <c r="T186">
        <v>137087.022181</v>
      </c>
      <c r="U186" s="2">
        <v>44484</v>
      </c>
      <c r="V186" t="s">
        <v>809</v>
      </c>
    </row>
    <row r="187" spans="1:22">
      <c r="A187" s="1" t="s">
        <v>207</v>
      </c>
      <c r="B187">
        <f>HYPERLINK("https://www.suredividend.com/sure-analysis-BMO/","Bank of Montreal")</f>
        <v>0</v>
      </c>
      <c r="C187">
        <v>108.99</v>
      </c>
      <c r="D187">
        <v>114</v>
      </c>
      <c r="E187">
        <v>0.9560526315789474</v>
      </c>
      <c r="F187">
        <v>0.03807688778787045</v>
      </c>
      <c r="G187">
        <v>0.009028980235301187</v>
      </c>
      <c r="H187">
        <v>0.055</v>
      </c>
      <c r="I187">
        <v>0.09874188245914173</v>
      </c>
      <c r="J187" t="s">
        <v>781</v>
      </c>
      <c r="K187" t="s">
        <v>780</v>
      </c>
      <c r="L187">
        <v>10.23</v>
      </c>
      <c r="M187">
        <v>4.15</v>
      </c>
      <c r="N187">
        <v>0.4056695992179863</v>
      </c>
      <c r="O187">
        <v>9</v>
      </c>
      <c r="P187">
        <v>0.06997831883783956</v>
      </c>
      <c r="Q187">
        <v>0.483952748037705</v>
      </c>
      <c r="R187" t="s">
        <v>784</v>
      </c>
      <c r="S187" t="s">
        <v>794</v>
      </c>
      <c r="T187">
        <v>69886.012105</v>
      </c>
      <c r="U187" s="2">
        <v>44535</v>
      </c>
      <c r="V187" t="s">
        <v>809</v>
      </c>
    </row>
    <row r="188" spans="1:22">
      <c r="A188" s="1" t="s">
        <v>208</v>
      </c>
      <c r="B188">
        <f>HYPERLINK("https://www.suredividend.com/sure-analysis-YUM/","Yum Brands Inc.")</f>
        <v>0</v>
      </c>
      <c r="C188">
        <v>132.42</v>
      </c>
      <c r="D188">
        <v>113</v>
      </c>
      <c r="E188">
        <v>1.171858407079646</v>
      </c>
      <c r="F188">
        <v>0.01510345869204048</v>
      </c>
      <c r="G188">
        <v>-0.03122042927091151</v>
      </c>
      <c r="H188">
        <v>0.12</v>
      </c>
      <c r="I188">
        <v>0.09776413389130578</v>
      </c>
      <c r="J188" t="s">
        <v>781</v>
      </c>
      <c r="K188" t="s">
        <v>530</v>
      </c>
      <c r="L188">
        <v>4.65</v>
      </c>
      <c r="M188">
        <v>2</v>
      </c>
      <c r="N188">
        <v>0.4301075268817204</v>
      </c>
      <c r="O188">
        <v>4</v>
      </c>
      <c r="P188">
        <v>0.0602809527753625</v>
      </c>
      <c r="Q188">
        <v>0.272061580155106</v>
      </c>
      <c r="R188" t="s">
        <v>784</v>
      </c>
      <c r="S188" t="s">
        <v>792</v>
      </c>
      <c r="T188">
        <v>38690.638265</v>
      </c>
      <c r="U188" s="2">
        <v>44510</v>
      </c>
      <c r="V188" t="s">
        <v>807</v>
      </c>
    </row>
    <row r="189" spans="1:22">
      <c r="A189" s="1" t="s">
        <v>209</v>
      </c>
      <c r="B189">
        <f>HYPERLINK("https://www.suredividend.com/sure-analysis-LMT/","Lockheed Martin Corp.")</f>
        <v>0</v>
      </c>
      <c r="C189">
        <v>344.42</v>
      </c>
      <c r="D189">
        <v>359</v>
      </c>
      <c r="E189">
        <v>0.9593871866295265</v>
      </c>
      <c r="F189">
        <v>0.03251843679228848</v>
      </c>
      <c r="G189">
        <v>0.008326583882762861</v>
      </c>
      <c r="H189">
        <v>0.06</v>
      </c>
      <c r="I189">
        <v>0.09771648244255426</v>
      </c>
      <c r="J189" t="s">
        <v>781</v>
      </c>
      <c r="K189" t="s">
        <v>781</v>
      </c>
      <c r="L189">
        <v>22.45</v>
      </c>
      <c r="M189">
        <v>11.2</v>
      </c>
      <c r="N189">
        <v>0.4988864142538975</v>
      </c>
      <c r="O189">
        <v>20</v>
      </c>
      <c r="P189">
        <v>0.06810541783933033</v>
      </c>
      <c r="Q189">
        <v>-0.004356301254521001</v>
      </c>
      <c r="R189" t="s">
        <v>784</v>
      </c>
      <c r="S189" t="s">
        <v>790</v>
      </c>
      <c r="T189">
        <v>95322.82512199999</v>
      </c>
      <c r="U189" s="2">
        <v>44502</v>
      </c>
      <c r="V189" t="s">
        <v>806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57.6</v>
      </c>
      <c r="D190">
        <v>56</v>
      </c>
      <c r="E190">
        <v>1.028571428571429</v>
      </c>
      <c r="F190">
        <v>0.03541666666666667</v>
      </c>
      <c r="G190">
        <v>-0.005618333193698977</v>
      </c>
      <c r="H190">
        <v>0.07000000000000001</v>
      </c>
      <c r="I190">
        <v>0.09692304530404905</v>
      </c>
      <c r="J190" t="s">
        <v>781</v>
      </c>
      <c r="K190" t="s">
        <v>781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0.150389527432676</v>
      </c>
      <c r="R190" t="s">
        <v>785</v>
      </c>
      <c r="S190" t="s">
        <v>796</v>
      </c>
      <c r="T190">
        <v>16812.92056</v>
      </c>
      <c r="U190" s="2">
        <v>44506</v>
      </c>
      <c r="V190" t="s">
        <v>809</v>
      </c>
    </row>
    <row r="191" spans="1:22">
      <c r="A191" s="1" t="s">
        <v>211</v>
      </c>
      <c r="B191">
        <f>HYPERLINK("https://www.suredividend.com/sure-analysis-TDS/","Telephone And Data Systems, Inc.")</f>
        <v>0</v>
      </c>
      <c r="C191">
        <v>19.79</v>
      </c>
      <c r="D191">
        <v>25</v>
      </c>
      <c r="E191">
        <v>0.7916</v>
      </c>
      <c r="F191">
        <v>0.03537139969681657</v>
      </c>
      <c r="G191">
        <v>0.04784933688607795</v>
      </c>
      <c r="H191">
        <v>0.02</v>
      </c>
      <c r="I191">
        <v>0.09690131755109466</v>
      </c>
      <c r="J191" t="s">
        <v>781</v>
      </c>
      <c r="K191" t="s">
        <v>780</v>
      </c>
      <c r="L191">
        <v>0.93</v>
      </c>
      <c r="M191">
        <v>0.7</v>
      </c>
      <c r="N191">
        <v>0.7526881720430106</v>
      </c>
      <c r="O191">
        <v>45</v>
      </c>
      <c r="P191">
        <v>0.02962100943384161</v>
      </c>
      <c r="Q191">
        <v>0.09436130338431201</v>
      </c>
      <c r="R191" t="s">
        <v>784</v>
      </c>
      <c r="S191" t="s">
        <v>788</v>
      </c>
      <c r="T191">
        <v>2147.644</v>
      </c>
      <c r="U191" s="2">
        <v>44515</v>
      </c>
      <c r="V191" t="s">
        <v>805</v>
      </c>
    </row>
    <row r="192" spans="1:22">
      <c r="A192" s="1" t="s">
        <v>212</v>
      </c>
      <c r="B192">
        <f>HYPERLINK("https://www.suredividend.com/sure-analysis-IMO/","Imperial Oil Ltd.")</f>
        <v>0</v>
      </c>
      <c r="C192">
        <v>33.19</v>
      </c>
      <c r="D192">
        <v>39</v>
      </c>
      <c r="E192">
        <v>0.8510256410256409</v>
      </c>
      <c r="F192">
        <v>0.02500753238927388</v>
      </c>
      <c r="G192">
        <v>0.03278868421900727</v>
      </c>
      <c r="H192">
        <v>0.04</v>
      </c>
      <c r="I192">
        <v>0.09623945027372049</v>
      </c>
      <c r="J192" t="s">
        <v>781</v>
      </c>
      <c r="K192" t="s">
        <v>781</v>
      </c>
      <c r="L192">
        <v>2.8</v>
      </c>
      <c r="M192">
        <v>0.83</v>
      </c>
      <c r="N192">
        <v>0.2964285714285714</v>
      </c>
      <c r="O192">
        <v>6</v>
      </c>
      <c r="P192">
        <v>0.06924192562875131</v>
      </c>
      <c r="Q192">
        <v>0.774186630064126</v>
      </c>
      <c r="R192" t="s">
        <v>784</v>
      </c>
      <c r="S192" t="s">
        <v>797</v>
      </c>
      <c r="T192">
        <v>22688.996438</v>
      </c>
      <c r="U192" s="2">
        <v>44502</v>
      </c>
      <c r="V192" t="s">
        <v>807</v>
      </c>
    </row>
    <row r="193" spans="1:22">
      <c r="A193" s="1" t="s">
        <v>213</v>
      </c>
      <c r="B193">
        <f>HYPERLINK("https://www.suredividend.com/sure-analysis-HRB/","H&amp;R Block Inc.")</f>
        <v>0</v>
      </c>
      <c r="C193">
        <v>24.16</v>
      </c>
      <c r="D193">
        <v>26.6</v>
      </c>
      <c r="E193">
        <v>0.9082706766917292</v>
      </c>
      <c r="F193">
        <v>0.04470198675496689</v>
      </c>
      <c r="G193">
        <v>0.01942890001268971</v>
      </c>
      <c r="H193">
        <v>0.037</v>
      </c>
      <c r="I193">
        <v>0.09610385110360409</v>
      </c>
      <c r="J193" t="s">
        <v>781</v>
      </c>
      <c r="K193" t="s">
        <v>780</v>
      </c>
      <c r="L193">
        <v>2.84</v>
      </c>
      <c r="M193">
        <v>1.08</v>
      </c>
      <c r="N193">
        <v>0.3802816901408451</v>
      </c>
      <c r="O193">
        <v>6</v>
      </c>
      <c r="P193">
        <v>0.05327276858309027</v>
      </c>
      <c r="Q193">
        <v>0.566810473765729</v>
      </c>
      <c r="R193" t="s">
        <v>784</v>
      </c>
      <c r="S193" t="s">
        <v>792</v>
      </c>
      <c r="T193">
        <v>4139.5855</v>
      </c>
      <c r="U193" s="2">
        <v>44509</v>
      </c>
      <c r="V193" t="s">
        <v>808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54.04</v>
      </c>
      <c r="D194">
        <v>53</v>
      </c>
      <c r="E194">
        <v>1.019622641509434</v>
      </c>
      <c r="F194">
        <v>0.03256846780162843</v>
      </c>
      <c r="G194">
        <v>-0.003878977164316177</v>
      </c>
      <c r="H194">
        <v>0.07000000000000001</v>
      </c>
      <c r="I194">
        <v>0.09609303526792812</v>
      </c>
      <c r="J194" t="s">
        <v>781</v>
      </c>
      <c r="K194" t="s">
        <v>781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0.259333921100449</v>
      </c>
      <c r="R194" t="s">
        <v>784</v>
      </c>
      <c r="S194" t="s">
        <v>794</v>
      </c>
      <c r="T194">
        <v>31548.219429</v>
      </c>
      <c r="U194" s="2">
        <v>44510</v>
      </c>
      <c r="V194" t="s">
        <v>801</v>
      </c>
    </row>
    <row r="195" spans="1:22">
      <c r="A195" s="1" t="s">
        <v>215</v>
      </c>
      <c r="B195">
        <f>HYPERLINK("https://www.suredividend.com/sure-analysis-NTIOF/","National Bank of Canada")</f>
        <v>0</v>
      </c>
      <c r="C195">
        <v>74.14</v>
      </c>
      <c r="D195">
        <v>77</v>
      </c>
      <c r="E195">
        <v>0.9628571428571429</v>
      </c>
      <c r="F195">
        <v>0.0302131103318047</v>
      </c>
      <c r="G195">
        <v>0.007598770053559356</v>
      </c>
      <c r="H195">
        <v>0.06</v>
      </c>
      <c r="I195">
        <v>0.09597074606914457</v>
      </c>
      <c r="J195" t="s">
        <v>781</v>
      </c>
      <c r="K195" t="s">
        <v>781</v>
      </c>
      <c r="L195">
        <v>6.73</v>
      </c>
      <c r="M195">
        <v>2.24</v>
      </c>
      <c r="N195">
        <v>0.3328380386329866</v>
      </c>
      <c r="O195">
        <v>9</v>
      </c>
      <c r="P195">
        <v>0.0799150058822331</v>
      </c>
      <c r="Q195">
        <v>0.319415081042988</v>
      </c>
      <c r="R195" t="s">
        <v>784</v>
      </c>
      <c r="S195" t="s">
        <v>794</v>
      </c>
      <c r="T195">
        <v>25306.772183</v>
      </c>
      <c r="U195" s="2">
        <v>44436</v>
      </c>
      <c r="V195" t="s">
        <v>809</v>
      </c>
    </row>
    <row r="196" spans="1:22">
      <c r="A196" s="1" t="s">
        <v>216</v>
      </c>
      <c r="B196">
        <f>HYPERLINK("https://www.suredividend.com/sure-analysis-FOXA/","Fox Corporation")</f>
        <v>0</v>
      </c>
      <c r="C196">
        <v>36.25</v>
      </c>
      <c r="D196">
        <v>43</v>
      </c>
      <c r="E196">
        <v>0.8430232558139535</v>
      </c>
      <c r="F196">
        <v>0.01324137931034483</v>
      </c>
      <c r="G196">
        <v>0.03474202752189148</v>
      </c>
      <c r="H196">
        <v>0.05</v>
      </c>
      <c r="I196">
        <v>0.09581984775406815</v>
      </c>
      <c r="J196" t="s">
        <v>781</v>
      </c>
      <c r="K196" t="s">
        <v>349</v>
      </c>
      <c r="L196">
        <v>2.84</v>
      </c>
      <c r="M196">
        <v>0.48</v>
      </c>
      <c r="N196">
        <v>0.1690140845070423</v>
      </c>
      <c r="O196">
        <v>0</v>
      </c>
      <c r="P196">
        <v>0</v>
      </c>
      <c r="Q196">
        <v>0.26519517692689</v>
      </c>
      <c r="R196" t="s">
        <v>784</v>
      </c>
      <c r="S196" t="s">
        <v>788</v>
      </c>
      <c r="T196">
        <v>19868.117967</v>
      </c>
      <c r="U196" s="2">
        <v>44528</v>
      </c>
      <c r="V196" t="s">
        <v>802</v>
      </c>
    </row>
    <row r="197" spans="1:22">
      <c r="A197" s="1" t="s">
        <v>217</v>
      </c>
      <c r="B197">
        <f>HYPERLINK("https://www.suredividend.com/sure-analysis-HII/","Huntington Ingalls Industries Inc")</f>
        <v>0</v>
      </c>
      <c r="C197">
        <v>189.41</v>
      </c>
      <c r="D197">
        <v>209</v>
      </c>
      <c r="E197">
        <v>0.906267942583732</v>
      </c>
      <c r="F197">
        <v>0.02491948682751702</v>
      </c>
      <c r="G197">
        <v>0.01987906328433575</v>
      </c>
      <c r="H197">
        <v>0.05</v>
      </c>
      <c r="I197">
        <v>0.09388490598391264</v>
      </c>
      <c r="J197" t="s">
        <v>781</v>
      </c>
      <c r="K197" t="s">
        <v>781</v>
      </c>
      <c r="L197">
        <v>14.95</v>
      </c>
      <c r="M197">
        <v>4.72</v>
      </c>
      <c r="N197">
        <v>0.3157190635451505</v>
      </c>
      <c r="O197">
        <v>10</v>
      </c>
      <c r="P197">
        <v>0.08014856837381279</v>
      </c>
      <c r="Q197">
        <v>0.08915257846051601</v>
      </c>
      <c r="R197" t="s">
        <v>784</v>
      </c>
      <c r="S197" t="s">
        <v>790</v>
      </c>
      <c r="T197">
        <v>7459.357828</v>
      </c>
      <c r="U197" s="2">
        <v>44516</v>
      </c>
      <c r="V197" t="s">
        <v>806</v>
      </c>
    </row>
    <row r="198" spans="1:22">
      <c r="A198" s="1" t="s">
        <v>218</v>
      </c>
      <c r="B198">
        <f>HYPERLINK("https://www.suredividend.com/sure-analysis-CIO/","City Office REIT Inc")</f>
        <v>0</v>
      </c>
      <c r="C198">
        <v>17.8</v>
      </c>
      <c r="D198">
        <v>14.8</v>
      </c>
      <c r="E198">
        <v>1.202702702702703</v>
      </c>
      <c r="F198">
        <v>0.03370786516853932</v>
      </c>
      <c r="G198">
        <v>-0.03624123099256649</v>
      </c>
      <c r="H198">
        <v>0.1</v>
      </c>
      <c r="I198">
        <v>0.09385096403968229</v>
      </c>
      <c r="J198" t="s">
        <v>781</v>
      </c>
      <c r="K198" t="s">
        <v>781</v>
      </c>
      <c r="L198">
        <v>1.31</v>
      </c>
      <c r="M198">
        <v>0.6</v>
      </c>
      <c r="N198">
        <v>0.4580152671755725</v>
      </c>
      <c r="O198">
        <v>0</v>
      </c>
      <c r="P198">
        <v>0.1008397341583922</v>
      </c>
      <c r="Q198">
        <v>0.8855139181689111</v>
      </c>
      <c r="R198" t="s">
        <v>786</v>
      </c>
      <c r="S198" t="s">
        <v>798</v>
      </c>
      <c r="T198">
        <v>763.508194</v>
      </c>
      <c r="U198" s="2">
        <v>44513</v>
      </c>
      <c r="V198" t="s">
        <v>799</v>
      </c>
    </row>
    <row r="199" spans="1:22">
      <c r="A199" s="1" t="s">
        <v>219</v>
      </c>
      <c r="B199">
        <f>HYPERLINK("https://www.suredividend.com/sure-analysis-KDP/","Keurig Dr Pepper Inc")</f>
        <v>0</v>
      </c>
      <c r="C199">
        <v>35.65</v>
      </c>
      <c r="D199">
        <v>32</v>
      </c>
      <c r="E199">
        <v>1.1140625</v>
      </c>
      <c r="F199">
        <v>0.01991584852734923</v>
      </c>
      <c r="G199">
        <v>-0.02137098279294569</v>
      </c>
      <c r="H199">
        <v>0.1</v>
      </c>
      <c r="I199">
        <v>0.0932182063707081</v>
      </c>
      <c r="J199" t="s">
        <v>781</v>
      </c>
      <c r="K199" t="s">
        <v>349</v>
      </c>
      <c r="L199">
        <v>1.6</v>
      </c>
      <c r="M199">
        <v>0.71</v>
      </c>
      <c r="N199">
        <v>0.44375</v>
      </c>
      <c r="O199">
        <v>1</v>
      </c>
      <c r="P199">
        <v>0.05088842545712402</v>
      </c>
      <c r="Q199">
        <v>0.178293323116528</v>
      </c>
      <c r="R199" t="s">
        <v>784</v>
      </c>
      <c r="S199" t="s">
        <v>795</v>
      </c>
      <c r="T199">
        <v>49713.733486</v>
      </c>
      <c r="U199" s="2">
        <v>44530</v>
      </c>
      <c r="V199" t="s">
        <v>806</v>
      </c>
    </row>
    <row r="200" spans="1:22">
      <c r="A200" s="1" t="s">
        <v>220</v>
      </c>
      <c r="B200">
        <f>HYPERLINK("https://www.suredividend.com/sure-analysis-EVRG/","Evergy Inc")</f>
        <v>0</v>
      </c>
      <c r="C200">
        <v>67.83</v>
      </c>
      <c r="D200">
        <v>65</v>
      </c>
      <c r="E200">
        <v>1.043538461538462</v>
      </c>
      <c r="F200">
        <v>0.0337608727701607</v>
      </c>
      <c r="G200">
        <v>-0.008487239303152316</v>
      </c>
      <c r="H200">
        <v>0.07000000000000001</v>
      </c>
      <c r="I200">
        <v>0.09213115681414563</v>
      </c>
      <c r="J200" t="s">
        <v>781</v>
      </c>
      <c r="K200" t="s">
        <v>781</v>
      </c>
      <c r="L200">
        <v>3.55</v>
      </c>
      <c r="M200">
        <v>2.29</v>
      </c>
      <c r="N200">
        <v>0.6450704225352113</v>
      </c>
      <c r="O200">
        <v>17</v>
      </c>
      <c r="P200">
        <v>0.07318952131901812</v>
      </c>
      <c r="Q200">
        <v>0.278574269787164</v>
      </c>
      <c r="R200" t="s">
        <v>784</v>
      </c>
      <c r="S200" t="s">
        <v>796</v>
      </c>
      <c r="T200">
        <v>15404.555386</v>
      </c>
      <c r="U200" s="2">
        <v>44508</v>
      </c>
      <c r="V200" t="s">
        <v>807</v>
      </c>
    </row>
    <row r="201" spans="1:22">
      <c r="A201" s="1" t="s">
        <v>221</v>
      </c>
      <c r="B201">
        <f>HYPERLINK("https://www.suredividend.com/sure-analysis-CMI/","Cummins Inc.")</f>
        <v>0</v>
      </c>
      <c r="C201">
        <v>218.6</v>
      </c>
      <c r="D201">
        <v>207</v>
      </c>
      <c r="E201">
        <v>1.056038647342995</v>
      </c>
      <c r="F201">
        <v>0.02653247941445563</v>
      </c>
      <c r="G201">
        <v>-0.01084571300212478</v>
      </c>
      <c r="H201">
        <v>0.08</v>
      </c>
      <c r="I201">
        <v>0.09093946172566691</v>
      </c>
      <c r="J201" t="s">
        <v>781</v>
      </c>
      <c r="K201" t="s">
        <v>781</v>
      </c>
      <c r="L201">
        <v>15.92</v>
      </c>
      <c r="M201">
        <v>5.8</v>
      </c>
      <c r="N201">
        <v>0.364321608040201</v>
      </c>
      <c r="O201">
        <v>16</v>
      </c>
      <c r="P201">
        <v>0.0499309672496191</v>
      </c>
      <c r="Q201">
        <v>0.024397673276833</v>
      </c>
      <c r="R201" t="s">
        <v>784</v>
      </c>
      <c r="S201" t="s">
        <v>790</v>
      </c>
      <c r="T201">
        <v>30977.83764</v>
      </c>
      <c r="U201" s="2">
        <v>44502</v>
      </c>
      <c r="V201" t="s">
        <v>800</v>
      </c>
    </row>
    <row r="202" spans="1:22">
      <c r="A202" s="1" t="s">
        <v>222</v>
      </c>
      <c r="B202">
        <f>HYPERLINK("https://www.suredividend.com/sure-analysis-BR/","Broadridge Financial Solutions, Inc.")</f>
        <v>0</v>
      </c>
      <c r="C202">
        <v>178.02</v>
      </c>
      <c r="D202">
        <v>160</v>
      </c>
      <c r="E202">
        <v>1.112625</v>
      </c>
      <c r="F202">
        <v>0.01438040669587687</v>
      </c>
      <c r="G202">
        <v>-0.02111823766181442</v>
      </c>
      <c r="H202">
        <v>0.1</v>
      </c>
      <c r="I202">
        <v>0.09076298517111758</v>
      </c>
      <c r="J202" t="s">
        <v>781</v>
      </c>
      <c r="K202" t="s">
        <v>349</v>
      </c>
      <c r="L202">
        <v>6.39</v>
      </c>
      <c r="M202">
        <v>2.56</v>
      </c>
      <c r="N202">
        <v>0.4006259780907668</v>
      </c>
      <c r="O202">
        <v>13</v>
      </c>
      <c r="P202">
        <v>0.09984491222048941</v>
      </c>
      <c r="Q202">
        <v>0.232977778889319</v>
      </c>
      <c r="R202" t="s">
        <v>784</v>
      </c>
      <c r="S202" t="s">
        <v>791</v>
      </c>
      <c r="T202">
        <v>20690.275509</v>
      </c>
      <c r="U202" s="2">
        <v>44512</v>
      </c>
      <c r="V202" t="s">
        <v>805</v>
      </c>
    </row>
    <row r="203" spans="1:22">
      <c r="A203" s="1" t="s">
        <v>223</v>
      </c>
      <c r="B203">
        <f>HYPERLINK("https://www.suredividend.com/sure-analysis-CDUAF/","Canadian Utilities Ltd.")</f>
        <v>0</v>
      </c>
      <c r="C203">
        <v>27.91</v>
      </c>
      <c r="D203">
        <v>29</v>
      </c>
      <c r="E203">
        <v>0.9624137931034483</v>
      </c>
      <c r="F203">
        <v>0.05051952705123611</v>
      </c>
      <c r="G203">
        <v>0.007691585924969324</v>
      </c>
      <c r="H203">
        <v>0.04</v>
      </c>
      <c r="I203">
        <v>0.0897477579742445</v>
      </c>
      <c r="J203" t="s">
        <v>781</v>
      </c>
      <c r="K203" t="s">
        <v>780</v>
      </c>
      <c r="L203">
        <v>1.8</v>
      </c>
      <c r="M203">
        <v>1.41</v>
      </c>
      <c r="N203">
        <v>0.7833333333333332</v>
      </c>
      <c r="O203">
        <v>49</v>
      </c>
      <c r="P203">
        <v>0.02560510523091319</v>
      </c>
      <c r="Q203">
        <v>0.100478468899521</v>
      </c>
      <c r="R203" t="s">
        <v>784</v>
      </c>
      <c r="S203" t="s">
        <v>796</v>
      </c>
      <c r="T203">
        <v>5424.327277</v>
      </c>
      <c r="U203" s="2">
        <v>44502</v>
      </c>
      <c r="V203" t="s">
        <v>799</v>
      </c>
    </row>
    <row r="204" spans="1:22">
      <c r="A204" s="1" t="s">
        <v>224</v>
      </c>
      <c r="B204">
        <f>HYPERLINK("https://www.suredividend.com/sure-analysis-GILD/","Gilead Sciences, Inc.")</f>
        <v>0</v>
      </c>
      <c r="C204">
        <v>71.20999999999999</v>
      </c>
      <c r="D204">
        <v>80</v>
      </c>
      <c r="E204">
        <v>0.8901249999999999</v>
      </c>
      <c r="F204">
        <v>0.03988203903946075</v>
      </c>
      <c r="G204">
        <v>0.02355173843101399</v>
      </c>
      <c r="H204">
        <v>0.03</v>
      </c>
      <c r="I204">
        <v>0.08928452434985568</v>
      </c>
      <c r="J204" t="s">
        <v>781</v>
      </c>
      <c r="K204" t="s">
        <v>780</v>
      </c>
      <c r="L204">
        <v>8</v>
      </c>
      <c r="M204">
        <v>2.84</v>
      </c>
      <c r="N204">
        <v>0.355</v>
      </c>
      <c r="O204">
        <v>6</v>
      </c>
      <c r="P204">
        <v>0.049731056540673</v>
      </c>
      <c r="Q204">
        <v>0.228817620254929</v>
      </c>
      <c r="R204" t="s">
        <v>784</v>
      </c>
      <c r="S204" t="s">
        <v>789</v>
      </c>
      <c r="T204">
        <v>88459.125971</v>
      </c>
      <c r="U204" s="2">
        <v>44509</v>
      </c>
      <c r="V204" t="s">
        <v>801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111.66</v>
      </c>
      <c r="D205">
        <v>113</v>
      </c>
      <c r="E205">
        <v>0.988141592920354</v>
      </c>
      <c r="F205">
        <v>0.0414651620992298</v>
      </c>
      <c r="G205">
        <v>0.002388704184748347</v>
      </c>
      <c r="H205">
        <v>0.05</v>
      </c>
      <c r="I205">
        <v>0.08908768656345423</v>
      </c>
      <c r="J205" t="s">
        <v>781</v>
      </c>
      <c r="K205" t="s">
        <v>780</v>
      </c>
      <c r="L205">
        <v>11.3</v>
      </c>
      <c r="M205">
        <v>4.63</v>
      </c>
      <c r="N205">
        <v>0.4097345132743362</v>
      </c>
      <c r="O205">
        <v>10</v>
      </c>
      <c r="P205">
        <v>0.05002901032002183</v>
      </c>
      <c r="Q205">
        <v>0.338887343869025</v>
      </c>
      <c r="R205" t="s">
        <v>784</v>
      </c>
      <c r="S205" t="s">
        <v>794</v>
      </c>
      <c r="T205">
        <v>49920.884586</v>
      </c>
      <c r="U205" s="2">
        <v>44442</v>
      </c>
      <c r="V205" t="s">
        <v>809</v>
      </c>
    </row>
    <row r="206" spans="1:22">
      <c r="A206" s="1" t="s">
        <v>226</v>
      </c>
      <c r="B206">
        <f>HYPERLINK("https://www.suredividend.com/sure-analysis-NJR/","New Jersey Resources Corporation")</f>
        <v>0</v>
      </c>
      <c r="C206">
        <v>40.34</v>
      </c>
      <c r="D206">
        <v>40</v>
      </c>
      <c r="E206">
        <v>1.0085</v>
      </c>
      <c r="F206">
        <v>0.03296975706494794</v>
      </c>
      <c r="G206">
        <v>-0.001691383678112279</v>
      </c>
      <c r="H206">
        <v>0.06</v>
      </c>
      <c r="I206">
        <v>0.08791470909931265</v>
      </c>
      <c r="J206" t="s">
        <v>781</v>
      </c>
      <c r="K206" t="s">
        <v>781</v>
      </c>
      <c r="L206">
        <v>2.15</v>
      </c>
      <c r="M206">
        <v>1.33</v>
      </c>
      <c r="N206">
        <v>0.6186046511627907</v>
      </c>
      <c r="O206">
        <v>25</v>
      </c>
      <c r="P206">
        <v>0.06001905503876492</v>
      </c>
      <c r="Q206">
        <v>0.192833282720923</v>
      </c>
      <c r="R206" t="s">
        <v>784</v>
      </c>
      <c r="S206" t="s">
        <v>796</v>
      </c>
      <c r="T206">
        <v>3768.881276</v>
      </c>
      <c r="U206" s="2">
        <v>44418</v>
      </c>
      <c r="V206" t="s">
        <v>805</v>
      </c>
    </row>
    <row r="207" spans="1:22">
      <c r="A207" s="1" t="s">
        <v>227</v>
      </c>
      <c r="B207">
        <f>HYPERLINK("https://www.suredividend.com/sure-analysis-RY/","Royal Bank Of Canada")</f>
        <v>0</v>
      </c>
      <c r="C207">
        <v>101.47</v>
      </c>
      <c r="D207">
        <v>94.92</v>
      </c>
      <c r="E207">
        <v>1.069005478297514</v>
      </c>
      <c r="F207">
        <v>0.03311323543904602</v>
      </c>
      <c r="G207">
        <v>-0.01325709165352362</v>
      </c>
      <c r="H207">
        <v>0.07000000000000001</v>
      </c>
      <c r="I207">
        <v>0.0878877043186137</v>
      </c>
      <c r="J207" t="s">
        <v>781</v>
      </c>
      <c r="K207" t="s">
        <v>781</v>
      </c>
      <c r="L207">
        <v>7.83</v>
      </c>
      <c r="M207">
        <v>3.36</v>
      </c>
      <c r="N207">
        <v>0.4291187739463601</v>
      </c>
      <c r="O207">
        <v>10</v>
      </c>
      <c r="P207">
        <v>0.08317764845110265</v>
      </c>
      <c r="Q207">
        <v>0.262089981640262</v>
      </c>
      <c r="R207" t="s">
        <v>784</v>
      </c>
      <c r="S207" t="s">
        <v>794</v>
      </c>
      <c r="T207">
        <v>142420.4784</v>
      </c>
      <c r="U207" s="2">
        <v>44444</v>
      </c>
      <c r="V207" t="s">
        <v>809</v>
      </c>
    </row>
    <row r="208" spans="1:22">
      <c r="A208" s="1" t="s">
        <v>228</v>
      </c>
      <c r="B208">
        <f>HYPERLINK("https://www.suredividend.com/sure-analysis-FTS/","Fortis Inc.")</f>
        <v>0</v>
      </c>
      <c r="C208">
        <v>46.74</v>
      </c>
      <c r="D208">
        <v>45</v>
      </c>
      <c r="E208">
        <v>1.038666666666667</v>
      </c>
      <c r="F208">
        <v>0.03615746683782627</v>
      </c>
      <c r="G208">
        <v>-0.007558854941323356</v>
      </c>
      <c r="H208">
        <v>0.06</v>
      </c>
      <c r="I208">
        <v>0.08510208508216022</v>
      </c>
      <c r="J208" t="s">
        <v>781</v>
      </c>
      <c r="K208" t="s">
        <v>780</v>
      </c>
      <c r="L208">
        <v>2.14</v>
      </c>
      <c r="M208">
        <v>1.69</v>
      </c>
      <c r="N208">
        <v>0.7897196261682242</v>
      </c>
      <c r="O208">
        <v>48</v>
      </c>
      <c r="P208">
        <v>0.05984986030460782</v>
      </c>
      <c r="Q208">
        <v>0.16094683717527</v>
      </c>
      <c r="R208" t="s">
        <v>784</v>
      </c>
      <c r="S208" t="s">
        <v>796</v>
      </c>
      <c r="T208">
        <v>21984.936574</v>
      </c>
      <c r="U208" s="2">
        <v>44505</v>
      </c>
      <c r="V208" t="s">
        <v>809</v>
      </c>
    </row>
    <row r="209" spans="1:22">
      <c r="A209" s="1" t="s">
        <v>229</v>
      </c>
      <c r="B209">
        <f>HYPERLINK("https://www.suredividend.com/sure-analysis-TTC/","Toro Co.")</f>
        <v>0</v>
      </c>
      <c r="C209">
        <v>98.03</v>
      </c>
      <c r="D209">
        <v>83</v>
      </c>
      <c r="E209">
        <v>1.181084337349398</v>
      </c>
      <c r="F209">
        <v>0.01224115066816281</v>
      </c>
      <c r="G209">
        <v>-0.03273868687520809</v>
      </c>
      <c r="H209">
        <v>0.11</v>
      </c>
      <c r="I209">
        <v>0.08479291574343639</v>
      </c>
      <c r="J209" t="s">
        <v>781</v>
      </c>
      <c r="K209" t="s">
        <v>530</v>
      </c>
      <c r="L209">
        <v>3.55</v>
      </c>
      <c r="M209">
        <v>1.2</v>
      </c>
      <c r="N209">
        <v>0.3380281690140845</v>
      </c>
      <c r="O209">
        <v>12</v>
      </c>
      <c r="P209">
        <v>0.07088070041787131</v>
      </c>
      <c r="Q209">
        <v>0.08627263113974101</v>
      </c>
      <c r="R209" t="s">
        <v>784</v>
      </c>
      <c r="S209" t="s">
        <v>790</v>
      </c>
      <c r="T209">
        <v>10475.22027</v>
      </c>
      <c r="U209" s="2">
        <v>44453</v>
      </c>
      <c r="V209" t="s">
        <v>805</v>
      </c>
    </row>
    <row r="210" spans="1:22">
      <c r="A210" s="1" t="s">
        <v>230</v>
      </c>
      <c r="B210">
        <f>HYPERLINK("https://www.suredividend.com/sure-analysis-MSM/","MSC Industrial Direct Co., Inc.")</f>
        <v>0</v>
      </c>
      <c r="C210">
        <v>84.76000000000001</v>
      </c>
      <c r="D210">
        <v>86</v>
      </c>
      <c r="E210">
        <v>0.9855813953488373</v>
      </c>
      <c r="F210">
        <v>0.03539405379896177</v>
      </c>
      <c r="G210">
        <v>0.002908935335890872</v>
      </c>
      <c r="H210">
        <v>0.05</v>
      </c>
      <c r="I210">
        <v>0.08452159103992241</v>
      </c>
      <c r="J210" t="s">
        <v>781</v>
      </c>
      <c r="K210" t="s">
        <v>781</v>
      </c>
      <c r="L210">
        <v>5.55</v>
      </c>
      <c r="M210">
        <v>3</v>
      </c>
      <c r="N210">
        <v>0.5405405405405406</v>
      </c>
      <c r="O210">
        <v>16</v>
      </c>
      <c r="P210">
        <v>0.05006335758366887</v>
      </c>
      <c r="Q210">
        <v>0.041195960890686</v>
      </c>
      <c r="R210" t="s">
        <v>784</v>
      </c>
      <c r="S210" t="s">
        <v>790</v>
      </c>
      <c r="T210">
        <v>3894.509643</v>
      </c>
      <c r="U210" s="2">
        <v>44494</v>
      </c>
      <c r="V210" t="s">
        <v>805</v>
      </c>
    </row>
    <row r="211" spans="1:22">
      <c r="A211" s="1" t="s">
        <v>231</v>
      </c>
      <c r="B211">
        <f>HYPERLINK("https://www.suredividend.com/sure-analysis-PB/","Prosperity Bancshares Inc.")</f>
        <v>0</v>
      </c>
      <c r="C211">
        <v>71.98</v>
      </c>
      <c r="D211">
        <v>82</v>
      </c>
      <c r="E211">
        <v>0.8778048780487805</v>
      </c>
      <c r="F211">
        <v>0.02889691580994721</v>
      </c>
      <c r="G211">
        <v>0.02640888312335332</v>
      </c>
      <c r="H211">
        <v>0.03</v>
      </c>
      <c r="I211">
        <v>0.08337199740869772</v>
      </c>
      <c r="J211" t="s">
        <v>781</v>
      </c>
      <c r="K211" t="s">
        <v>781</v>
      </c>
      <c r="L211">
        <v>5.75</v>
      </c>
      <c r="M211">
        <v>2.08</v>
      </c>
      <c r="N211">
        <v>0.3617391304347826</v>
      </c>
      <c r="O211">
        <v>18</v>
      </c>
      <c r="P211">
        <v>0.05820339229333826</v>
      </c>
      <c r="Q211">
        <v>0.11890601408079</v>
      </c>
      <c r="R211" t="s">
        <v>784</v>
      </c>
      <c r="S211" t="s">
        <v>794</v>
      </c>
      <c r="T211">
        <v>6604.540675</v>
      </c>
      <c r="U211" s="2">
        <v>44498</v>
      </c>
      <c r="V211" t="s">
        <v>807</v>
      </c>
    </row>
    <row r="212" spans="1:22">
      <c r="A212" s="1" t="s">
        <v>232</v>
      </c>
      <c r="B212">
        <f>HYPERLINK("https://www.suredividend.com/sure-analysis-POR/","Portland General Electric Co")</f>
        <v>0</v>
      </c>
      <c r="C212">
        <v>51.8</v>
      </c>
      <c r="D212">
        <v>52</v>
      </c>
      <c r="E212">
        <v>0.9961538461538461</v>
      </c>
      <c r="F212">
        <v>0.0332046332046332</v>
      </c>
      <c r="G212">
        <v>0.0007710109394427622</v>
      </c>
      <c r="H212">
        <v>0.05</v>
      </c>
      <c r="I212">
        <v>0.08149466440829523</v>
      </c>
      <c r="J212" t="s">
        <v>781</v>
      </c>
      <c r="K212" t="s">
        <v>781</v>
      </c>
      <c r="L212">
        <v>2.78</v>
      </c>
      <c r="M212">
        <v>1.72</v>
      </c>
      <c r="N212">
        <v>0.6187050359712231</v>
      </c>
      <c r="O212">
        <v>14</v>
      </c>
      <c r="P212">
        <v>0.05983895403096029</v>
      </c>
      <c r="Q212">
        <v>0.255399133164988</v>
      </c>
      <c r="R212" t="s">
        <v>784</v>
      </c>
      <c r="S212" t="s">
        <v>796</v>
      </c>
      <c r="T212">
        <v>4529.490995</v>
      </c>
      <c r="U212" s="2">
        <v>44498</v>
      </c>
      <c r="V212" t="s">
        <v>805</v>
      </c>
    </row>
    <row r="213" spans="1:22">
      <c r="A213" s="1" t="s">
        <v>233</v>
      </c>
      <c r="B213">
        <f>HYPERLINK("https://www.suredividend.com/sure-analysis-PBCT/","People`s United Financial Inc")</f>
        <v>0</v>
      </c>
      <c r="C213">
        <v>17.39</v>
      </c>
      <c r="D213">
        <v>18</v>
      </c>
      <c r="E213">
        <v>0.9661111111111111</v>
      </c>
      <c r="F213">
        <v>0.04197814836112708</v>
      </c>
      <c r="G213">
        <v>0.006919113123533549</v>
      </c>
      <c r="H213">
        <v>0.04</v>
      </c>
      <c r="I213">
        <v>0.08123823022102084</v>
      </c>
      <c r="J213" t="s">
        <v>781</v>
      </c>
      <c r="K213" t="s">
        <v>780</v>
      </c>
      <c r="L213">
        <v>1.33</v>
      </c>
      <c r="M213">
        <v>0.73</v>
      </c>
      <c r="N213">
        <v>0.5488721804511277</v>
      </c>
      <c r="O213">
        <v>29</v>
      </c>
      <c r="P213">
        <v>0.01333804570728625</v>
      </c>
      <c r="Q213">
        <v>0.383596224655508</v>
      </c>
      <c r="R213" t="s">
        <v>784</v>
      </c>
      <c r="S213" t="s">
        <v>794</v>
      </c>
      <c r="T213">
        <v>7366.224355</v>
      </c>
      <c r="U213" s="2">
        <v>44495</v>
      </c>
      <c r="V213" t="s">
        <v>807</v>
      </c>
    </row>
    <row r="214" spans="1:22">
      <c r="A214" s="1" t="s">
        <v>234</v>
      </c>
      <c r="B214">
        <f>HYPERLINK("https://www.suredividend.com/sure-analysis-RBGLY/","Reckitt Benckiser Group Plc")</f>
        <v>0</v>
      </c>
      <c r="C214">
        <v>16.53</v>
      </c>
      <c r="D214">
        <v>18</v>
      </c>
      <c r="E214">
        <v>0.9183333333333334</v>
      </c>
      <c r="F214">
        <v>0.02661826981246219</v>
      </c>
      <c r="G214">
        <v>0.01718496044992701</v>
      </c>
      <c r="H214">
        <v>0.04</v>
      </c>
      <c r="I214">
        <v>0.08066673696866977</v>
      </c>
      <c r="J214" t="s">
        <v>781</v>
      </c>
      <c r="K214" t="s">
        <v>781</v>
      </c>
      <c r="L214">
        <v>1.2</v>
      </c>
      <c r="M214">
        <v>0.44</v>
      </c>
      <c r="N214">
        <v>0.3666666666666667</v>
      </c>
      <c r="O214">
        <v>0</v>
      </c>
      <c r="P214">
        <v>0.03792181163298758</v>
      </c>
      <c r="Q214">
        <v>-0.063902300482817</v>
      </c>
      <c r="R214" t="s">
        <v>784</v>
      </c>
      <c r="S214" t="s">
        <v>795</v>
      </c>
      <c r="T214">
        <v>58859.297841</v>
      </c>
      <c r="U214" s="2">
        <v>44497</v>
      </c>
      <c r="V214" t="s">
        <v>810</v>
      </c>
    </row>
    <row r="215" spans="1:22">
      <c r="A215" s="1" t="s">
        <v>235</v>
      </c>
      <c r="B215">
        <f>HYPERLINK("https://www.suredividend.com/sure-analysis-BAH/","Booz Allen Hamilton Holding Corp")</f>
        <v>0</v>
      </c>
      <c r="C215">
        <v>83.04000000000001</v>
      </c>
      <c r="D215">
        <v>76</v>
      </c>
      <c r="E215">
        <v>1.092631578947368</v>
      </c>
      <c r="F215">
        <v>0.01782273603082852</v>
      </c>
      <c r="G215">
        <v>-0.01756177823490079</v>
      </c>
      <c r="H215">
        <v>0.08</v>
      </c>
      <c r="I215">
        <v>0.080337786660299</v>
      </c>
      <c r="J215" t="s">
        <v>781</v>
      </c>
      <c r="K215" t="s">
        <v>349</v>
      </c>
      <c r="L215">
        <v>4.2</v>
      </c>
      <c r="M215">
        <v>1.48</v>
      </c>
      <c r="N215">
        <v>0.3523809523809524</v>
      </c>
      <c r="O215">
        <v>10</v>
      </c>
      <c r="P215">
        <v>0.1201489042708301</v>
      </c>
      <c r="Q215">
        <v>-0.030419675116256</v>
      </c>
      <c r="R215" t="s">
        <v>784</v>
      </c>
      <c r="S215" t="s">
        <v>791</v>
      </c>
      <c r="T215">
        <v>11264.725669</v>
      </c>
      <c r="U215" s="2">
        <v>44508</v>
      </c>
      <c r="V215" t="s">
        <v>806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74.16</v>
      </c>
      <c r="D216">
        <v>74</v>
      </c>
      <c r="E216">
        <v>1.002162162162162</v>
      </c>
      <c r="F216">
        <v>0.03384573894282632</v>
      </c>
      <c r="G216">
        <v>-0.0004318723269738367</v>
      </c>
      <c r="H216">
        <v>0.05</v>
      </c>
      <c r="I216">
        <v>0.08006442101707245</v>
      </c>
      <c r="J216" t="s">
        <v>781</v>
      </c>
      <c r="K216" t="s">
        <v>781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0.351301796846351</v>
      </c>
      <c r="R216" t="s">
        <v>784</v>
      </c>
      <c r="S216" t="s">
        <v>794</v>
      </c>
      <c r="T216">
        <v>134423.835273</v>
      </c>
      <c r="U216" s="2">
        <v>44444</v>
      </c>
      <c r="V216" t="s">
        <v>809</v>
      </c>
    </row>
    <row r="217" spans="1:22">
      <c r="A217" s="1" t="s">
        <v>237</v>
      </c>
      <c r="B217">
        <f>HYPERLINK("https://www.suredividend.com/sure-analysis-ORI/","Old Republic International Corp.")</f>
        <v>0</v>
      </c>
      <c r="C217">
        <v>25.02</v>
      </c>
      <c r="D217">
        <v>35</v>
      </c>
      <c r="E217">
        <v>0.7148571428571429</v>
      </c>
      <c r="F217">
        <v>0.03517186250999201</v>
      </c>
      <c r="G217">
        <v>0.06943932016286825</v>
      </c>
      <c r="H217">
        <v>-0.02</v>
      </c>
      <c r="I217">
        <v>0.0798325607906234</v>
      </c>
      <c r="J217" t="s">
        <v>781</v>
      </c>
      <c r="K217" t="s">
        <v>781</v>
      </c>
      <c r="L217">
        <v>2.9</v>
      </c>
      <c r="M217">
        <v>0.88</v>
      </c>
      <c r="N217">
        <v>0.303448275862069</v>
      </c>
      <c r="O217">
        <v>40</v>
      </c>
      <c r="P217">
        <v>0.04941452284458392</v>
      </c>
      <c r="Q217">
        <v>0.538854997068253</v>
      </c>
      <c r="R217" t="s">
        <v>784</v>
      </c>
      <c r="S217" t="s">
        <v>794</v>
      </c>
      <c r="T217">
        <v>7573.905468</v>
      </c>
      <c r="U217" s="2">
        <v>44518</v>
      </c>
      <c r="V217" t="s">
        <v>804</v>
      </c>
    </row>
    <row r="218" spans="1:22">
      <c r="A218" s="1" t="s">
        <v>238</v>
      </c>
      <c r="B218">
        <f>HYPERLINK("https://www.suredividend.com/sure-analysis-CHRW/","C.H. Robinson Worldwide, Inc.")</f>
        <v>0</v>
      </c>
      <c r="C218">
        <v>103.96</v>
      </c>
      <c r="D218">
        <v>100</v>
      </c>
      <c r="E218">
        <v>1.0396</v>
      </c>
      <c r="F218">
        <v>0.02116198537899192</v>
      </c>
      <c r="G218">
        <v>-0.007737117969311536</v>
      </c>
      <c r="H218">
        <v>0.07000000000000001</v>
      </c>
      <c r="I218">
        <v>0.07921610722826777</v>
      </c>
      <c r="J218" t="s">
        <v>781</v>
      </c>
      <c r="K218" t="s">
        <v>781</v>
      </c>
      <c r="L218">
        <v>5.55</v>
      </c>
      <c r="M218">
        <v>2.2</v>
      </c>
      <c r="N218">
        <v>0.3963963963963965</v>
      </c>
      <c r="O218">
        <v>22</v>
      </c>
      <c r="P218">
        <v>0.02753251148110025</v>
      </c>
      <c r="Q218">
        <v>0.160387161502423</v>
      </c>
      <c r="R218" t="s">
        <v>784</v>
      </c>
      <c r="S218" t="s">
        <v>790</v>
      </c>
      <c r="T218">
        <v>13470.600687</v>
      </c>
      <c r="U218" s="2">
        <v>44495</v>
      </c>
      <c r="V218" t="s">
        <v>802</v>
      </c>
    </row>
    <row r="219" spans="1:22">
      <c r="A219" s="1" t="s">
        <v>239</v>
      </c>
      <c r="B219">
        <f>HYPERLINK("https://www.suredividend.com/sure-analysis-SNA/","Snap-on, Inc.")</f>
        <v>0</v>
      </c>
      <c r="C219">
        <v>216.68</v>
      </c>
      <c r="D219">
        <v>231</v>
      </c>
      <c r="E219">
        <v>0.9380086580086581</v>
      </c>
      <c r="F219">
        <v>0.02621377146021783</v>
      </c>
      <c r="G219">
        <v>0.01288148054454963</v>
      </c>
      <c r="H219">
        <v>0.04</v>
      </c>
      <c r="I219">
        <v>0.07909775763951421</v>
      </c>
      <c r="J219" t="s">
        <v>781</v>
      </c>
      <c r="K219" t="s">
        <v>781</v>
      </c>
      <c r="L219">
        <v>14.45</v>
      </c>
      <c r="M219">
        <v>5.68</v>
      </c>
      <c r="N219">
        <v>0.3930795847750865</v>
      </c>
      <c r="O219">
        <v>12</v>
      </c>
      <c r="P219">
        <v>0.08010910720791475</v>
      </c>
      <c r="Q219">
        <v>0.244066447605629</v>
      </c>
      <c r="R219" t="s">
        <v>784</v>
      </c>
      <c r="S219" t="s">
        <v>790</v>
      </c>
      <c r="T219">
        <v>11437.609773</v>
      </c>
      <c r="U219" s="2">
        <v>44498</v>
      </c>
      <c r="V219" t="s">
        <v>804</v>
      </c>
    </row>
    <row r="220" spans="1:22">
      <c r="A220" s="1" t="s">
        <v>240</v>
      </c>
      <c r="B220">
        <f>HYPERLINK("https://www.suredividend.com/sure-analysis-RBA/","Ritchie Bros Auctioneers Inc")</f>
        <v>0</v>
      </c>
      <c r="C220">
        <v>63.37</v>
      </c>
      <c r="D220">
        <v>53</v>
      </c>
      <c r="E220">
        <v>1.195660377358491</v>
      </c>
      <c r="F220">
        <v>0.01578033769922677</v>
      </c>
      <c r="G220">
        <v>-0.03510860687044481</v>
      </c>
      <c r="H220">
        <v>0.1</v>
      </c>
      <c r="I220">
        <v>0.07757646561195952</v>
      </c>
      <c r="J220" t="s">
        <v>781</v>
      </c>
      <c r="K220" t="s">
        <v>530</v>
      </c>
      <c r="L220">
        <v>1.6</v>
      </c>
      <c r="M220">
        <v>1</v>
      </c>
      <c r="N220">
        <v>0.625</v>
      </c>
      <c r="O220">
        <v>17</v>
      </c>
      <c r="P220">
        <v>0.09993032380125255</v>
      </c>
      <c r="Q220">
        <v>-0.07774283135558401</v>
      </c>
      <c r="R220" t="s">
        <v>784</v>
      </c>
      <c r="S220" t="s">
        <v>790</v>
      </c>
      <c r="T220">
        <v>7041.01951</v>
      </c>
      <c r="U220" s="2">
        <v>44515</v>
      </c>
      <c r="V220" t="s">
        <v>799</v>
      </c>
    </row>
    <row r="221" spans="1:22">
      <c r="A221" s="1" t="s">
        <v>241</v>
      </c>
      <c r="B221">
        <f>HYPERLINK("https://www.suredividend.com/sure-analysis-EMN/","Eastman Chemical Co")</f>
        <v>0</v>
      </c>
      <c r="C221">
        <v>117.92</v>
      </c>
      <c r="D221">
        <v>120</v>
      </c>
      <c r="E221">
        <v>0.9826666666666667</v>
      </c>
      <c r="F221">
        <v>0.0234056987788331</v>
      </c>
      <c r="G221">
        <v>0.003503184726650455</v>
      </c>
      <c r="H221">
        <v>0.05</v>
      </c>
      <c r="I221">
        <v>0.07483549683546031</v>
      </c>
      <c r="J221" t="s">
        <v>781</v>
      </c>
      <c r="K221" t="s">
        <v>781</v>
      </c>
      <c r="L221">
        <v>8.9</v>
      </c>
      <c r="M221">
        <v>2.76</v>
      </c>
      <c r="N221">
        <v>0.3101123595505618</v>
      </c>
      <c r="O221">
        <v>11</v>
      </c>
      <c r="P221">
        <v>0.04984870359842875</v>
      </c>
      <c r="Q221">
        <v>0.184958684447353</v>
      </c>
      <c r="R221" t="s">
        <v>784</v>
      </c>
      <c r="S221" t="s">
        <v>793</v>
      </c>
      <c r="T221">
        <v>15577.595128</v>
      </c>
      <c r="U221" s="2">
        <v>44502</v>
      </c>
      <c r="V221" t="s">
        <v>799</v>
      </c>
    </row>
    <row r="222" spans="1:22">
      <c r="A222" s="1" t="s">
        <v>242</v>
      </c>
      <c r="B222">
        <f>HYPERLINK("https://www.suredividend.com/sure-analysis-MDLZ/","Mondelez International Inc.")</f>
        <v>0</v>
      </c>
      <c r="C222">
        <v>64.79000000000001</v>
      </c>
      <c r="D222">
        <v>57</v>
      </c>
      <c r="E222">
        <v>1.136666666666667</v>
      </c>
      <c r="F222">
        <v>0.02160827288161753</v>
      </c>
      <c r="G222">
        <v>-0.02529459321346617</v>
      </c>
      <c r="H222">
        <v>0.08</v>
      </c>
      <c r="I222">
        <v>0.07410993687024425</v>
      </c>
      <c r="J222" t="s">
        <v>781</v>
      </c>
      <c r="K222" t="s">
        <v>349</v>
      </c>
      <c r="L222">
        <v>2.85</v>
      </c>
      <c r="M222">
        <v>1.4</v>
      </c>
      <c r="N222">
        <v>0.4912280701754386</v>
      </c>
      <c r="O222">
        <v>8</v>
      </c>
      <c r="P222">
        <v>0.08030860883184343</v>
      </c>
      <c r="Q222">
        <v>0.130670072292251</v>
      </c>
      <c r="R222" t="s">
        <v>784</v>
      </c>
      <c r="S222" t="s">
        <v>795</v>
      </c>
      <c r="T222">
        <v>88427.28344699999</v>
      </c>
      <c r="U222" s="2">
        <v>44514</v>
      </c>
      <c r="V222" t="s">
        <v>809</v>
      </c>
    </row>
    <row r="223" spans="1:22">
      <c r="A223" s="1" t="s">
        <v>243</v>
      </c>
      <c r="B223">
        <f>HYPERLINK("https://www.suredividend.com/sure-analysis-IBM/","International Business Machines Corp.")</f>
        <v>0</v>
      </c>
      <c r="C223">
        <v>123.11</v>
      </c>
      <c r="D223">
        <v>114</v>
      </c>
      <c r="E223">
        <v>1.079912280701754</v>
      </c>
      <c r="F223">
        <v>0.05328567947364145</v>
      </c>
      <c r="G223">
        <v>-0.01525835667306719</v>
      </c>
      <c r="H223">
        <v>0.04</v>
      </c>
      <c r="I223">
        <v>0.07366694621977432</v>
      </c>
      <c r="J223" t="s">
        <v>781</v>
      </c>
      <c r="K223" t="s">
        <v>780</v>
      </c>
      <c r="L223">
        <v>10.32</v>
      </c>
      <c r="M223">
        <v>6.56</v>
      </c>
      <c r="N223">
        <v>0.6356589147286821</v>
      </c>
      <c r="O223">
        <v>26</v>
      </c>
      <c r="P223">
        <v>0.03996760299438673</v>
      </c>
      <c r="Q223">
        <v>0.052269104049314</v>
      </c>
      <c r="R223" t="s">
        <v>784</v>
      </c>
      <c r="S223" t="s">
        <v>791</v>
      </c>
      <c r="T223">
        <v>110928.572234</v>
      </c>
      <c r="U223" s="2">
        <v>44494</v>
      </c>
      <c r="V223" t="s">
        <v>806</v>
      </c>
    </row>
    <row r="224" spans="1:22">
      <c r="A224" s="1" t="s">
        <v>244</v>
      </c>
      <c r="B224">
        <f>HYPERLINK("https://www.suredividend.com/sure-analysis-UHT/","Universal Health Realty Income Trust")</f>
        <v>0</v>
      </c>
      <c r="C224">
        <v>58.94</v>
      </c>
      <c r="D224">
        <v>60</v>
      </c>
      <c r="E224">
        <v>0.9823333333333333</v>
      </c>
      <c r="F224">
        <v>0.04750593824228028</v>
      </c>
      <c r="G224">
        <v>0.003571278856661309</v>
      </c>
      <c r="H224">
        <v>0.027</v>
      </c>
      <c r="I224">
        <v>0.07077610729932737</v>
      </c>
      <c r="J224" t="s">
        <v>781</v>
      </c>
      <c r="K224" t="s">
        <v>780</v>
      </c>
      <c r="L224">
        <v>3.5</v>
      </c>
      <c r="M224">
        <v>2.8</v>
      </c>
      <c r="N224">
        <v>0.7999999999999999</v>
      </c>
      <c r="O224">
        <v>37</v>
      </c>
      <c r="P224">
        <v>0.009805797673485328</v>
      </c>
      <c r="Q224">
        <v>-0.125731273412498</v>
      </c>
      <c r="R224" t="s">
        <v>786</v>
      </c>
      <c r="S224" t="s">
        <v>798</v>
      </c>
      <c r="T224">
        <v>794.94704</v>
      </c>
      <c r="U224" s="2">
        <v>44531</v>
      </c>
      <c r="V224" t="s">
        <v>808</v>
      </c>
    </row>
    <row r="225" spans="1:22">
      <c r="A225" s="1" t="s">
        <v>245</v>
      </c>
      <c r="B225">
        <f>HYPERLINK("https://www.suredividend.com/sure-analysis-XOM/","Exxon Mobil Corp.")</f>
        <v>0</v>
      </c>
      <c r="C225">
        <v>61.27</v>
      </c>
      <c r="D225">
        <v>65</v>
      </c>
      <c r="E225">
        <v>0.9426153846153846</v>
      </c>
      <c r="F225">
        <v>0.05745062836624775</v>
      </c>
      <c r="G225">
        <v>0.01188951361122226</v>
      </c>
      <c r="H225">
        <v>0.01</v>
      </c>
      <c r="I225">
        <v>0.07054876518681397</v>
      </c>
      <c r="J225" t="s">
        <v>781</v>
      </c>
      <c r="K225" t="s">
        <v>780</v>
      </c>
      <c r="L225">
        <v>5</v>
      </c>
      <c r="M225">
        <v>3.52</v>
      </c>
      <c r="N225">
        <v>0.704</v>
      </c>
      <c r="O225">
        <v>39</v>
      </c>
      <c r="P225">
        <v>0.004504686905032917</v>
      </c>
      <c r="Q225">
        <v>0.5472341367016801</v>
      </c>
      <c r="R225" t="s">
        <v>784</v>
      </c>
      <c r="S225" t="s">
        <v>797</v>
      </c>
      <c r="T225">
        <v>260533.703272</v>
      </c>
      <c r="U225" s="2">
        <v>44501</v>
      </c>
      <c r="V225" t="s">
        <v>807</v>
      </c>
    </row>
    <row r="226" spans="1:22">
      <c r="A226" s="1" t="s">
        <v>246</v>
      </c>
      <c r="B226">
        <f>HYPERLINK("https://www.suredividend.com/sure-analysis-HD/","Home Depot, Inc.")</f>
        <v>0</v>
      </c>
      <c r="C226">
        <v>407.81</v>
      </c>
      <c r="D226">
        <v>341</v>
      </c>
      <c r="E226">
        <v>1.195923753665689</v>
      </c>
      <c r="F226">
        <v>0.01618400725828204</v>
      </c>
      <c r="G226">
        <v>-0.03515110990138814</v>
      </c>
      <c r="H226">
        <v>0.09</v>
      </c>
      <c r="I226">
        <v>0.06840022692284253</v>
      </c>
      <c r="J226" t="s">
        <v>781</v>
      </c>
      <c r="K226" t="s">
        <v>349</v>
      </c>
      <c r="L226">
        <v>15.48</v>
      </c>
      <c r="M226">
        <v>6.6</v>
      </c>
      <c r="N226">
        <v>0.4263565891472868</v>
      </c>
      <c r="O226">
        <v>12</v>
      </c>
      <c r="P226">
        <v>0.08989440052011655</v>
      </c>
      <c r="Q226">
        <v>0.5460584734536911</v>
      </c>
      <c r="R226" t="s">
        <v>784</v>
      </c>
      <c r="S226" t="s">
        <v>792</v>
      </c>
      <c r="T226">
        <v>419992.996989</v>
      </c>
      <c r="U226" s="2">
        <v>44530</v>
      </c>
      <c r="V226" t="s">
        <v>805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193.44</v>
      </c>
      <c r="D227">
        <v>162</v>
      </c>
      <c r="E227">
        <v>1.194074074074074</v>
      </c>
      <c r="F227">
        <v>0.02377998345740281</v>
      </c>
      <c r="G227">
        <v>-0.03485237524914708</v>
      </c>
      <c r="H227">
        <v>0.08</v>
      </c>
      <c r="I227">
        <v>0.06741230608276783</v>
      </c>
      <c r="J227" t="s">
        <v>781</v>
      </c>
      <c r="K227" t="s">
        <v>349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0.216249818620441</v>
      </c>
      <c r="R227" t="s">
        <v>784</v>
      </c>
      <c r="S227" t="s">
        <v>791</v>
      </c>
      <c r="T227">
        <v>175719.300963</v>
      </c>
      <c r="U227" s="2">
        <v>44504</v>
      </c>
      <c r="V227" t="s">
        <v>801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51.99</v>
      </c>
      <c r="D228">
        <v>54</v>
      </c>
      <c r="E228">
        <v>0.9627777777777778</v>
      </c>
      <c r="F228">
        <v>0.03231390652048471</v>
      </c>
      <c r="G228">
        <v>0.007615381471377747</v>
      </c>
      <c r="H228">
        <v>0.03</v>
      </c>
      <c r="I228">
        <v>0.06668091816161392</v>
      </c>
      <c r="J228" t="s">
        <v>781</v>
      </c>
      <c r="K228" t="s">
        <v>780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0.043809723784123</v>
      </c>
      <c r="R228" t="s">
        <v>784</v>
      </c>
      <c r="S228" t="s">
        <v>794</v>
      </c>
      <c r="T228">
        <v>4382.783591</v>
      </c>
      <c r="U228" s="2">
        <v>44512</v>
      </c>
      <c r="V228" t="s">
        <v>804</v>
      </c>
    </row>
    <row r="229" spans="1:22">
      <c r="A229" s="1" t="s">
        <v>249</v>
      </c>
      <c r="B229">
        <f>HYPERLINK("https://www.suredividend.com/sure-analysis-FLO/","Flowers Foods, Inc.")</f>
        <v>0</v>
      </c>
      <c r="C229">
        <v>26.7</v>
      </c>
      <c r="D229">
        <v>25</v>
      </c>
      <c r="E229">
        <v>1.068</v>
      </c>
      <c r="F229">
        <v>0.03146067415730337</v>
      </c>
      <c r="G229">
        <v>-0.01307136596746261</v>
      </c>
      <c r="H229">
        <v>0.05</v>
      </c>
      <c r="I229">
        <v>0.0662873297209976</v>
      </c>
      <c r="J229" t="s">
        <v>781</v>
      </c>
      <c r="K229" t="s">
        <v>781</v>
      </c>
      <c r="L229">
        <v>1.24</v>
      </c>
      <c r="M229">
        <v>0.84</v>
      </c>
      <c r="N229">
        <v>0.6774193548387096</v>
      </c>
      <c r="O229">
        <v>19</v>
      </c>
      <c r="P229">
        <v>0.05154749679728043</v>
      </c>
      <c r="Q229">
        <v>0.191272135887242</v>
      </c>
      <c r="R229" t="s">
        <v>784</v>
      </c>
      <c r="S229" t="s">
        <v>795</v>
      </c>
      <c r="T229">
        <v>5574.480375</v>
      </c>
      <c r="U229" s="2">
        <v>44513</v>
      </c>
      <c r="V229" t="s">
        <v>803</v>
      </c>
    </row>
    <row r="230" spans="1:22">
      <c r="A230" s="1" t="s">
        <v>250</v>
      </c>
      <c r="B230">
        <f>HYPERLINK("https://www.suredividend.com/sure-analysis-UNH/","Unitedhealth Group Inc")</f>
        <v>0</v>
      </c>
      <c r="C230">
        <v>494.38</v>
      </c>
      <c r="D230">
        <v>358</v>
      </c>
      <c r="E230">
        <v>1.380949720670391</v>
      </c>
      <c r="F230">
        <v>0.01173186617581617</v>
      </c>
      <c r="G230">
        <v>-0.06251478616381645</v>
      </c>
      <c r="H230">
        <v>0.12</v>
      </c>
      <c r="I230">
        <v>0.06414565029171504</v>
      </c>
      <c r="J230" t="s">
        <v>781</v>
      </c>
      <c r="K230" t="s">
        <v>349</v>
      </c>
      <c r="L230">
        <v>18.65</v>
      </c>
      <c r="M230">
        <v>5.8</v>
      </c>
      <c r="N230">
        <v>0.3109919571045577</v>
      </c>
      <c r="O230">
        <v>12</v>
      </c>
      <c r="P230">
        <v>0.1400529846685179</v>
      </c>
      <c r="Q230">
        <v>0.446468361785431</v>
      </c>
      <c r="R230" t="s">
        <v>784</v>
      </c>
      <c r="S230" t="s">
        <v>789</v>
      </c>
      <c r="T230">
        <v>451580.000325</v>
      </c>
      <c r="U230" s="2">
        <v>44491</v>
      </c>
      <c r="V230" t="s">
        <v>804</v>
      </c>
    </row>
    <row r="231" spans="1:22">
      <c r="A231" s="1" t="s">
        <v>251</v>
      </c>
      <c r="B231">
        <f>HYPERLINK("https://www.suredividend.com/sure-analysis-EQIX/","Equinix Inc")</f>
        <v>0</v>
      </c>
      <c r="C231">
        <v>817.09</v>
      </c>
      <c r="D231">
        <v>638</v>
      </c>
      <c r="E231">
        <v>1.280705329153605</v>
      </c>
      <c r="F231">
        <v>0.01404985986855793</v>
      </c>
      <c r="G231">
        <v>-0.04827789461645438</v>
      </c>
      <c r="H231">
        <v>0.1</v>
      </c>
      <c r="I231">
        <v>0.06215367460619059</v>
      </c>
      <c r="J231" t="s">
        <v>781</v>
      </c>
      <c r="K231" t="s">
        <v>530</v>
      </c>
      <c r="L231">
        <v>27.14</v>
      </c>
      <c r="M231">
        <v>11.48</v>
      </c>
      <c r="N231">
        <v>0.4229918938835667</v>
      </c>
      <c r="O231">
        <v>5</v>
      </c>
      <c r="P231">
        <v>0.1000160063233719</v>
      </c>
      <c r="Q231">
        <v>0.185976853560712</v>
      </c>
      <c r="R231" t="s">
        <v>786</v>
      </c>
      <c r="S231" t="s">
        <v>798</v>
      </c>
      <c r="T231">
        <v>72557.900196</v>
      </c>
      <c r="U231" s="2">
        <v>44505</v>
      </c>
      <c r="V231" t="s">
        <v>805</v>
      </c>
    </row>
    <row r="232" spans="1:22">
      <c r="A232" s="1" t="s">
        <v>252</v>
      </c>
      <c r="B232">
        <f>HYPERLINK("https://www.suredividend.com/sure-analysis-YORW/","York Water Co.")</f>
        <v>0</v>
      </c>
      <c r="C232">
        <v>48.1</v>
      </c>
      <c r="D232">
        <v>45</v>
      </c>
      <c r="E232">
        <v>1.068888888888889</v>
      </c>
      <c r="F232">
        <v>0.01621621621621622</v>
      </c>
      <c r="G232">
        <v>-0.01323556673090576</v>
      </c>
      <c r="H232">
        <v>0.06</v>
      </c>
      <c r="I232">
        <v>0.0604392828933209</v>
      </c>
      <c r="J232" t="s">
        <v>781</v>
      </c>
      <c r="K232" t="s">
        <v>530</v>
      </c>
      <c r="L232">
        <v>1.29</v>
      </c>
      <c r="M232">
        <v>0.78</v>
      </c>
      <c r="N232">
        <v>0.6046511627906976</v>
      </c>
      <c r="O232">
        <v>24</v>
      </c>
      <c r="P232">
        <v>0.03131030647754507</v>
      </c>
      <c r="Q232">
        <v>-0.001540832049306</v>
      </c>
      <c r="R232" t="s">
        <v>784</v>
      </c>
      <c r="S232" t="s">
        <v>796</v>
      </c>
      <c r="T232">
        <v>615.654531</v>
      </c>
      <c r="U232" s="2">
        <v>44507</v>
      </c>
      <c r="V232" t="s">
        <v>799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67.3</v>
      </c>
      <c r="D233">
        <v>56.6</v>
      </c>
      <c r="E233">
        <v>1.18904593639576</v>
      </c>
      <c r="F233">
        <v>0.04160475482912333</v>
      </c>
      <c r="G233">
        <v>-0.03403748540372953</v>
      </c>
      <c r="H233">
        <v>0.058</v>
      </c>
      <c r="I233">
        <v>0.05966294938015437</v>
      </c>
      <c r="J233" t="s">
        <v>781</v>
      </c>
      <c r="K233" t="s">
        <v>780</v>
      </c>
      <c r="L233">
        <v>4.49</v>
      </c>
      <c r="M233">
        <v>2.8</v>
      </c>
      <c r="N233">
        <v>0.6236080178173719</v>
      </c>
      <c r="O233">
        <v>18</v>
      </c>
      <c r="P233">
        <v>0.02056514630321193</v>
      </c>
      <c r="Q233">
        <v>0.11464272634723</v>
      </c>
      <c r="R233" t="s">
        <v>784</v>
      </c>
      <c r="S233" t="s">
        <v>796</v>
      </c>
      <c r="T233">
        <v>25193.413414</v>
      </c>
      <c r="U233" s="2">
        <v>44509</v>
      </c>
      <c r="V233" t="s">
        <v>808</v>
      </c>
    </row>
    <row r="234" spans="1:22">
      <c r="A234" s="1" t="s">
        <v>254</v>
      </c>
      <c r="B234">
        <f>HYPERLINK("https://www.suredividend.com/sure-analysis-K/","Kellogg Co")</f>
        <v>0</v>
      </c>
      <c r="C234">
        <v>63.5</v>
      </c>
      <c r="D234">
        <v>62</v>
      </c>
      <c r="E234">
        <v>1.024193548387097</v>
      </c>
      <c r="F234">
        <v>0.03653543307086614</v>
      </c>
      <c r="G234">
        <v>-0.004769692885589816</v>
      </c>
      <c r="H234">
        <v>0.03</v>
      </c>
      <c r="I234">
        <v>0.05896458154380002</v>
      </c>
      <c r="J234" t="s">
        <v>781</v>
      </c>
      <c r="K234" t="s">
        <v>781</v>
      </c>
      <c r="L234">
        <v>4.15</v>
      </c>
      <c r="M234">
        <v>2.32</v>
      </c>
      <c r="N234">
        <v>0.5590361445783132</v>
      </c>
      <c r="O234">
        <v>17</v>
      </c>
      <c r="P234">
        <v>0.03003707999335203</v>
      </c>
      <c r="Q234">
        <v>0.06216613505282301</v>
      </c>
      <c r="R234" t="s">
        <v>784</v>
      </c>
      <c r="S234" t="s">
        <v>795</v>
      </c>
      <c r="T234">
        <v>21616.952026</v>
      </c>
      <c r="U234" s="2">
        <v>44526</v>
      </c>
      <c r="V234" t="s">
        <v>804</v>
      </c>
    </row>
    <row r="235" spans="1:22">
      <c r="A235" s="1" t="s">
        <v>255</v>
      </c>
      <c r="B235">
        <f>HYPERLINK("https://www.suredividend.com/sure-analysis-LNT/","Alliant Energy Corp.")</f>
        <v>0</v>
      </c>
      <c r="C235">
        <v>60.49</v>
      </c>
      <c r="D235">
        <v>53</v>
      </c>
      <c r="E235">
        <v>1.141320754716981</v>
      </c>
      <c r="F235">
        <v>0.02661596958174905</v>
      </c>
      <c r="G235">
        <v>-0.02609082552501651</v>
      </c>
      <c r="H235">
        <v>0.06</v>
      </c>
      <c r="I235">
        <v>0.05890908667314898</v>
      </c>
      <c r="J235" t="s">
        <v>781</v>
      </c>
      <c r="K235" t="s">
        <v>781</v>
      </c>
      <c r="L235">
        <v>2.63</v>
      </c>
      <c r="M235">
        <v>1.61</v>
      </c>
      <c r="N235">
        <v>0.6121673003802282</v>
      </c>
      <c r="O235">
        <v>18</v>
      </c>
      <c r="P235">
        <v>0.05955258842469102</v>
      </c>
      <c r="Q235">
        <v>0.194399921362988</v>
      </c>
      <c r="R235" t="s">
        <v>784</v>
      </c>
      <c r="S235" t="s">
        <v>796</v>
      </c>
      <c r="T235">
        <v>14900.352746</v>
      </c>
      <c r="U235" s="2">
        <v>44513</v>
      </c>
      <c r="V235" t="s">
        <v>802</v>
      </c>
    </row>
    <row r="236" spans="1:22">
      <c r="A236" s="1" t="s">
        <v>256</v>
      </c>
      <c r="B236">
        <f>HYPERLINK("https://www.suredividend.com/sure-analysis-RELX/","RELX Plc")</f>
        <v>0</v>
      </c>
      <c r="C236">
        <v>31.72</v>
      </c>
      <c r="D236">
        <v>28.6</v>
      </c>
      <c r="E236">
        <v>1.109090909090909</v>
      </c>
      <c r="F236">
        <v>0.02049180327868853</v>
      </c>
      <c r="G236">
        <v>-0.02049519474793182</v>
      </c>
      <c r="H236">
        <v>0.06</v>
      </c>
      <c r="I236">
        <v>0.05854326422292755</v>
      </c>
      <c r="J236" t="s">
        <v>781</v>
      </c>
      <c r="K236" t="s">
        <v>349</v>
      </c>
      <c r="L236">
        <v>1.19</v>
      </c>
      <c r="M236">
        <v>0.65</v>
      </c>
      <c r="N236">
        <v>0.546218487394958</v>
      </c>
      <c r="O236">
        <v>10</v>
      </c>
      <c r="P236">
        <v>0.06003737798448272</v>
      </c>
      <c r="Q236">
        <v>0.340505537615527</v>
      </c>
      <c r="R236" t="s">
        <v>784</v>
      </c>
      <c r="S236" t="s">
        <v>788</v>
      </c>
      <c r="T236">
        <v>60553.671354</v>
      </c>
      <c r="U236" s="2">
        <v>44411</v>
      </c>
      <c r="V236" t="s">
        <v>799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42.28</v>
      </c>
      <c r="D237">
        <v>44.6</v>
      </c>
      <c r="E237">
        <v>0.9479820627802691</v>
      </c>
      <c r="F237">
        <v>0.02530747398297067</v>
      </c>
      <c r="G237">
        <v>0.01074121668742634</v>
      </c>
      <c r="H237">
        <v>0.023</v>
      </c>
      <c r="I237">
        <v>0.05724696430979948</v>
      </c>
      <c r="J237" t="s">
        <v>781</v>
      </c>
      <c r="K237" t="s">
        <v>781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0.113206303158172</v>
      </c>
      <c r="R237" t="s">
        <v>784</v>
      </c>
      <c r="S237" t="s">
        <v>796</v>
      </c>
      <c r="T237">
        <v>359.83337</v>
      </c>
      <c r="U237" s="2">
        <v>44509</v>
      </c>
      <c r="V237" t="s">
        <v>808</v>
      </c>
    </row>
    <row r="238" spans="1:22">
      <c r="A238" s="1" t="s">
        <v>258</v>
      </c>
      <c r="B238">
        <f>HYPERLINK("https://www.suredividend.com/sure-analysis-UPS/","United Parcel Service, Inc.")</f>
        <v>0</v>
      </c>
      <c r="C238">
        <v>205.77</v>
      </c>
      <c r="D238">
        <v>191</v>
      </c>
      <c r="E238">
        <v>1.077329842931937</v>
      </c>
      <c r="F238">
        <v>0.01982796325995043</v>
      </c>
      <c r="G238">
        <v>-0.01478670925771619</v>
      </c>
      <c r="H238">
        <v>0.05</v>
      </c>
      <c r="I238">
        <v>0.05455890271515895</v>
      </c>
      <c r="J238" t="s">
        <v>781</v>
      </c>
      <c r="K238" t="s">
        <v>349</v>
      </c>
      <c r="L238">
        <v>11.25</v>
      </c>
      <c r="M238">
        <v>4.08</v>
      </c>
      <c r="N238">
        <v>0.3626666666666667</v>
      </c>
      <c r="O238">
        <v>12</v>
      </c>
      <c r="P238">
        <v>0.06308972429112014</v>
      </c>
      <c r="Q238">
        <v>0.249093404892272</v>
      </c>
      <c r="R238" t="s">
        <v>784</v>
      </c>
      <c r="S238" t="s">
        <v>790</v>
      </c>
      <c r="T238">
        <v>176112.856</v>
      </c>
      <c r="U238" s="2">
        <v>44495</v>
      </c>
      <c r="V238" t="s">
        <v>803</v>
      </c>
    </row>
    <row r="239" spans="1:22">
      <c r="A239" s="1" t="s">
        <v>259</v>
      </c>
      <c r="B239">
        <f>HYPERLINK("https://www.suredividend.com/sure-analysis-DPZ/","Dominos Pizza Inc")</f>
        <v>0</v>
      </c>
      <c r="C239">
        <v>523.92</v>
      </c>
      <c r="D239">
        <v>370</v>
      </c>
      <c r="E239">
        <v>1.416</v>
      </c>
      <c r="F239">
        <v>0.007176668193617347</v>
      </c>
      <c r="G239">
        <v>-0.06720255182798973</v>
      </c>
      <c r="H239">
        <v>0.12</v>
      </c>
      <c r="I239">
        <v>0.0538633988494559</v>
      </c>
      <c r="J239" t="s">
        <v>781</v>
      </c>
      <c r="K239" t="s">
        <v>530</v>
      </c>
      <c r="L239">
        <v>13.9</v>
      </c>
      <c r="M239">
        <v>3.76</v>
      </c>
      <c r="N239">
        <v>0.2705035971223022</v>
      </c>
      <c r="O239">
        <v>8</v>
      </c>
      <c r="P239">
        <v>0.1480866941841668</v>
      </c>
      <c r="Q239">
        <v>0.376478336154348</v>
      </c>
      <c r="R239" t="s">
        <v>784</v>
      </c>
      <c r="S239" t="s">
        <v>792</v>
      </c>
      <c r="T239">
        <v>19035.742388</v>
      </c>
      <c r="U239" s="2">
        <v>44486</v>
      </c>
      <c r="V239" t="s">
        <v>807</v>
      </c>
    </row>
    <row r="240" spans="1:22">
      <c r="A240" s="1" t="s">
        <v>260</v>
      </c>
      <c r="B240">
        <f>HYPERLINK("https://www.suredividend.com/sure-analysis-CVX/","Chevron Corp.")</f>
        <v>0</v>
      </c>
      <c r="C240">
        <v>115.56</v>
      </c>
      <c r="D240">
        <v>122</v>
      </c>
      <c r="E240">
        <v>0.9472131147540984</v>
      </c>
      <c r="F240">
        <v>0.0463828314295604</v>
      </c>
      <c r="G240">
        <v>0.01090526745896891</v>
      </c>
      <c r="H240">
        <v>0</v>
      </c>
      <c r="I240">
        <v>0.05287280499962654</v>
      </c>
      <c r="J240" t="s">
        <v>781</v>
      </c>
      <c r="K240" t="s">
        <v>780</v>
      </c>
      <c r="L240">
        <v>8.699999999999999</v>
      </c>
      <c r="M240">
        <v>5.36</v>
      </c>
      <c r="N240">
        <v>0.6160919540229886</v>
      </c>
      <c r="O240">
        <v>34</v>
      </c>
      <c r="P240">
        <v>0.008799010229586735</v>
      </c>
      <c r="Q240">
        <v>0.3484647898926631</v>
      </c>
      <c r="R240" t="s">
        <v>784</v>
      </c>
      <c r="S240" t="s">
        <v>797</v>
      </c>
      <c r="T240">
        <v>224035.657506</v>
      </c>
      <c r="U240" s="2">
        <v>44501</v>
      </c>
      <c r="V240" t="s">
        <v>807</v>
      </c>
    </row>
    <row r="241" spans="1:22">
      <c r="A241" s="1" t="s">
        <v>261</v>
      </c>
      <c r="B241">
        <f>HYPERLINK("https://www.suredividend.com/sure-analysis-ICE/","Intercontinental Exchange Inc")</f>
        <v>0</v>
      </c>
      <c r="C241">
        <v>134.79</v>
      </c>
      <c r="D241">
        <v>107</v>
      </c>
      <c r="E241">
        <v>1.259719626168224</v>
      </c>
      <c r="F241">
        <v>0.00979301135099043</v>
      </c>
      <c r="G241">
        <v>-0.04512786303278993</v>
      </c>
      <c r="H241">
        <v>0.09</v>
      </c>
      <c r="I241">
        <v>0.05243557679248445</v>
      </c>
      <c r="J241" t="s">
        <v>781</v>
      </c>
      <c r="K241" t="s">
        <v>530</v>
      </c>
      <c r="L241">
        <v>5.1</v>
      </c>
      <c r="M241">
        <v>1.32</v>
      </c>
      <c r="N241">
        <v>0.2588235294117647</v>
      </c>
      <c r="O241">
        <v>9</v>
      </c>
      <c r="P241">
        <v>0.1203569122523565</v>
      </c>
      <c r="Q241">
        <v>0.256460239479575</v>
      </c>
      <c r="R241" t="s">
        <v>784</v>
      </c>
      <c r="S241" t="s">
        <v>794</v>
      </c>
      <c r="T241">
        <v>75389.1342</v>
      </c>
      <c r="U241" s="2">
        <v>44522</v>
      </c>
      <c r="V241" t="s">
        <v>806</v>
      </c>
    </row>
    <row r="242" spans="1:22">
      <c r="A242" s="1" t="s">
        <v>262</v>
      </c>
      <c r="B242">
        <f>HYPERLINK("https://www.suredividend.com/sure-analysis-SBUX/","Starbucks Corp.")</f>
        <v>0</v>
      </c>
      <c r="C242">
        <v>114.68</v>
      </c>
      <c r="D242">
        <v>92</v>
      </c>
      <c r="E242">
        <v>1.246521739130435</v>
      </c>
      <c r="F242">
        <v>0.01709103592605511</v>
      </c>
      <c r="G242">
        <v>-0.04311437884197233</v>
      </c>
      <c r="H242">
        <v>0.08</v>
      </c>
      <c r="I242">
        <v>0.05176308395305984</v>
      </c>
      <c r="J242" t="s">
        <v>781</v>
      </c>
      <c r="K242" t="s">
        <v>349</v>
      </c>
      <c r="L242">
        <v>4</v>
      </c>
      <c r="M242">
        <v>1.96</v>
      </c>
      <c r="N242">
        <v>0.49</v>
      </c>
      <c r="O242">
        <v>11</v>
      </c>
      <c r="P242">
        <v>0.0800087729241854</v>
      </c>
      <c r="Q242">
        <v>0.128593326629922</v>
      </c>
      <c r="R242" t="s">
        <v>784</v>
      </c>
      <c r="S242" t="s">
        <v>792</v>
      </c>
      <c r="T242">
        <v>134577.772</v>
      </c>
      <c r="U242" s="2">
        <v>44504</v>
      </c>
      <c r="V242" t="s">
        <v>803</v>
      </c>
    </row>
    <row r="243" spans="1:22">
      <c r="A243" s="1" t="s">
        <v>263</v>
      </c>
      <c r="B243">
        <f>HYPERLINK("https://www.suredividend.com/sure-analysis-CSCO/","Cisco Systems, Inc.")</f>
        <v>0</v>
      </c>
      <c r="C243">
        <v>59.93</v>
      </c>
      <c r="D243">
        <v>51</v>
      </c>
      <c r="E243">
        <v>1.175098039215686</v>
      </c>
      <c r="F243">
        <v>0.02469547805773402</v>
      </c>
      <c r="G243">
        <v>-0.03175518570255176</v>
      </c>
      <c r="H243">
        <v>0.06</v>
      </c>
      <c r="I243">
        <v>0.05165261752705064</v>
      </c>
      <c r="J243" t="s">
        <v>781</v>
      </c>
      <c r="K243" t="s">
        <v>781</v>
      </c>
      <c r="L243">
        <v>3.42</v>
      </c>
      <c r="M243">
        <v>1.48</v>
      </c>
      <c r="N243">
        <v>0.4327485380116959</v>
      </c>
      <c r="O243">
        <v>11</v>
      </c>
      <c r="P243">
        <v>0.05993856763806171</v>
      </c>
      <c r="Q243">
        <v>0.344122923147439</v>
      </c>
      <c r="R243" t="s">
        <v>784</v>
      </c>
      <c r="S243" t="s">
        <v>791</v>
      </c>
      <c r="T243">
        <v>243651.130682</v>
      </c>
      <c r="U243" s="2">
        <v>44518</v>
      </c>
      <c r="V243" t="s">
        <v>800</v>
      </c>
    </row>
    <row r="244" spans="1:22">
      <c r="A244" s="1" t="s">
        <v>264</v>
      </c>
      <c r="B244">
        <f>HYPERLINK("https://www.suredividend.com/sure-analysis-UVV/","Universal Corp.")</f>
        <v>0</v>
      </c>
      <c r="C244">
        <v>53.09</v>
      </c>
      <c r="D244">
        <v>48</v>
      </c>
      <c r="E244">
        <v>1.106041666666667</v>
      </c>
      <c r="F244">
        <v>0.05876812959126012</v>
      </c>
      <c r="G244">
        <v>-0.01995571066285973</v>
      </c>
      <c r="H244">
        <v>0.015</v>
      </c>
      <c r="I244">
        <v>0.05008875908413724</v>
      </c>
      <c r="J244" t="s">
        <v>781</v>
      </c>
      <c r="K244" t="s">
        <v>780</v>
      </c>
      <c r="L244">
        <v>4.4</v>
      </c>
      <c r="M244">
        <v>3.12</v>
      </c>
      <c r="N244">
        <v>0.7090909090909091</v>
      </c>
      <c r="O244">
        <v>50</v>
      </c>
      <c r="P244">
        <v>0.01005227214699711</v>
      </c>
      <c r="Q244">
        <v>0.081932839583258</v>
      </c>
      <c r="R244" t="s">
        <v>784</v>
      </c>
      <c r="S244" t="s">
        <v>795</v>
      </c>
      <c r="T244">
        <v>1262.112725</v>
      </c>
      <c r="U244" s="2">
        <v>44533</v>
      </c>
      <c r="V244" t="s">
        <v>801</v>
      </c>
    </row>
    <row r="245" spans="1:22">
      <c r="A245" s="1" t="s">
        <v>265</v>
      </c>
      <c r="B245">
        <f>HYPERLINK("https://www.suredividend.com/sure-analysis-WEYS/","Weyco Group, Inc")</f>
        <v>0</v>
      </c>
      <c r="C245">
        <v>23.42</v>
      </c>
      <c r="D245">
        <v>23</v>
      </c>
      <c r="E245">
        <v>1.018260869565218</v>
      </c>
      <c r="F245">
        <v>0.04269854824935952</v>
      </c>
      <c r="G245">
        <v>-0.003612686934927667</v>
      </c>
      <c r="H245">
        <v>0.01</v>
      </c>
      <c r="I245">
        <v>0.04947416693195605</v>
      </c>
      <c r="J245" t="s">
        <v>781</v>
      </c>
      <c r="K245" t="s">
        <v>780</v>
      </c>
      <c r="L245">
        <v>1.5</v>
      </c>
      <c r="M245">
        <v>1</v>
      </c>
      <c r="N245">
        <v>0.6666666666666666</v>
      </c>
      <c r="O245">
        <v>39</v>
      </c>
      <c r="P245">
        <v>0.04057159395880827</v>
      </c>
      <c r="Q245">
        <v>0.397674307999619</v>
      </c>
      <c r="R245" t="s">
        <v>784</v>
      </c>
      <c r="S245" t="s">
        <v>792</v>
      </c>
      <c r="T245">
        <v>229.231645</v>
      </c>
      <c r="U245" s="2">
        <v>44509</v>
      </c>
      <c r="V245" t="s">
        <v>806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56.58</v>
      </c>
      <c r="D246">
        <v>57</v>
      </c>
      <c r="E246">
        <v>0.9926315789473684</v>
      </c>
      <c r="F246">
        <v>0.02969247083775186</v>
      </c>
      <c r="G246">
        <v>0.001480234859932983</v>
      </c>
      <c r="H246">
        <v>0.02</v>
      </c>
      <c r="I246">
        <v>0.04890438942566888</v>
      </c>
      <c r="J246" t="s">
        <v>781</v>
      </c>
      <c r="K246" t="s">
        <v>781</v>
      </c>
      <c r="L246">
        <v>3.15</v>
      </c>
      <c r="M246">
        <v>1.68</v>
      </c>
      <c r="N246">
        <v>0.5333333333333333</v>
      </c>
      <c r="O246">
        <v>29</v>
      </c>
      <c r="P246">
        <v>0.01946539682289394</v>
      </c>
      <c r="Q246">
        <v>0.09280701484973601</v>
      </c>
      <c r="R246" t="s">
        <v>784</v>
      </c>
      <c r="S246" t="s">
        <v>794</v>
      </c>
      <c r="T246">
        <v>1529.487528</v>
      </c>
      <c r="U246" s="2">
        <v>44490</v>
      </c>
      <c r="V246" t="s">
        <v>800</v>
      </c>
    </row>
    <row r="247" spans="1:22">
      <c r="A247" s="1" t="s">
        <v>267</v>
      </c>
      <c r="B247">
        <f>HYPERLINK("https://www.suredividend.com/sure-analysis-KMB/","Kimberly-Clark Corp.")</f>
        <v>0</v>
      </c>
      <c r="C247">
        <v>138.3</v>
      </c>
      <c r="D247">
        <v>112</v>
      </c>
      <c r="E247">
        <v>1.234821428571429</v>
      </c>
      <c r="F247">
        <v>0.03297180043383947</v>
      </c>
      <c r="G247">
        <v>-0.04130785610776244</v>
      </c>
      <c r="H247">
        <v>0.06</v>
      </c>
      <c r="I247">
        <v>0.04881561516859811</v>
      </c>
      <c r="J247" t="s">
        <v>781</v>
      </c>
      <c r="K247" t="s">
        <v>780</v>
      </c>
      <c r="L247">
        <v>6.2</v>
      </c>
      <c r="M247">
        <v>4.56</v>
      </c>
      <c r="N247">
        <v>0.7354838709677418</v>
      </c>
      <c r="O247">
        <v>49</v>
      </c>
      <c r="P247">
        <v>0.03932663634209943</v>
      </c>
      <c r="Q247">
        <v>0.050464755914712</v>
      </c>
      <c r="R247" t="s">
        <v>784</v>
      </c>
      <c r="S247" t="s">
        <v>795</v>
      </c>
      <c r="T247">
        <v>46497.212141</v>
      </c>
      <c r="U247" s="2">
        <v>44499</v>
      </c>
      <c r="V247" t="s">
        <v>804</v>
      </c>
    </row>
    <row r="248" spans="1:22">
      <c r="A248" s="1" t="s">
        <v>268</v>
      </c>
      <c r="B248">
        <f>HYPERLINK("https://www.suredividend.com/sure-analysis-DE/","Deere &amp; Co.")</f>
        <v>0</v>
      </c>
      <c r="C248">
        <v>343.94</v>
      </c>
      <c r="D248">
        <v>370</v>
      </c>
      <c r="E248">
        <v>0.9295675675675675</v>
      </c>
      <c r="F248">
        <v>0.01221143222655114</v>
      </c>
      <c r="G248">
        <v>0.0147143622806547</v>
      </c>
      <c r="H248">
        <v>0.02</v>
      </c>
      <c r="I248">
        <v>0.04778403481462412</v>
      </c>
      <c r="J248" t="s">
        <v>781</v>
      </c>
      <c r="K248" t="s">
        <v>349</v>
      </c>
      <c r="L248">
        <v>21.75</v>
      </c>
      <c r="M248">
        <v>4.2</v>
      </c>
      <c r="N248">
        <v>0.1931034482758621</v>
      </c>
      <c r="O248">
        <v>1</v>
      </c>
      <c r="P248">
        <v>0.06997394153840619</v>
      </c>
      <c r="Q248">
        <v>0.3942591165865431</v>
      </c>
      <c r="R248" t="s">
        <v>784</v>
      </c>
      <c r="S248" t="s">
        <v>790</v>
      </c>
      <c r="T248">
        <v>108071.928157</v>
      </c>
      <c r="U248" s="2">
        <v>44525</v>
      </c>
      <c r="V248" t="s">
        <v>803</v>
      </c>
    </row>
    <row r="249" spans="1:22">
      <c r="A249" s="1" t="s">
        <v>269</v>
      </c>
      <c r="B249">
        <f>HYPERLINK("https://www.suredividend.com/sure-analysis-SIEGY/","Siemens AG")</f>
        <v>0</v>
      </c>
      <c r="C249">
        <v>84.79000000000001</v>
      </c>
      <c r="D249">
        <v>74</v>
      </c>
      <c r="E249">
        <v>1.145810810810811</v>
      </c>
      <c r="F249">
        <v>0.02488501002476707</v>
      </c>
      <c r="G249">
        <v>-0.0268553107850259</v>
      </c>
      <c r="H249">
        <v>0.05</v>
      </c>
      <c r="I249">
        <v>0.04771313321805515</v>
      </c>
      <c r="J249" t="s">
        <v>781</v>
      </c>
      <c r="K249" t="s">
        <v>349</v>
      </c>
      <c r="L249">
        <v>4.6</v>
      </c>
      <c r="M249">
        <v>2.11</v>
      </c>
      <c r="N249">
        <v>0.4586956521739131</v>
      </c>
      <c r="O249">
        <v>0</v>
      </c>
      <c r="P249">
        <v>0.0597253677135221</v>
      </c>
      <c r="Q249">
        <v>0.216023374726077</v>
      </c>
      <c r="R249" t="s">
        <v>784</v>
      </c>
      <c r="S249" t="s">
        <v>790</v>
      </c>
      <c r="T249">
        <v>141502.56</v>
      </c>
      <c r="U249" s="2">
        <v>44513</v>
      </c>
      <c r="V249" t="s">
        <v>801</v>
      </c>
    </row>
    <row r="250" spans="1:22">
      <c r="A250" s="1" t="s">
        <v>270</v>
      </c>
      <c r="B250">
        <f>HYPERLINK("https://www.suredividend.com/sure-analysis-DTE/","DTE Energy Co.")</f>
        <v>0</v>
      </c>
      <c r="C250">
        <v>119.6</v>
      </c>
      <c r="D250">
        <v>102</v>
      </c>
      <c r="E250">
        <v>1.172549019607843</v>
      </c>
      <c r="F250">
        <v>0.02959866220735786</v>
      </c>
      <c r="G250">
        <v>-0.03133457528567574</v>
      </c>
      <c r="H250">
        <v>0.05</v>
      </c>
      <c r="I250">
        <v>0.04734758043681908</v>
      </c>
      <c r="J250" t="s">
        <v>781</v>
      </c>
      <c r="K250" t="s">
        <v>781</v>
      </c>
      <c r="L250">
        <v>6</v>
      </c>
      <c r="M250">
        <v>3.54</v>
      </c>
      <c r="N250">
        <v>0.59</v>
      </c>
      <c r="O250">
        <v>12</v>
      </c>
      <c r="P250">
        <v>0.05009123759249423</v>
      </c>
      <c r="Q250">
        <v>0.155687179310582</v>
      </c>
      <c r="R250" t="s">
        <v>784</v>
      </c>
      <c r="S250" t="s">
        <v>796</v>
      </c>
      <c r="T250">
        <v>22755.206074</v>
      </c>
      <c r="U250" s="2">
        <v>44498</v>
      </c>
      <c r="V250" t="s">
        <v>807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83.43000000000001</v>
      </c>
      <c r="D251">
        <v>66</v>
      </c>
      <c r="E251">
        <v>1.264090909090909</v>
      </c>
      <c r="F251">
        <v>0.02445163610212154</v>
      </c>
      <c r="G251">
        <v>-0.04578917652185222</v>
      </c>
      <c r="H251">
        <v>0.07000000000000001</v>
      </c>
      <c r="I251">
        <v>0.04729929923789755</v>
      </c>
      <c r="J251" t="s">
        <v>781</v>
      </c>
      <c r="K251" t="s">
        <v>781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0.20798980369804</v>
      </c>
      <c r="R251" t="s">
        <v>784</v>
      </c>
      <c r="S251" t="s">
        <v>790</v>
      </c>
      <c r="T251">
        <v>124980.941457</v>
      </c>
      <c r="U251" s="2">
        <v>44497</v>
      </c>
      <c r="V251" t="s">
        <v>803</v>
      </c>
    </row>
    <row r="252" spans="1:22">
      <c r="A252" s="1" t="s">
        <v>272</v>
      </c>
      <c r="B252">
        <f>HYPERLINK("https://www.suredividend.com/sure-analysis-AMX/","America Movil S.A.B.DE C.V.")</f>
        <v>0</v>
      </c>
      <c r="C252">
        <v>19.4</v>
      </c>
      <c r="D252">
        <v>18</v>
      </c>
      <c r="E252">
        <v>1.077777777777778</v>
      </c>
      <c r="F252">
        <v>0.02061855670103093</v>
      </c>
      <c r="G252">
        <v>-0.01486861570563414</v>
      </c>
      <c r="H252">
        <v>0.04</v>
      </c>
      <c r="I252">
        <v>0.04512881798692026</v>
      </c>
      <c r="J252" t="s">
        <v>781</v>
      </c>
      <c r="K252" t="s">
        <v>349</v>
      </c>
      <c r="L252">
        <v>1.35</v>
      </c>
      <c r="M252">
        <v>0.4</v>
      </c>
      <c r="N252">
        <v>0.2962962962962963</v>
      </c>
      <c r="O252">
        <v>0</v>
      </c>
      <c r="P252">
        <v>0.04563955259127317</v>
      </c>
      <c r="Q252">
        <v>0.38728829630494</v>
      </c>
      <c r="R252" t="s">
        <v>784</v>
      </c>
      <c r="S252" t="s">
        <v>788</v>
      </c>
      <c r="T252">
        <v>42167.607306</v>
      </c>
      <c r="U252" s="2">
        <v>44494</v>
      </c>
      <c r="V252" t="s">
        <v>807</v>
      </c>
    </row>
    <row r="253" spans="1:22">
      <c r="A253" s="1" t="s">
        <v>273</v>
      </c>
      <c r="B253">
        <f>HYPERLINK("https://www.suredividend.com/sure-analysis-SPTN/","SpartanNash Co")</f>
        <v>0</v>
      </c>
      <c r="C253">
        <v>25.18</v>
      </c>
      <c r="D253">
        <v>21</v>
      </c>
      <c r="E253">
        <v>1.199047619047619</v>
      </c>
      <c r="F253">
        <v>0.03177124702144559</v>
      </c>
      <c r="G253">
        <v>-0.03565437664647064</v>
      </c>
      <c r="H253">
        <v>0.05</v>
      </c>
      <c r="I253">
        <v>0.04446632941069439</v>
      </c>
      <c r="J253" t="s">
        <v>781</v>
      </c>
      <c r="K253" t="s">
        <v>781</v>
      </c>
      <c r="L253">
        <v>1.78</v>
      </c>
      <c r="M253">
        <v>0.8</v>
      </c>
      <c r="N253">
        <v>0.4494382022471911</v>
      </c>
      <c r="O253">
        <v>10</v>
      </c>
      <c r="P253">
        <v>0.03928904495613805</v>
      </c>
      <c r="Q253">
        <v>0.461201854853553</v>
      </c>
      <c r="R253" t="s">
        <v>784</v>
      </c>
      <c r="S253" t="s">
        <v>795</v>
      </c>
      <c r="T253">
        <v>884.59065</v>
      </c>
      <c r="U253" s="2">
        <v>44513</v>
      </c>
      <c r="V253" t="s">
        <v>805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36.36</v>
      </c>
      <c r="D254">
        <v>31</v>
      </c>
      <c r="E254">
        <v>1.172903225806452</v>
      </c>
      <c r="F254">
        <v>0.0264026402640264</v>
      </c>
      <c r="G254">
        <v>-0.03139308799906881</v>
      </c>
      <c r="H254">
        <v>0.05</v>
      </c>
      <c r="I254">
        <v>0.04424621612940038</v>
      </c>
      <c r="J254" t="s">
        <v>781</v>
      </c>
      <c r="K254" t="s">
        <v>781</v>
      </c>
      <c r="L254">
        <v>2.05</v>
      </c>
      <c r="M254">
        <v>0.96</v>
      </c>
      <c r="N254">
        <v>0.4682926829268293</v>
      </c>
      <c r="O254">
        <v>19</v>
      </c>
      <c r="P254">
        <v>0.05081623913789235</v>
      </c>
      <c r="Q254">
        <v>-0.2045614219974</v>
      </c>
      <c r="R254" t="s">
        <v>784</v>
      </c>
      <c r="S254" t="s">
        <v>789</v>
      </c>
      <c r="T254">
        <v>4846.627709</v>
      </c>
      <c r="U254" s="2">
        <v>44510</v>
      </c>
      <c r="V254" t="s">
        <v>800</v>
      </c>
    </row>
    <row r="255" spans="1:22">
      <c r="A255" s="1" t="s">
        <v>275</v>
      </c>
      <c r="B255">
        <f>HYPERLINK("https://www.suredividend.com/sure-analysis-RSG/","Republic Services, Inc.")</f>
        <v>0</v>
      </c>
      <c r="C255">
        <v>137.15</v>
      </c>
      <c r="D255">
        <v>107</v>
      </c>
      <c r="E255">
        <v>1.28177570093458</v>
      </c>
      <c r="F255">
        <v>0.01341596791833759</v>
      </c>
      <c r="G255">
        <v>-0.04843689855571165</v>
      </c>
      <c r="H255">
        <v>0.08</v>
      </c>
      <c r="I255">
        <v>0.04187394440915782</v>
      </c>
      <c r="J255" t="s">
        <v>781</v>
      </c>
      <c r="K255" t="s">
        <v>530</v>
      </c>
      <c r="L255">
        <v>4.12</v>
      </c>
      <c r="M255">
        <v>1.84</v>
      </c>
      <c r="N255">
        <v>0.4466019417475728</v>
      </c>
      <c r="O255">
        <v>17</v>
      </c>
      <c r="P255">
        <v>0.0649189212487713</v>
      </c>
      <c r="Q255">
        <v>0.451013953169534</v>
      </c>
      <c r="R255" t="s">
        <v>784</v>
      </c>
      <c r="S255" t="s">
        <v>790</v>
      </c>
      <c r="T255">
        <v>42956.831879</v>
      </c>
      <c r="U255" s="2">
        <v>44502</v>
      </c>
      <c r="V255" t="s">
        <v>799</v>
      </c>
    </row>
    <row r="256" spans="1:22">
      <c r="A256" s="1" t="s">
        <v>276</v>
      </c>
      <c r="B256">
        <f>HYPERLINK("https://www.suredividend.com/sure-analysis-SJM/","J.M. Smucker Co.")</f>
        <v>0</v>
      </c>
      <c r="C256">
        <v>134.73</v>
      </c>
      <c r="D256">
        <v>112</v>
      </c>
      <c r="E256">
        <v>1.202946428571428</v>
      </c>
      <c r="F256">
        <v>0.02939211756847028</v>
      </c>
      <c r="G256">
        <v>-0.03628028709288389</v>
      </c>
      <c r="H256">
        <v>0.05</v>
      </c>
      <c r="I256">
        <v>0.04169018372171318</v>
      </c>
      <c r="J256" t="s">
        <v>781</v>
      </c>
      <c r="K256" t="s">
        <v>781</v>
      </c>
      <c r="L256">
        <v>7</v>
      </c>
      <c r="M256">
        <v>3.96</v>
      </c>
      <c r="N256">
        <v>0.5657142857142857</v>
      </c>
      <c r="O256">
        <v>24</v>
      </c>
      <c r="P256">
        <v>0.04008868188296377</v>
      </c>
      <c r="Q256">
        <v>0.229747555151239</v>
      </c>
      <c r="R256" t="s">
        <v>784</v>
      </c>
      <c r="S256" t="s">
        <v>795</v>
      </c>
      <c r="T256">
        <v>14648.539539</v>
      </c>
      <c r="U256" s="2">
        <v>44525</v>
      </c>
      <c r="V256" t="s">
        <v>803</v>
      </c>
    </row>
    <row r="257" spans="1:22">
      <c r="A257" s="1" t="s">
        <v>277</v>
      </c>
      <c r="B257">
        <f>HYPERLINK("https://www.suredividend.com/sure-analysis-MTB/","M &amp; T Bank Corp")</f>
        <v>0</v>
      </c>
      <c r="C257">
        <v>150.62</v>
      </c>
      <c r="D257">
        <v>120</v>
      </c>
      <c r="E257">
        <v>1.255166666666667</v>
      </c>
      <c r="F257">
        <v>0.03186827778515469</v>
      </c>
      <c r="G257">
        <v>-0.04443613021634962</v>
      </c>
      <c r="H257">
        <v>0.057</v>
      </c>
      <c r="I257">
        <v>0.04164590791158629</v>
      </c>
      <c r="J257" t="s">
        <v>781</v>
      </c>
      <c r="K257" t="s">
        <v>781</v>
      </c>
      <c r="L257">
        <v>12.02</v>
      </c>
      <c r="M257">
        <v>4.8</v>
      </c>
      <c r="N257">
        <v>0.3993344425956739</v>
      </c>
      <c r="O257">
        <v>5</v>
      </c>
      <c r="P257">
        <v>0.03167836877916708</v>
      </c>
      <c r="Q257">
        <v>0.233764625254935</v>
      </c>
      <c r="R257" t="s">
        <v>784</v>
      </c>
      <c r="S257" t="s">
        <v>794</v>
      </c>
      <c r="T257">
        <v>19228.048001</v>
      </c>
      <c r="U257" s="2">
        <v>44490</v>
      </c>
      <c r="V257" t="s">
        <v>800</v>
      </c>
    </row>
    <row r="258" spans="1:22">
      <c r="A258" s="1" t="s">
        <v>278</v>
      </c>
      <c r="B258">
        <f>HYPERLINK("https://www.suredividend.com/sure-analysis-CVS/","CVS Health Corp")</f>
        <v>0</v>
      </c>
      <c r="C258">
        <v>100.55</v>
      </c>
      <c r="D258">
        <v>87</v>
      </c>
      <c r="E258">
        <v>1.155747126436782</v>
      </c>
      <c r="F258">
        <v>0.02187966185977126</v>
      </c>
      <c r="G258">
        <v>-0.02853438014340126</v>
      </c>
      <c r="H258">
        <v>0.05</v>
      </c>
      <c r="I258">
        <v>0.04124057984385487</v>
      </c>
      <c r="J258" t="s">
        <v>781</v>
      </c>
      <c r="K258" t="s">
        <v>349</v>
      </c>
      <c r="L258">
        <v>7.95</v>
      </c>
      <c r="M258">
        <v>2.2</v>
      </c>
      <c r="N258">
        <v>0.2767295597484277</v>
      </c>
      <c r="O258">
        <v>1</v>
      </c>
      <c r="P258">
        <v>0.02996744995959233</v>
      </c>
      <c r="Q258">
        <v>0.452732513677275</v>
      </c>
      <c r="R258" t="s">
        <v>784</v>
      </c>
      <c r="S258" t="s">
        <v>789</v>
      </c>
      <c r="T258">
        <v>130395.394138</v>
      </c>
      <c r="U258" s="2">
        <v>44503</v>
      </c>
      <c r="V258" t="s">
        <v>800</v>
      </c>
    </row>
    <row r="259" spans="1:22">
      <c r="A259" s="1" t="s">
        <v>279</v>
      </c>
      <c r="B259">
        <f>HYPERLINK("https://www.suredividend.com/sure-analysis-CTSH/","Cognizant Technology Solutions Corp.")</f>
        <v>0</v>
      </c>
      <c r="C259">
        <v>82.90000000000001</v>
      </c>
      <c r="D259">
        <v>65</v>
      </c>
      <c r="E259">
        <v>1.275384615384616</v>
      </c>
      <c r="F259">
        <v>0.01158021712907117</v>
      </c>
      <c r="G259">
        <v>-0.04748512799451698</v>
      </c>
      <c r="H259">
        <v>0.08</v>
      </c>
      <c r="I259">
        <v>0.04121427687835033</v>
      </c>
      <c r="J259" t="s">
        <v>781</v>
      </c>
      <c r="K259" t="s">
        <v>530</v>
      </c>
      <c r="L259">
        <v>4.05</v>
      </c>
      <c r="M259">
        <v>0.96</v>
      </c>
      <c r="N259">
        <v>0.237037037037037</v>
      </c>
      <c r="O259">
        <v>2</v>
      </c>
      <c r="P259">
        <v>0.07214502590085092</v>
      </c>
      <c r="Q259">
        <v>0.047129792684158</v>
      </c>
      <c r="R259" t="s">
        <v>784</v>
      </c>
      <c r="S259" t="s">
        <v>791</v>
      </c>
      <c r="T259">
        <v>43007.61198</v>
      </c>
      <c r="U259" s="2">
        <v>44504</v>
      </c>
      <c r="V259" t="s">
        <v>807</v>
      </c>
    </row>
    <row r="260" spans="1:22">
      <c r="A260" s="1" t="s">
        <v>280</v>
      </c>
      <c r="B260">
        <f>HYPERLINK("https://www.suredividend.com/sure-analysis-CONE/","CyrusOne Inc")</f>
        <v>0</v>
      </c>
      <c r="C260">
        <v>89.64</v>
      </c>
      <c r="D260">
        <v>73</v>
      </c>
      <c r="E260">
        <v>1.227945205479452</v>
      </c>
      <c r="F260">
        <v>0.02320392681838465</v>
      </c>
      <c r="G260">
        <v>-0.04023656000419407</v>
      </c>
      <c r="H260">
        <v>0.06</v>
      </c>
      <c r="I260">
        <v>0.04032955642561076</v>
      </c>
      <c r="J260" t="s">
        <v>781</v>
      </c>
      <c r="K260" t="s">
        <v>349</v>
      </c>
      <c r="L260">
        <v>4.06</v>
      </c>
      <c r="M260">
        <v>2.08</v>
      </c>
      <c r="N260">
        <v>0.5123152709359606</v>
      </c>
      <c r="O260">
        <v>8</v>
      </c>
      <c r="P260">
        <v>0.03496752704080697</v>
      </c>
      <c r="Q260">
        <v>0.3820490983819</v>
      </c>
      <c r="R260" t="s">
        <v>786</v>
      </c>
      <c r="S260" t="s">
        <v>798</v>
      </c>
      <c r="T260">
        <v>11368.801236</v>
      </c>
      <c r="U260" s="2">
        <v>44500</v>
      </c>
      <c r="V260" t="s">
        <v>799</v>
      </c>
    </row>
    <row r="261" spans="1:22">
      <c r="A261" s="1" t="s">
        <v>281</v>
      </c>
      <c r="B261">
        <f>HYPERLINK("https://www.suredividend.com/sure-analysis-NEP/","NextEra Energy Partners LP")</f>
        <v>0</v>
      </c>
      <c r="C261">
        <v>86.87</v>
      </c>
      <c r="D261">
        <v>72.8</v>
      </c>
      <c r="E261">
        <v>1.193269230769231</v>
      </c>
      <c r="F261">
        <v>0.03154138367675838</v>
      </c>
      <c r="G261">
        <v>-0.03472221466267722</v>
      </c>
      <c r="H261">
        <v>0.039</v>
      </c>
      <c r="I261">
        <v>0.03950057781023353</v>
      </c>
      <c r="J261" t="s">
        <v>781</v>
      </c>
      <c r="K261" t="s">
        <v>781</v>
      </c>
      <c r="L261">
        <v>6.62</v>
      </c>
      <c r="M261">
        <v>2.74</v>
      </c>
      <c r="N261">
        <v>0.4138972809667674</v>
      </c>
      <c r="O261">
        <v>7</v>
      </c>
      <c r="P261">
        <v>0.07860365022909654</v>
      </c>
      <c r="Q261">
        <v>0.400622316363308</v>
      </c>
      <c r="R261" t="s">
        <v>785</v>
      </c>
      <c r="S261" t="s">
        <v>796</v>
      </c>
      <c r="T261">
        <v>6535.635076</v>
      </c>
      <c r="U261" s="2">
        <v>44494</v>
      </c>
      <c r="V261" t="s">
        <v>808</v>
      </c>
    </row>
    <row r="262" spans="1:22">
      <c r="A262" s="1" t="s">
        <v>282</v>
      </c>
      <c r="B262">
        <f>HYPERLINK("https://www.suredividend.com/sure-analysis-AAP/","Advance Auto Parts Inc")</f>
        <v>0</v>
      </c>
      <c r="C262">
        <v>238.14</v>
      </c>
      <c r="D262">
        <v>204</v>
      </c>
      <c r="E262">
        <v>1.16735294117647</v>
      </c>
      <c r="F262">
        <v>0.01679684219366759</v>
      </c>
      <c r="G262">
        <v>-0.03047376898532406</v>
      </c>
      <c r="H262">
        <v>0.05</v>
      </c>
      <c r="I262">
        <v>0.03629930333339848</v>
      </c>
      <c r="J262" t="s">
        <v>781</v>
      </c>
      <c r="K262" t="s">
        <v>349</v>
      </c>
      <c r="L262">
        <v>12</v>
      </c>
      <c r="M262">
        <v>4</v>
      </c>
      <c r="N262">
        <v>0.3333333333333333</v>
      </c>
      <c r="O262">
        <v>2</v>
      </c>
      <c r="P262">
        <v>0.06498652656427617</v>
      </c>
      <c r="Q262">
        <v>0.513334820587628</v>
      </c>
      <c r="R262" t="s">
        <v>784</v>
      </c>
      <c r="S262" t="s">
        <v>792</v>
      </c>
      <c r="T262">
        <v>14677.785114</v>
      </c>
      <c r="U262" s="2">
        <v>44517</v>
      </c>
      <c r="V262" t="s">
        <v>803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109.85</v>
      </c>
      <c r="D263">
        <v>90</v>
      </c>
      <c r="E263">
        <v>1.220555555555555</v>
      </c>
      <c r="F263">
        <v>0.03677742375967228</v>
      </c>
      <c r="G263">
        <v>-0.03907721871386238</v>
      </c>
      <c r="H263">
        <v>0.04</v>
      </c>
      <c r="I263">
        <v>0.03625875192379202</v>
      </c>
      <c r="J263" t="s">
        <v>781</v>
      </c>
      <c r="K263" t="s">
        <v>781</v>
      </c>
      <c r="L263">
        <v>6</v>
      </c>
      <c r="M263">
        <v>4.04</v>
      </c>
      <c r="N263">
        <v>0.6733333333333333</v>
      </c>
      <c r="O263">
        <v>28</v>
      </c>
      <c r="P263">
        <v>0.02496011802205444</v>
      </c>
      <c r="Q263">
        <v>0.098202587618735</v>
      </c>
      <c r="R263" t="s">
        <v>784</v>
      </c>
      <c r="S263" t="s">
        <v>796</v>
      </c>
      <c r="T263">
        <v>21563.283462</v>
      </c>
      <c r="U263" s="2">
        <v>44510</v>
      </c>
      <c r="V263" t="s">
        <v>801</v>
      </c>
    </row>
    <row r="264" spans="1:22">
      <c r="A264" s="1" t="s">
        <v>284</v>
      </c>
      <c r="B264">
        <f>HYPERLINK("https://www.suredividend.com/sure-analysis-OTTR/","Otter Tail Corporation")</f>
        <v>0</v>
      </c>
      <c r="C264">
        <v>69.66</v>
      </c>
      <c r="D264">
        <v>72</v>
      </c>
      <c r="E264">
        <v>0.9674999999999999</v>
      </c>
      <c r="F264">
        <v>0.02239448751076658</v>
      </c>
      <c r="G264">
        <v>0.006629851624153416</v>
      </c>
      <c r="H264">
        <v>0.005</v>
      </c>
      <c r="I264">
        <v>0.03411738881574133</v>
      </c>
      <c r="J264" t="s">
        <v>781</v>
      </c>
      <c r="K264" t="s">
        <v>349</v>
      </c>
      <c r="L264">
        <v>3.61</v>
      </c>
      <c r="M264">
        <v>1.56</v>
      </c>
      <c r="N264">
        <v>0.4321329639889197</v>
      </c>
      <c r="O264">
        <v>8</v>
      </c>
      <c r="P264">
        <v>0.03131030647754507</v>
      </c>
      <c r="Q264">
        <v>0.613355343071604</v>
      </c>
      <c r="R264" t="s">
        <v>784</v>
      </c>
      <c r="S264" t="s">
        <v>796</v>
      </c>
      <c r="T264">
        <v>2797.302523</v>
      </c>
      <c r="U264" s="2">
        <v>44506</v>
      </c>
      <c r="V264" t="s">
        <v>808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478.31</v>
      </c>
      <c r="D265">
        <v>400</v>
      </c>
      <c r="E265">
        <v>1.195775</v>
      </c>
      <c r="F265">
        <v>0.01087161046183437</v>
      </c>
      <c r="G265">
        <v>-0.03512710577552625</v>
      </c>
      <c r="H265">
        <v>0.055</v>
      </c>
      <c r="I265">
        <v>0.02943131748326544</v>
      </c>
      <c r="J265" t="s">
        <v>781</v>
      </c>
      <c r="K265" t="s">
        <v>530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0.295304733088394</v>
      </c>
      <c r="R265" t="s">
        <v>784</v>
      </c>
      <c r="S265" t="s">
        <v>795</v>
      </c>
      <c r="T265">
        <v>267387.164531</v>
      </c>
      <c r="U265" s="2">
        <v>44505</v>
      </c>
      <c r="V265" t="s">
        <v>799</v>
      </c>
    </row>
    <row r="266" spans="1:22">
      <c r="A266" s="1" t="s">
        <v>286</v>
      </c>
      <c r="B266">
        <f>HYPERLINK("https://www.suredividend.com/sure-analysis-MGRC/","McGrath Rentcorp")</f>
        <v>0</v>
      </c>
      <c r="C266">
        <v>74.76000000000001</v>
      </c>
      <c r="D266">
        <v>65</v>
      </c>
      <c r="E266">
        <v>1.150153846153846</v>
      </c>
      <c r="F266">
        <v>0.0232744783306581</v>
      </c>
      <c r="G266">
        <v>-0.02759135143416647</v>
      </c>
      <c r="H266">
        <v>0.03</v>
      </c>
      <c r="I266">
        <v>0.02570679909233364</v>
      </c>
      <c r="J266" t="s">
        <v>781</v>
      </c>
      <c r="K266" t="s">
        <v>781</v>
      </c>
      <c r="L266">
        <v>3.69</v>
      </c>
      <c r="M266">
        <v>1.74</v>
      </c>
      <c r="N266">
        <v>0.4715447154471545</v>
      </c>
      <c r="O266">
        <v>30</v>
      </c>
      <c r="P266">
        <v>0.0302922291651091</v>
      </c>
      <c r="Q266">
        <v>0.206478956063502</v>
      </c>
      <c r="R266" t="s">
        <v>784</v>
      </c>
      <c r="S266" t="s">
        <v>790</v>
      </c>
      <c r="T266">
        <v>1800.792605</v>
      </c>
      <c r="U266" s="2">
        <v>44498</v>
      </c>
      <c r="V266" t="s">
        <v>800</v>
      </c>
    </row>
    <row r="267" spans="1:22">
      <c r="A267" s="1" t="s">
        <v>287</v>
      </c>
      <c r="B267">
        <f>HYPERLINK("https://www.suredividend.com/sure-analysis-AMT/","American Tower Corp.")</f>
        <v>0</v>
      </c>
      <c r="C267">
        <v>274.35</v>
      </c>
      <c r="D267">
        <v>209</v>
      </c>
      <c r="E267">
        <v>1.312679425837321</v>
      </c>
      <c r="F267">
        <v>0.01909969017678148</v>
      </c>
      <c r="G267">
        <v>-0.05296012715745413</v>
      </c>
      <c r="H267">
        <v>0.06</v>
      </c>
      <c r="I267">
        <v>0.02539039220725448</v>
      </c>
      <c r="J267" t="s">
        <v>781</v>
      </c>
      <c r="K267" t="s">
        <v>530</v>
      </c>
      <c r="L267">
        <v>9.5</v>
      </c>
      <c r="M267">
        <v>5.24</v>
      </c>
      <c r="N267">
        <v>0.5515789473684211</v>
      </c>
      <c r="O267">
        <v>9</v>
      </c>
      <c r="P267">
        <v>0.0599303946492904</v>
      </c>
      <c r="Q267">
        <v>0.287302268139869</v>
      </c>
      <c r="R267" t="s">
        <v>786</v>
      </c>
      <c r="S267" t="s">
        <v>798</v>
      </c>
      <c r="T267">
        <v>124514.658897</v>
      </c>
      <c r="U267" s="2">
        <v>44502</v>
      </c>
      <c r="V267" t="s">
        <v>803</v>
      </c>
    </row>
    <row r="268" spans="1:22">
      <c r="A268" s="1" t="s">
        <v>288</v>
      </c>
      <c r="B268">
        <f>HYPERLINK("https://www.suredividend.com/sure-analysis-PEG/","Public Service Enterprise Group Inc.")</f>
        <v>0</v>
      </c>
      <c r="C268">
        <v>65.55</v>
      </c>
      <c r="D268">
        <v>54</v>
      </c>
      <c r="E268">
        <v>1.213888888888889</v>
      </c>
      <c r="F268">
        <v>0.03112128146453089</v>
      </c>
      <c r="G268">
        <v>-0.03802405394424679</v>
      </c>
      <c r="H268">
        <v>0.03</v>
      </c>
      <c r="I268">
        <v>0.02478607603281069</v>
      </c>
      <c r="J268" t="s">
        <v>781</v>
      </c>
      <c r="K268" t="s">
        <v>781</v>
      </c>
      <c r="L268">
        <v>3.63</v>
      </c>
      <c r="M268">
        <v>2.04</v>
      </c>
      <c r="N268">
        <v>0.5619834710743802</v>
      </c>
      <c r="O268">
        <v>9</v>
      </c>
      <c r="P268">
        <v>0.0398346919425614</v>
      </c>
      <c r="Q268">
        <v>0.172944302867924</v>
      </c>
      <c r="R268" t="s">
        <v>784</v>
      </c>
      <c r="S268" t="s">
        <v>796</v>
      </c>
      <c r="T268">
        <v>32624.888456</v>
      </c>
      <c r="U268" s="2">
        <v>44513</v>
      </c>
      <c r="V268" t="s">
        <v>802</v>
      </c>
    </row>
    <row r="269" spans="1:22">
      <c r="A269" s="1" t="s">
        <v>289</v>
      </c>
      <c r="B269">
        <f>HYPERLINK("https://www.suredividend.com/sure-analysis-HON/","Honeywell International Inc")</f>
        <v>0</v>
      </c>
      <c r="C269">
        <v>209.76</v>
      </c>
      <c r="D269">
        <v>137</v>
      </c>
      <c r="E269">
        <v>1.531094890510949</v>
      </c>
      <c r="F269">
        <v>0.01868802440884821</v>
      </c>
      <c r="G269">
        <v>-0.08166829466288328</v>
      </c>
      <c r="H269">
        <v>0.09</v>
      </c>
      <c r="I269">
        <v>0.02416506373381666</v>
      </c>
      <c r="J269" t="s">
        <v>781</v>
      </c>
      <c r="K269" t="s">
        <v>349</v>
      </c>
      <c r="L269">
        <v>8.050000000000001</v>
      </c>
      <c r="M269">
        <v>3.92</v>
      </c>
      <c r="N269">
        <v>0.4869565217391304</v>
      </c>
      <c r="O269">
        <v>12</v>
      </c>
      <c r="P269">
        <v>0.08994918009420316</v>
      </c>
      <c r="Q269">
        <v>-0.007732942469346001</v>
      </c>
      <c r="R269" t="s">
        <v>784</v>
      </c>
      <c r="S269" t="s">
        <v>790</v>
      </c>
      <c r="T269">
        <v>142283.260473</v>
      </c>
      <c r="U269" s="2">
        <v>44491</v>
      </c>
      <c r="V269" t="s">
        <v>800</v>
      </c>
    </row>
    <row r="270" spans="1:22">
      <c r="A270" s="1" t="s">
        <v>290</v>
      </c>
      <c r="B270">
        <f>HYPERLINK("https://www.suredividend.com/sure-analysis-NSC/","Norfolk Southern Corp.")</f>
        <v>0</v>
      </c>
      <c r="C270">
        <v>287.77</v>
      </c>
      <c r="D270">
        <v>216</v>
      </c>
      <c r="E270">
        <v>1.332268518518518</v>
      </c>
      <c r="F270">
        <v>0.01515098863675853</v>
      </c>
      <c r="G270">
        <v>-0.05576162465309631</v>
      </c>
      <c r="H270">
        <v>0.065</v>
      </c>
      <c r="I270">
        <v>0.02373013908449995</v>
      </c>
      <c r="J270" t="s">
        <v>781</v>
      </c>
      <c r="K270" t="s">
        <v>530</v>
      </c>
      <c r="L270">
        <v>12</v>
      </c>
      <c r="M270">
        <v>4.36</v>
      </c>
      <c r="N270">
        <v>0.3633333333333333</v>
      </c>
      <c r="O270">
        <v>5</v>
      </c>
      <c r="P270">
        <v>0.0801257210213755</v>
      </c>
      <c r="Q270">
        <v>0.257113742343519</v>
      </c>
      <c r="R270" t="s">
        <v>784</v>
      </c>
      <c r="S270" t="s">
        <v>790</v>
      </c>
      <c r="T270">
        <v>72065.70163</v>
      </c>
      <c r="U270" s="2">
        <v>44503</v>
      </c>
      <c r="V270" t="s">
        <v>801</v>
      </c>
    </row>
    <row r="271" spans="1:22">
      <c r="A271" s="1" t="s">
        <v>291</v>
      </c>
      <c r="B271">
        <f>HYPERLINK("https://www.suredividend.com/sure-analysis-SBAC/","SBA Communications Corp")</f>
        <v>0</v>
      </c>
      <c r="C271">
        <v>370.18</v>
      </c>
      <c r="D271">
        <v>244</v>
      </c>
      <c r="E271">
        <v>1.517131147540984</v>
      </c>
      <c r="F271">
        <v>0.006267221351774811</v>
      </c>
      <c r="G271">
        <v>-0.07998401096764274</v>
      </c>
      <c r="H271">
        <v>0.1</v>
      </c>
      <c r="I271">
        <v>0.02246684571492774</v>
      </c>
      <c r="J271" t="s">
        <v>781</v>
      </c>
      <c r="K271" t="s">
        <v>530</v>
      </c>
      <c r="L271">
        <v>10.6</v>
      </c>
      <c r="M271">
        <v>2.32</v>
      </c>
      <c r="N271">
        <v>0.2188679245283019</v>
      </c>
      <c r="O271">
        <v>2</v>
      </c>
      <c r="P271">
        <v>0.1998793126786198</v>
      </c>
      <c r="Q271">
        <v>0.336069918174447</v>
      </c>
      <c r="R271" t="s">
        <v>784</v>
      </c>
      <c r="S271" t="s">
        <v>791</v>
      </c>
      <c r="T271">
        <v>39822.679802</v>
      </c>
      <c r="U271" s="2">
        <v>44502</v>
      </c>
      <c r="V271" t="s">
        <v>799</v>
      </c>
    </row>
    <row r="272" spans="1:22">
      <c r="A272" s="1" t="s">
        <v>292</v>
      </c>
      <c r="B272">
        <f>HYPERLINK("https://www.suredividend.com/sure-analysis-ED/","Consolidated Edison, Inc.")</f>
        <v>0</v>
      </c>
      <c r="C272">
        <v>84.52</v>
      </c>
      <c r="D272">
        <v>65</v>
      </c>
      <c r="E272">
        <v>1.300307692307692</v>
      </c>
      <c r="F272">
        <v>0.03667770941788926</v>
      </c>
      <c r="G272">
        <v>-0.05116483096779456</v>
      </c>
      <c r="H272">
        <v>0.035</v>
      </c>
      <c r="I272">
        <v>0.02235647915990735</v>
      </c>
      <c r="J272" t="s">
        <v>781</v>
      </c>
      <c r="K272" t="s">
        <v>780</v>
      </c>
      <c r="L272">
        <v>4.25</v>
      </c>
      <c r="M272">
        <v>3.1</v>
      </c>
      <c r="N272">
        <v>0.7294117647058824</v>
      </c>
      <c r="O272">
        <v>47</v>
      </c>
      <c r="P272">
        <v>0.03489723107282572</v>
      </c>
      <c r="Q272">
        <v>0.183262743513537</v>
      </c>
      <c r="R272" t="s">
        <v>784</v>
      </c>
      <c r="S272" t="s">
        <v>796</v>
      </c>
      <c r="T272">
        <v>29390.764971</v>
      </c>
      <c r="U272" s="2">
        <v>44507</v>
      </c>
      <c r="V272" t="s">
        <v>800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95.68000000000001</v>
      </c>
      <c r="D273">
        <v>79</v>
      </c>
      <c r="E273">
        <v>1.211139240506329</v>
      </c>
      <c r="F273">
        <v>0.02717391304347826</v>
      </c>
      <c r="G273">
        <v>-0.03758765543294706</v>
      </c>
      <c r="H273">
        <v>0.03</v>
      </c>
      <c r="I273">
        <v>0.02198875326943095</v>
      </c>
      <c r="J273" t="s">
        <v>781</v>
      </c>
      <c r="K273" t="s">
        <v>781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0.217023264481428</v>
      </c>
      <c r="R273" t="s">
        <v>784</v>
      </c>
      <c r="S273" t="s">
        <v>795</v>
      </c>
      <c r="T273">
        <v>6344.201116</v>
      </c>
      <c r="U273" s="2">
        <v>44509</v>
      </c>
      <c r="V273" t="s">
        <v>810</v>
      </c>
    </row>
    <row r="274" spans="1:22">
      <c r="A274" s="1" t="s">
        <v>294</v>
      </c>
      <c r="B274">
        <f>HYPERLINK("https://www.suredividend.com/sure-analysis-AUY/","Yamana Gold Inc.")</f>
        <v>0</v>
      </c>
      <c r="C274">
        <v>3.8</v>
      </c>
      <c r="D274">
        <v>3.26</v>
      </c>
      <c r="E274">
        <v>1.165644171779141</v>
      </c>
      <c r="F274">
        <v>0.02894736842105263</v>
      </c>
      <c r="G274">
        <v>-0.03018968123417587</v>
      </c>
      <c r="H274">
        <v>0.02</v>
      </c>
      <c r="I274">
        <v>0.02198124653440314</v>
      </c>
      <c r="J274" t="s">
        <v>781</v>
      </c>
      <c r="K274" t="s">
        <v>781</v>
      </c>
      <c r="L274">
        <v>4.65</v>
      </c>
      <c r="M274">
        <v>0.11</v>
      </c>
      <c r="N274">
        <v>0.02365591397849462</v>
      </c>
      <c r="O274">
        <v>3</v>
      </c>
      <c r="P274">
        <v>0.04941452284458392</v>
      </c>
      <c r="Q274">
        <v>-0.254805821464705</v>
      </c>
      <c r="R274" t="s">
        <v>784</v>
      </c>
      <c r="S274" t="s">
        <v>793</v>
      </c>
      <c r="T274">
        <v>3688.892524</v>
      </c>
      <c r="U274" s="2">
        <v>44528</v>
      </c>
      <c r="V274" t="s">
        <v>802</v>
      </c>
    </row>
    <row r="275" spans="1:22">
      <c r="A275" s="1" t="s">
        <v>295</v>
      </c>
      <c r="B275">
        <f>HYPERLINK("https://www.suredividend.com/sure-analysis-CLX/","Clorox Co.")</f>
        <v>0</v>
      </c>
      <c r="C275">
        <v>176.13</v>
      </c>
      <c r="D275">
        <v>127</v>
      </c>
      <c r="E275">
        <v>1.386850393700787</v>
      </c>
      <c r="F275">
        <v>0.02634417759609379</v>
      </c>
      <c r="G275">
        <v>-0.06331389648780672</v>
      </c>
      <c r="H275">
        <v>0.06</v>
      </c>
      <c r="I275">
        <v>0.02171819453645751</v>
      </c>
      <c r="J275" t="s">
        <v>781</v>
      </c>
      <c r="K275" t="s">
        <v>781</v>
      </c>
      <c r="L275">
        <v>5.5</v>
      </c>
      <c r="M275">
        <v>4.64</v>
      </c>
      <c r="N275">
        <v>0.8436363636363636</v>
      </c>
      <c r="O275">
        <v>44</v>
      </c>
      <c r="P275">
        <v>0.04017423812999366</v>
      </c>
      <c r="Q275">
        <v>-0.125569655894669</v>
      </c>
      <c r="R275" t="s">
        <v>784</v>
      </c>
      <c r="S275" t="s">
        <v>795</v>
      </c>
      <c r="T275">
        <v>21214.713805</v>
      </c>
      <c r="U275" s="2">
        <v>44519</v>
      </c>
      <c r="V275" t="s">
        <v>804</v>
      </c>
    </row>
    <row r="276" spans="1:22">
      <c r="A276" s="1" t="s">
        <v>296</v>
      </c>
      <c r="B276">
        <f>HYPERLINK("https://www.suredividend.com/sure-analysis-AJG/","Arthur J. Gallagher &amp; Co.")</f>
        <v>0</v>
      </c>
      <c r="C276">
        <v>167.61</v>
      </c>
      <c r="D276">
        <v>136</v>
      </c>
      <c r="E276">
        <v>1.232426470588235</v>
      </c>
      <c r="F276">
        <v>0.01145516377304457</v>
      </c>
      <c r="G276">
        <v>-0.04093554265937427</v>
      </c>
      <c r="H276">
        <v>0.05</v>
      </c>
      <c r="I276">
        <v>0.01962236040467591</v>
      </c>
      <c r="J276" t="s">
        <v>781</v>
      </c>
      <c r="K276" t="s">
        <v>530</v>
      </c>
      <c r="L276">
        <v>5.45</v>
      </c>
      <c r="M276">
        <v>1.92</v>
      </c>
      <c r="N276">
        <v>0.3522935779816513</v>
      </c>
      <c r="O276">
        <v>11</v>
      </c>
      <c r="P276">
        <v>0.04996052445273014</v>
      </c>
      <c r="Q276">
        <v>0.401547236818751</v>
      </c>
      <c r="R276" t="s">
        <v>784</v>
      </c>
      <c r="S276" t="s">
        <v>794</v>
      </c>
      <c r="T276">
        <v>34536.66036</v>
      </c>
      <c r="U276" s="2">
        <v>44518</v>
      </c>
      <c r="V276" t="s">
        <v>804</v>
      </c>
    </row>
    <row r="277" spans="1:22">
      <c r="A277" s="1" t="s">
        <v>297</v>
      </c>
      <c r="B277">
        <f>HYPERLINK("https://www.suredividend.com/sure-analysis-PEP/","PepsiCo Inc")</f>
        <v>0</v>
      </c>
      <c r="C277">
        <v>171.57</v>
      </c>
      <c r="D277">
        <v>124</v>
      </c>
      <c r="E277">
        <v>1.383629032258064</v>
      </c>
      <c r="F277">
        <v>0.02506265664160401</v>
      </c>
      <c r="G277">
        <v>-0.06287814408578785</v>
      </c>
      <c r="H277">
        <v>0.055</v>
      </c>
      <c r="I277">
        <v>0.01778779736862934</v>
      </c>
      <c r="J277" t="s">
        <v>781</v>
      </c>
      <c r="K277" t="s">
        <v>781</v>
      </c>
      <c r="L277">
        <v>6.2</v>
      </c>
      <c r="M277">
        <v>4.3</v>
      </c>
      <c r="N277">
        <v>0.6935483870967741</v>
      </c>
      <c r="O277">
        <v>49</v>
      </c>
      <c r="P277">
        <v>0.0550027021888726</v>
      </c>
      <c r="Q277">
        <v>0.208751765245692</v>
      </c>
      <c r="R277" t="s">
        <v>784</v>
      </c>
      <c r="S277" t="s">
        <v>795</v>
      </c>
      <c r="T277">
        <v>234207.582015</v>
      </c>
      <c r="U277" s="2">
        <v>44474</v>
      </c>
      <c r="V277" t="s">
        <v>800</v>
      </c>
    </row>
    <row r="278" spans="1:22">
      <c r="A278" s="1" t="s">
        <v>298</v>
      </c>
      <c r="B278">
        <f>HYPERLINK("https://www.suredividend.com/sure-analysis-RHHBY/","Roche Holding AG")</f>
        <v>0</v>
      </c>
      <c r="C278">
        <v>50.62</v>
      </c>
      <c r="D278">
        <v>42</v>
      </c>
      <c r="E278">
        <v>1.205238095238095</v>
      </c>
      <c r="F278">
        <v>0.02311339391544844</v>
      </c>
      <c r="G278">
        <v>-0.03664705379312783</v>
      </c>
      <c r="H278">
        <v>0.03</v>
      </c>
      <c r="I278">
        <v>0.01688469906771073</v>
      </c>
      <c r="J278" t="s">
        <v>781</v>
      </c>
      <c r="K278" t="s">
        <v>781</v>
      </c>
      <c r="L278">
        <v>2.3</v>
      </c>
      <c r="M278">
        <v>1.17</v>
      </c>
      <c r="N278">
        <v>0.5086956521739131</v>
      </c>
      <c r="O278">
        <v>34</v>
      </c>
      <c r="P278">
        <v>0.0275046295579735</v>
      </c>
      <c r="Q278">
        <v>0.192670523861865</v>
      </c>
      <c r="R278" t="s">
        <v>784</v>
      </c>
      <c r="S278" t="s">
        <v>789</v>
      </c>
      <c r="T278">
        <v>277484.163992</v>
      </c>
      <c r="U278" s="2">
        <v>44490</v>
      </c>
      <c r="V278" t="s">
        <v>810</v>
      </c>
    </row>
    <row r="279" spans="1:22">
      <c r="A279" s="1" t="s">
        <v>299</v>
      </c>
      <c r="B279">
        <f>HYPERLINK("https://www.suredividend.com/sure-analysis-XEL/","Xcel Energy, Inc.")</f>
        <v>0</v>
      </c>
      <c r="C279">
        <v>68.81999999999999</v>
      </c>
      <c r="D279">
        <v>53</v>
      </c>
      <c r="E279">
        <v>1.298490566037736</v>
      </c>
      <c r="F279">
        <v>0.02659110723626853</v>
      </c>
      <c r="G279">
        <v>-0.05089941679471921</v>
      </c>
      <c r="H279">
        <v>0.04</v>
      </c>
      <c r="I279">
        <v>0.01680703411040474</v>
      </c>
      <c r="J279" t="s">
        <v>781</v>
      </c>
      <c r="K279" t="s">
        <v>349</v>
      </c>
      <c r="L279">
        <v>2.96</v>
      </c>
      <c r="M279">
        <v>1.83</v>
      </c>
      <c r="N279">
        <v>0.6182432432432433</v>
      </c>
      <c r="O279">
        <v>18</v>
      </c>
      <c r="P279">
        <v>0.04032911905890546</v>
      </c>
      <c r="Q279">
        <v>0.064983090489585</v>
      </c>
      <c r="R279" t="s">
        <v>784</v>
      </c>
      <c r="S279" t="s">
        <v>796</v>
      </c>
      <c r="T279">
        <v>36301.346662</v>
      </c>
      <c r="U279" s="2">
        <v>44502</v>
      </c>
      <c r="V279" t="s">
        <v>803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14.12</v>
      </c>
      <c r="D280">
        <v>11</v>
      </c>
      <c r="E280">
        <v>1.283636363636363</v>
      </c>
      <c r="F280">
        <v>0.01628895184135978</v>
      </c>
      <c r="G280">
        <v>-0.04871292149968998</v>
      </c>
      <c r="H280">
        <v>0.05</v>
      </c>
      <c r="I280">
        <v>0.01664833748691152</v>
      </c>
      <c r="J280" t="s">
        <v>781</v>
      </c>
      <c r="K280" t="s">
        <v>530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0.168965604302197</v>
      </c>
      <c r="R280" t="s">
        <v>784</v>
      </c>
      <c r="S280" t="s">
        <v>790</v>
      </c>
      <c r="T280">
        <v>2194.606624</v>
      </c>
      <c r="U280" s="2">
        <v>44511</v>
      </c>
      <c r="V280" t="s">
        <v>799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256.56</v>
      </c>
      <c r="D281">
        <v>151</v>
      </c>
      <c r="E281">
        <v>1.699072847682119</v>
      </c>
      <c r="F281">
        <v>0.006548175865294667</v>
      </c>
      <c r="G281">
        <v>-0.1005902316251307</v>
      </c>
      <c r="H281">
        <v>0.12</v>
      </c>
      <c r="I281">
        <v>0.01574761174439288</v>
      </c>
      <c r="J281" t="s">
        <v>781</v>
      </c>
      <c r="K281" t="s">
        <v>530</v>
      </c>
      <c r="L281">
        <v>6.3</v>
      </c>
      <c r="M281">
        <v>1.68</v>
      </c>
      <c r="N281">
        <v>0.2666666666666667</v>
      </c>
      <c r="O281">
        <v>1</v>
      </c>
      <c r="P281">
        <v>0.1003529239440031</v>
      </c>
      <c r="Q281">
        <v>0.251451104547355</v>
      </c>
      <c r="R281" t="s">
        <v>784</v>
      </c>
      <c r="S281" t="s">
        <v>789</v>
      </c>
      <c r="T281">
        <v>37372.156997</v>
      </c>
      <c r="U281" s="2">
        <v>44508</v>
      </c>
      <c r="V281" t="s">
        <v>801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145.01</v>
      </c>
      <c r="D282">
        <v>113</v>
      </c>
      <c r="E282">
        <v>1.283274336283186</v>
      </c>
      <c r="F282">
        <v>0.0217916005792704</v>
      </c>
      <c r="G282">
        <v>-0.04865925361635215</v>
      </c>
      <c r="H282">
        <v>0.04</v>
      </c>
      <c r="I282">
        <v>0.01376489623041666</v>
      </c>
      <c r="J282" t="s">
        <v>781</v>
      </c>
      <c r="K282" t="s">
        <v>349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0.365889965756667</v>
      </c>
      <c r="R282" t="s">
        <v>784</v>
      </c>
      <c r="S282" t="s">
        <v>793</v>
      </c>
      <c r="T282">
        <v>37090.042496</v>
      </c>
      <c r="U282" s="2">
        <v>44516</v>
      </c>
      <c r="V282" t="s">
        <v>806</v>
      </c>
    </row>
    <row r="283" spans="1:22">
      <c r="A283" s="1" t="s">
        <v>303</v>
      </c>
      <c r="B283">
        <f>HYPERLINK("https://www.suredividend.com/sure-analysis-CARR/","Carrier Global Corp")</f>
        <v>0</v>
      </c>
      <c r="C283">
        <v>53.55</v>
      </c>
      <c r="D283">
        <v>40</v>
      </c>
      <c r="E283">
        <v>1.33875</v>
      </c>
      <c r="F283">
        <v>0.01120448179271709</v>
      </c>
      <c r="G283">
        <v>-0.0566776956244246</v>
      </c>
      <c r="H283">
        <v>0.06</v>
      </c>
      <c r="I283">
        <v>0.01254374156584004</v>
      </c>
      <c r="J283" t="s">
        <v>781</v>
      </c>
      <c r="K283" t="s">
        <v>530</v>
      </c>
      <c r="L283">
        <v>2.2</v>
      </c>
      <c r="M283">
        <v>0.6</v>
      </c>
      <c r="N283">
        <v>0.2727272727272727</v>
      </c>
      <c r="O283">
        <v>2</v>
      </c>
      <c r="P283">
        <v>0.04841317128472156</v>
      </c>
      <c r="Q283">
        <v>0.4780568589566651</v>
      </c>
      <c r="R283" t="s">
        <v>784</v>
      </c>
      <c r="S283" t="s">
        <v>790</v>
      </c>
      <c r="T283">
        <v>46405.623109</v>
      </c>
      <c r="U283" s="2">
        <v>44502</v>
      </c>
      <c r="V283" t="s">
        <v>803</v>
      </c>
    </row>
    <row r="284" spans="1:22">
      <c r="A284" s="1" t="s">
        <v>304</v>
      </c>
      <c r="B284">
        <f>HYPERLINK("https://www.suredividend.com/sure-analysis-UNP/","Union Pacific Corp.")</f>
        <v>0</v>
      </c>
      <c r="C284">
        <v>247.12</v>
      </c>
      <c r="D284">
        <v>169</v>
      </c>
      <c r="E284">
        <v>1.462248520710059</v>
      </c>
      <c r="F284">
        <v>0.01910003237293622</v>
      </c>
      <c r="G284">
        <v>-0.07317922120165776</v>
      </c>
      <c r="H284">
        <v>0.07000000000000001</v>
      </c>
      <c r="I284">
        <v>0.01238612961534069</v>
      </c>
      <c r="J284" t="s">
        <v>781</v>
      </c>
      <c r="K284" t="s">
        <v>349</v>
      </c>
      <c r="L284">
        <v>9.93</v>
      </c>
      <c r="M284">
        <v>4.72</v>
      </c>
      <c r="N284">
        <v>0.4753272910372608</v>
      </c>
      <c r="O284">
        <v>15</v>
      </c>
      <c r="P284">
        <v>0.02955636723032895</v>
      </c>
      <c r="Q284">
        <v>0.253121790159349</v>
      </c>
      <c r="R284" t="s">
        <v>784</v>
      </c>
      <c r="S284" t="s">
        <v>790</v>
      </c>
      <c r="T284">
        <v>157253.824977</v>
      </c>
      <c r="U284" s="2">
        <v>44490</v>
      </c>
      <c r="V284" t="s">
        <v>800</v>
      </c>
    </row>
    <row r="285" spans="1:22">
      <c r="A285" s="1" t="s">
        <v>305</v>
      </c>
      <c r="B285">
        <f>HYPERLINK("https://www.suredividend.com/sure-analysis-HSY/","Hershey Company")</f>
        <v>0</v>
      </c>
      <c r="C285">
        <v>189.77</v>
      </c>
      <c r="D285">
        <v>141</v>
      </c>
      <c r="E285">
        <v>1.345886524822695</v>
      </c>
      <c r="F285">
        <v>0.01897033250777257</v>
      </c>
      <c r="G285">
        <v>-0.05768021212180163</v>
      </c>
      <c r="H285">
        <v>0.05</v>
      </c>
      <c r="I285">
        <v>0.01139320061515448</v>
      </c>
      <c r="J285" t="s">
        <v>781</v>
      </c>
      <c r="K285" t="s">
        <v>349</v>
      </c>
      <c r="L285">
        <v>7.05</v>
      </c>
      <c r="M285">
        <v>3.6</v>
      </c>
      <c r="N285">
        <v>0.5106382978723405</v>
      </c>
      <c r="O285">
        <v>12</v>
      </c>
      <c r="P285">
        <v>0.04978904632428516</v>
      </c>
      <c r="Q285">
        <v>0.284002744642235</v>
      </c>
      <c r="R285" t="s">
        <v>784</v>
      </c>
      <c r="S285" t="s">
        <v>795</v>
      </c>
      <c r="T285">
        <v>39066.17198</v>
      </c>
      <c r="U285" s="2">
        <v>44500</v>
      </c>
      <c r="V285" t="s">
        <v>803</v>
      </c>
    </row>
    <row r="286" spans="1:22">
      <c r="A286" s="1" t="s">
        <v>306</v>
      </c>
      <c r="B286">
        <f>HYPERLINK("https://www.suredividend.com/sure-analysis-AWK/","American Water Works Co. Inc.")</f>
        <v>0</v>
      </c>
      <c r="C286">
        <v>182.27</v>
      </c>
      <c r="D286">
        <v>136</v>
      </c>
      <c r="E286">
        <v>1.340220588235294</v>
      </c>
      <c r="F286">
        <v>0.01322214297470785</v>
      </c>
      <c r="G286">
        <v>-0.05688480301677912</v>
      </c>
      <c r="H286">
        <v>0.05</v>
      </c>
      <c r="I286">
        <v>0.007598232844655328</v>
      </c>
      <c r="J286" t="s">
        <v>781</v>
      </c>
      <c r="K286" t="s">
        <v>530</v>
      </c>
      <c r="L286">
        <v>4.25</v>
      </c>
      <c r="M286">
        <v>2.41</v>
      </c>
      <c r="N286">
        <v>0.5670588235294118</v>
      </c>
      <c r="O286">
        <v>13</v>
      </c>
      <c r="P286">
        <v>0.0901126350638779</v>
      </c>
      <c r="Q286">
        <v>0.224363815644815</v>
      </c>
      <c r="R286" t="s">
        <v>784</v>
      </c>
      <c r="S286" t="s">
        <v>796</v>
      </c>
      <c r="T286">
        <v>32549.718216</v>
      </c>
      <c r="U286" s="2">
        <v>44504</v>
      </c>
      <c r="V286" t="s">
        <v>799</v>
      </c>
    </row>
    <row r="287" spans="1:22">
      <c r="A287" s="1" t="s">
        <v>307</v>
      </c>
      <c r="B287">
        <f>HYPERLINK("https://www.suredividend.com/sure-analysis-NEE/","NextEra Energy Inc")</f>
        <v>0</v>
      </c>
      <c r="C287">
        <v>92</v>
      </c>
      <c r="D287">
        <v>61</v>
      </c>
      <c r="E287">
        <v>1.508196721311475</v>
      </c>
      <c r="F287">
        <v>0.01673913043478261</v>
      </c>
      <c r="G287">
        <v>-0.07889656575256654</v>
      </c>
      <c r="H287">
        <v>0.07000000000000001</v>
      </c>
      <c r="I287">
        <v>0.007314075049752233</v>
      </c>
      <c r="J287" t="s">
        <v>781</v>
      </c>
      <c r="K287" t="s">
        <v>530</v>
      </c>
      <c r="L287">
        <v>2.47</v>
      </c>
      <c r="M287">
        <v>1.54</v>
      </c>
      <c r="N287">
        <v>0.6234817813765182</v>
      </c>
      <c r="O287">
        <v>25</v>
      </c>
      <c r="P287">
        <v>0.08353120449915608</v>
      </c>
      <c r="Q287">
        <v>0.241592736068799</v>
      </c>
      <c r="R287" t="s">
        <v>784</v>
      </c>
      <c r="S287" t="s">
        <v>796</v>
      </c>
      <c r="T287">
        <v>176375.067779</v>
      </c>
      <c r="U287" s="2">
        <v>44498</v>
      </c>
      <c r="V287" t="s">
        <v>809</v>
      </c>
    </row>
    <row r="288" spans="1:22">
      <c r="A288" s="1" t="s">
        <v>308</v>
      </c>
      <c r="B288">
        <f>HYPERLINK("https://www.suredividend.com/sure-analysis-APD/","Air Products &amp; Chemicals Inc.")</f>
        <v>0</v>
      </c>
      <c r="C288">
        <v>305.08</v>
      </c>
      <c r="D288">
        <v>200</v>
      </c>
      <c r="E288">
        <v>1.5254</v>
      </c>
      <c r="F288">
        <v>0.01966697259735152</v>
      </c>
      <c r="G288">
        <v>-0.08098362099781831</v>
      </c>
      <c r="H288">
        <v>0.06</v>
      </c>
      <c r="I288">
        <v>-0.0003294687703624399</v>
      </c>
      <c r="J288" t="s">
        <v>781</v>
      </c>
      <c r="K288" t="s">
        <v>781</v>
      </c>
      <c r="L288">
        <v>10.5</v>
      </c>
      <c r="M288">
        <v>6</v>
      </c>
      <c r="N288">
        <v>0.5714285714285714</v>
      </c>
      <c r="O288">
        <v>39</v>
      </c>
      <c r="P288">
        <v>0.07011922960697747</v>
      </c>
      <c r="Q288">
        <v>0.147746805976904</v>
      </c>
      <c r="R288" t="s">
        <v>784</v>
      </c>
      <c r="S288" t="s">
        <v>793</v>
      </c>
      <c r="T288">
        <v>66039.485912</v>
      </c>
      <c r="U288" s="2">
        <v>44506</v>
      </c>
      <c r="V288" t="s">
        <v>801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194.85</v>
      </c>
      <c r="D289">
        <v>128</v>
      </c>
      <c r="E289">
        <v>1.522265625</v>
      </c>
      <c r="F289">
        <v>0.02278675904541956</v>
      </c>
      <c r="G289">
        <v>-0.08060547773487403</v>
      </c>
      <c r="H289">
        <v>0.055</v>
      </c>
      <c r="I289">
        <v>-0.002991733221196946</v>
      </c>
      <c r="J289" t="s">
        <v>781</v>
      </c>
      <c r="K289" t="s">
        <v>349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-0.156670396862272</v>
      </c>
      <c r="R289" t="s">
        <v>784</v>
      </c>
      <c r="S289" t="s">
        <v>794</v>
      </c>
      <c r="T289">
        <v>8928.346844</v>
      </c>
      <c r="U289" s="2">
        <v>44504</v>
      </c>
      <c r="V289" t="s">
        <v>801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127.89</v>
      </c>
      <c r="D290">
        <v>79</v>
      </c>
      <c r="E290">
        <v>1.618860759493671</v>
      </c>
      <c r="F290">
        <v>0.01556024708734068</v>
      </c>
      <c r="G290">
        <v>-0.09184892621093932</v>
      </c>
      <c r="H290">
        <v>0.07000000000000001</v>
      </c>
      <c r="I290">
        <v>-0.007696466761176302</v>
      </c>
      <c r="J290" t="s">
        <v>781</v>
      </c>
      <c r="K290" t="s">
        <v>349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0.166431277061298</v>
      </c>
      <c r="R290" t="s">
        <v>784</v>
      </c>
      <c r="S290" t="s">
        <v>790</v>
      </c>
      <c r="T290">
        <v>88623.67997100001</v>
      </c>
      <c r="U290" s="2">
        <v>44490</v>
      </c>
      <c r="V290" t="s">
        <v>800</v>
      </c>
    </row>
    <row r="291" spans="1:22">
      <c r="A291" s="1" t="s">
        <v>311</v>
      </c>
      <c r="B291">
        <f>HYPERLINK("https://www.suredividend.com/sure-analysis-FRT/","Federal Realty Investment Trust")</f>
        <v>0</v>
      </c>
      <c r="C291">
        <v>128.72</v>
      </c>
      <c r="D291">
        <v>78.2</v>
      </c>
      <c r="E291">
        <v>1.646035805626598</v>
      </c>
      <c r="F291">
        <v>0.03325046612802984</v>
      </c>
      <c r="G291">
        <v>-0.09486753065449516</v>
      </c>
      <c r="H291">
        <v>0.05</v>
      </c>
      <c r="I291">
        <v>-0.01089225151713302</v>
      </c>
      <c r="J291" t="s">
        <v>781</v>
      </c>
      <c r="K291" t="s">
        <v>781</v>
      </c>
      <c r="L291">
        <v>5.21</v>
      </c>
      <c r="M291">
        <v>4.28</v>
      </c>
      <c r="N291">
        <v>0.8214971209213052</v>
      </c>
      <c r="O291">
        <v>54</v>
      </c>
      <c r="P291">
        <v>0.0100752948556313</v>
      </c>
      <c r="Q291">
        <v>0.5004176287356681</v>
      </c>
      <c r="R291" t="s">
        <v>786</v>
      </c>
      <c r="S291" t="s">
        <v>798</v>
      </c>
      <c r="T291">
        <v>9963.278007000001</v>
      </c>
      <c r="U291" s="2">
        <v>44509</v>
      </c>
      <c r="V291" t="s">
        <v>808</v>
      </c>
    </row>
    <row r="292" spans="1:22">
      <c r="A292" s="1" t="s">
        <v>312</v>
      </c>
      <c r="B292">
        <f>HYPERLINK("https://www.suredividend.com/sure-analysis-NVO/","Novo Nordisk")</f>
        <v>0</v>
      </c>
      <c r="C292">
        <v>116.46</v>
      </c>
      <c r="D292">
        <v>75</v>
      </c>
      <c r="E292">
        <v>1.5528</v>
      </c>
      <c r="F292">
        <v>0.01356688991928559</v>
      </c>
      <c r="G292">
        <v>-0.08425006707989324</v>
      </c>
      <c r="H292">
        <v>0.06</v>
      </c>
      <c r="I292">
        <v>-0.01116886755456581</v>
      </c>
      <c r="J292" t="s">
        <v>781</v>
      </c>
      <c r="K292" t="s">
        <v>530</v>
      </c>
      <c r="L292">
        <v>3.4</v>
      </c>
      <c r="M292">
        <v>1.58</v>
      </c>
      <c r="N292">
        <v>0.4647058823529412</v>
      </c>
      <c r="O292">
        <v>0</v>
      </c>
      <c r="P292">
        <v>0.0703829372933884</v>
      </c>
      <c r="Q292">
        <v>0.6742474271171091</v>
      </c>
      <c r="R292" t="s">
        <v>784</v>
      </c>
      <c r="S292" t="s">
        <v>789</v>
      </c>
      <c r="T292">
        <v>199980.67048</v>
      </c>
      <c r="U292" s="2">
        <v>44516</v>
      </c>
      <c r="V292" t="s">
        <v>806</v>
      </c>
    </row>
    <row r="293" spans="1:22">
      <c r="A293" s="1" t="s">
        <v>313</v>
      </c>
      <c r="B293">
        <f>HYPERLINK("https://www.suredividend.com/sure-analysis-WTRG/","Essential Utilities Inc")</f>
        <v>0</v>
      </c>
      <c r="C293">
        <v>51.41</v>
      </c>
      <c r="D293">
        <v>30</v>
      </c>
      <c r="E293">
        <v>1.713666666666666</v>
      </c>
      <c r="F293">
        <v>0.02081307138688971</v>
      </c>
      <c r="G293">
        <v>-0.1021273760379738</v>
      </c>
      <c r="H293">
        <v>0.07000000000000001</v>
      </c>
      <c r="I293">
        <v>-0.01172944827169309</v>
      </c>
      <c r="J293" t="s">
        <v>781</v>
      </c>
      <c r="K293" t="s">
        <v>349</v>
      </c>
      <c r="L293">
        <v>1.68</v>
      </c>
      <c r="M293">
        <v>1.07</v>
      </c>
      <c r="N293">
        <v>0.636904761904762</v>
      </c>
      <c r="O293">
        <v>30</v>
      </c>
      <c r="P293">
        <v>0.05971834352437777</v>
      </c>
      <c r="Q293">
        <v>0.102277736639008</v>
      </c>
      <c r="R293" t="s">
        <v>784</v>
      </c>
      <c r="S293" t="s">
        <v>796</v>
      </c>
      <c r="T293">
        <v>12829.22869</v>
      </c>
      <c r="U293" s="2">
        <v>44502</v>
      </c>
      <c r="V293" t="s">
        <v>807</v>
      </c>
    </row>
    <row r="294" spans="1:22">
      <c r="A294" s="1" t="s">
        <v>314</v>
      </c>
      <c r="B294">
        <f>HYPERLINK("https://www.suredividend.com/sure-analysis-UMBF/","UMB Financial Corp.")</f>
        <v>0</v>
      </c>
      <c r="C294">
        <v>104.38</v>
      </c>
      <c r="D294">
        <v>97</v>
      </c>
      <c r="E294">
        <v>1.076082474226804</v>
      </c>
      <c r="F294">
        <v>0.01417896148687488</v>
      </c>
      <c r="G294">
        <v>-0.01455840801938202</v>
      </c>
      <c r="H294">
        <v>-0.015</v>
      </c>
      <c r="I294">
        <v>-0.012443061066162</v>
      </c>
      <c r="J294" t="s">
        <v>781</v>
      </c>
      <c r="K294" t="s">
        <v>530</v>
      </c>
      <c r="L294">
        <v>7.45</v>
      </c>
      <c r="M294">
        <v>1.48</v>
      </c>
      <c r="N294">
        <v>0.1986577181208053</v>
      </c>
      <c r="O294">
        <v>30</v>
      </c>
      <c r="P294">
        <v>0.03051269507716325</v>
      </c>
      <c r="Q294">
        <v>0.5682296014014411</v>
      </c>
      <c r="R294" t="s">
        <v>784</v>
      </c>
      <c r="S294" t="s">
        <v>794</v>
      </c>
      <c r="T294">
        <v>5060.748106</v>
      </c>
      <c r="U294" s="2">
        <v>44512</v>
      </c>
      <c r="V294" t="s">
        <v>804</v>
      </c>
    </row>
    <row r="295" spans="1:22">
      <c r="A295" s="1" t="s">
        <v>315</v>
      </c>
      <c r="B295">
        <f>HYPERLINK("https://www.suredividend.com/sure-analysis-OTIS/","Otis Worldwide Corp")</f>
        <v>0</v>
      </c>
      <c r="C295">
        <v>84.92</v>
      </c>
      <c r="D295">
        <v>52</v>
      </c>
      <c r="E295">
        <v>1.633076923076923</v>
      </c>
      <c r="F295">
        <v>0.01130475741874705</v>
      </c>
      <c r="G295">
        <v>-0.09343557716467588</v>
      </c>
      <c r="H295">
        <v>0.07000000000000001</v>
      </c>
      <c r="I295">
        <v>-0.01472397443682938</v>
      </c>
      <c r="J295" t="s">
        <v>781</v>
      </c>
      <c r="K295" t="s">
        <v>530</v>
      </c>
      <c r="L295">
        <v>2.95</v>
      </c>
      <c r="M295">
        <v>0.96</v>
      </c>
      <c r="N295">
        <v>0.3254237288135593</v>
      </c>
      <c r="O295">
        <v>1</v>
      </c>
      <c r="P295">
        <v>0.07056368416916192</v>
      </c>
      <c r="Q295">
        <v>0.366715065451164</v>
      </c>
      <c r="R295" t="s">
        <v>784</v>
      </c>
      <c r="S295" t="s">
        <v>790</v>
      </c>
      <c r="T295">
        <v>36024.655922</v>
      </c>
      <c r="U295" s="2">
        <v>44495</v>
      </c>
      <c r="V295" t="s">
        <v>803</v>
      </c>
    </row>
    <row r="296" spans="1:22">
      <c r="A296" s="1" t="s">
        <v>316</v>
      </c>
      <c r="B296">
        <f>HYPERLINK("https://www.suredividend.com/sure-analysis-ROK/","Rockwell Automation Inc")</f>
        <v>0</v>
      </c>
      <c r="C296">
        <v>351.35</v>
      </c>
      <c r="D296">
        <v>216</v>
      </c>
      <c r="E296">
        <v>1.626620370370371</v>
      </c>
      <c r="F296">
        <v>0.01275081827237797</v>
      </c>
      <c r="G296">
        <v>-0.09271703093562822</v>
      </c>
      <c r="H296">
        <v>0.065</v>
      </c>
      <c r="I296">
        <v>-0.01638351872548327</v>
      </c>
      <c r="J296" t="s">
        <v>781</v>
      </c>
      <c r="K296" t="s">
        <v>530</v>
      </c>
      <c r="L296">
        <v>10.8</v>
      </c>
      <c r="M296">
        <v>4.48</v>
      </c>
      <c r="N296">
        <v>0.4148148148148148</v>
      </c>
      <c r="O296">
        <v>12</v>
      </c>
      <c r="P296">
        <v>0.06988309640706269</v>
      </c>
      <c r="Q296">
        <v>0.431610932088943</v>
      </c>
      <c r="R296" t="s">
        <v>784</v>
      </c>
      <c r="S296" t="s">
        <v>790</v>
      </c>
      <c r="T296">
        <v>39737.713439</v>
      </c>
      <c r="U296" s="2">
        <v>44503</v>
      </c>
      <c r="V296" t="s">
        <v>801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128.08</v>
      </c>
      <c r="D297">
        <v>86</v>
      </c>
      <c r="E297">
        <v>1.489302325581396</v>
      </c>
      <c r="F297">
        <v>0.02342286071205496</v>
      </c>
      <c r="G297">
        <v>-0.07657117615262921</v>
      </c>
      <c r="H297">
        <v>0.03</v>
      </c>
      <c r="I297">
        <v>-0.01861159102538312</v>
      </c>
      <c r="J297" t="s">
        <v>781</v>
      </c>
      <c r="K297" t="s">
        <v>781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0.507502955420813</v>
      </c>
      <c r="R297" t="s">
        <v>784</v>
      </c>
      <c r="S297" t="s">
        <v>794</v>
      </c>
      <c r="T297">
        <v>8059.948512</v>
      </c>
      <c r="U297" s="2">
        <v>44504</v>
      </c>
      <c r="V297" t="s">
        <v>803</v>
      </c>
    </row>
    <row r="298" spans="1:22">
      <c r="A298" s="1" t="s">
        <v>318</v>
      </c>
      <c r="B298">
        <f>HYPERLINK("https://www.suredividend.com/sure-analysis-ESS/","Essex Property Trust, Inc.")</f>
        <v>0</v>
      </c>
      <c r="C298">
        <v>352.23</v>
      </c>
      <c r="D298">
        <v>224</v>
      </c>
      <c r="E298">
        <v>1.572455357142857</v>
      </c>
      <c r="F298">
        <v>0.02373449166737643</v>
      </c>
      <c r="G298">
        <v>-0.08655093600395269</v>
      </c>
      <c r="H298">
        <v>0.038</v>
      </c>
      <c r="I298">
        <v>-0.02295235339432222</v>
      </c>
      <c r="J298" t="s">
        <v>781</v>
      </c>
      <c r="K298" t="s">
        <v>349</v>
      </c>
      <c r="L298">
        <v>12.44</v>
      </c>
      <c r="M298">
        <v>8.359999999999999</v>
      </c>
      <c r="N298">
        <v>0.6720257234726688</v>
      </c>
      <c r="O298">
        <v>27</v>
      </c>
      <c r="P298">
        <v>0.01486259611873031</v>
      </c>
      <c r="Q298">
        <v>0.4823174093832081</v>
      </c>
      <c r="R298" t="s">
        <v>786</v>
      </c>
      <c r="S298" t="s">
        <v>798</v>
      </c>
      <c r="T298">
        <v>22502.164933</v>
      </c>
      <c r="U298" s="2">
        <v>44503</v>
      </c>
      <c r="V298" t="s">
        <v>808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201.78</v>
      </c>
      <c r="D299">
        <v>121</v>
      </c>
      <c r="E299">
        <v>1.667603305785124</v>
      </c>
      <c r="F299">
        <v>0.01169590643274854</v>
      </c>
      <c r="G299">
        <v>-0.09722099512636351</v>
      </c>
      <c r="H299">
        <v>0.06</v>
      </c>
      <c r="I299">
        <v>-0.02693307351330554</v>
      </c>
      <c r="J299" t="s">
        <v>781</v>
      </c>
      <c r="K299" t="s">
        <v>530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0.470033175073005</v>
      </c>
      <c r="R299" t="s">
        <v>784</v>
      </c>
      <c r="S299" t="s">
        <v>790</v>
      </c>
      <c r="T299">
        <v>47460.527564</v>
      </c>
      <c r="U299" s="2">
        <v>44511</v>
      </c>
      <c r="V299" t="s">
        <v>803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162.53</v>
      </c>
      <c r="D300">
        <v>98</v>
      </c>
      <c r="E300">
        <v>1.658469387755102</v>
      </c>
      <c r="F300">
        <v>0.01599704669907094</v>
      </c>
      <c r="G300">
        <v>-0.09622877859803869</v>
      </c>
      <c r="H300">
        <v>0.05</v>
      </c>
      <c r="I300">
        <v>-0.03068366413368107</v>
      </c>
      <c r="J300" t="s">
        <v>781</v>
      </c>
      <c r="K300" t="s">
        <v>530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0.439443842388956</v>
      </c>
      <c r="R300" t="s">
        <v>784</v>
      </c>
      <c r="S300" t="s">
        <v>790</v>
      </c>
      <c r="T300">
        <v>68009.87332100001</v>
      </c>
      <c r="U300" s="2">
        <v>44496</v>
      </c>
      <c r="V300" t="s">
        <v>803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71.77</v>
      </c>
      <c r="D301">
        <v>55</v>
      </c>
      <c r="E301">
        <v>1.304909090909091</v>
      </c>
      <c r="F301">
        <v>0.02396544517207747</v>
      </c>
      <c r="G301">
        <v>-0.05183493742361478</v>
      </c>
      <c r="H301">
        <v>-0.02</v>
      </c>
      <c r="I301">
        <v>-0.03978844023017436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0.162532583257754</v>
      </c>
      <c r="R301" t="s">
        <v>784</v>
      </c>
      <c r="S301" t="s">
        <v>794</v>
      </c>
      <c r="T301">
        <v>3954.224879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119.75</v>
      </c>
      <c r="D302">
        <v>54</v>
      </c>
      <c r="E302">
        <v>2.217592592592593</v>
      </c>
      <c r="F302">
        <v>0.009352818371607516</v>
      </c>
      <c r="G302">
        <v>-0.1472462310600644</v>
      </c>
      <c r="H302">
        <v>0.09</v>
      </c>
      <c r="I302">
        <v>-0.05449160207682202</v>
      </c>
      <c r="J302" t="s">
        <v>781</v>
      </c>
      <c r="K302" t="s">
        <v>530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0.233400331317851</v>
      </c>
      <c r="R302" t="s">
        <v>784</v>
      </c>
      <c r="S302" t="s">
        <v>790</v>
      </c>
      <c r="T302">
        <v>21401.003281</v>
      </c>
      <c r="U302" s="2">
        <v>44507</v>
      </c>
      <c r="V302" t="s">
        <v>801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232.08</v>
      </c>
      <c r="D303">
        <v>92</v>
      </c>
      <c r="E303">
        <v>2.522608695652174</v>
      </c>
      <c r="F303">
        <v>0.005601516718372975</v>
      </c>
      <c r="G303">
        <v>-0.1689445109695921</v>
      </c>
      <c r="H303">
        <v>0.12</v>
      </c>
      <c r="I303">
        <v>-0.05964966226060464</v>
      </c>
      <c r="J303" t="s">
        <v>781</v>
      </c>
      <c r="K303" t="s">
        <v>530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0.435559992396384</v>
      </c>
      <c r="R303" t="s">
        <v>784</v>
      </c>
      <c r="S303" t="s">
        <v>789</v>
      </c>
      <c r="T303">
        <v>107905.806224</v>
      </c>
      <c r="U303" s="2">
        <v>44509</v>
      </c>
      <c r="V303" t="s">
        <v>810</v>
      </c>
    </row>
    <row r="304" spans="1:22">
      <c r="A304" s="1" t="s">
        <v>324</v>
      </c>
      <c r="B304">
        <f>HYPERLINK("https://www.suredividend.com/sure-analysis-LLY/","Lilly(Eli) &amp; Co")</f>
        <v>0</v>
      </c>
      <c r="C304">
        <v>275.28</v>
      </c>
      <c r="D304">
        <v>140</v>
      </c>
      <c r="E304">
        <v>1.966285714285714</v>
      </c>
      <c r="F304">
        <v>0.01424004649811102</v>
      </c>
      <c r="G304">
        <v>-0.1264843802547587</v>
      </c>
      <c r="H304">
        <v>0.04</v>
      </c>
      <c r="I304">
        <v>-0.06973328772854981</v>
      </c>
      <c r="J304" t="s">
        <v>781</v>
      </c>
      <c r="K304" t="s">
        <v>530</v>
      </c>
      <c r="L304">
        <v>8</v>
      </c>
      <c r="M304">
        <v>3.92</v>
      </c>
      <c r="N304">
        <v>0.49</v>
      </c>
      <c r="O304">
        <v>8</v>
      </c>
      <c r="P304">
        <v>0.03025579475561258</v>
      </c>
      <c r="Q304">
        <v>0.603188634062454</v>
      </c>
      <c r="R304" t="s">
        <v>784</v>
      </c>
      <c r="S304" t="s">
        <v>789</v>
      </c>
      <c r="T304">
        <v>238555.010966</v>
      </c>
      <c r="U304" s="2">
        <v>44496</v>
      </c>
      <c r="V304" t="s">
        <v>800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4.38</v>
      </c>
      <c r="D305">
        <v>12</v>
      </c>
      <c r="E305">
        <v>0.365</v>
      </c>
      <c r="F305">
        <v>0.009132420091324202</v>
      </c>
      <c r="G305">
        <v>0.2233238056608773</v>
      </c>
      <c r="H305">
        <v>0</v>
      </c>
      <c r="I305">
        <v>0.2701613409425638</v>
      </c>
      <c r="J305" t="s">
        <v>349</v>
      </c>
      <c r="K305" t="s">
        <v>530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-0.6665729931719611</v>
      </c>
      <c r="R305" t="s">
        <v>785</v>
      </c>
      <c r="S305" t="s">
        <v>797</v>
      </c>
      <c r="T305">
        <v>146.454974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4.41</v>
      </c>
      <c r="D306">
        <v>9.17</v>
      </c>
      <c r="E306">
        <v>0.4809160305343512</v>
      </c>
      <c r="F306">
        <v>0.04081632653061224</v>
      </c>
      <c r="G306">
        <v>0.1576736523587765</v>
      </c>
      <c r="H306">
        <v>0.04</v>
      </c>
      <c r="I306">
        <v>0.2251672081128508</v>
      </c>
      <c r="J306" t="s">
        <v>349</v>
      </c>
      <c r="K306" t="s">
        <v>781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-0.209930234665216</v>
      </c>
      <c r="R306" t="s">
        <v>784</v>
      </c>
      <c r="S306" t="s">
        <v>791</v>
      </c>
      <c r="T306">
        <v>1463.456009</v>
      </c>
      <c r="U306" s="2">
        <v>44384</v>
      </c>
      <c r="V306" t="s">
        <v>800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83.05</v>
      </c>
      <c r="D307">
        <v>130</v>
      </c>
      <c r="E307">
        <v>0.6388461538461538</v>
      </c>
      <c r="F307">
        <v>0.02119205298013245</v>
      </c>
      <c r="G307">
        <v>0.09375674210312046</v>
      </c>
      <c r="H307">
        <v>0.09</v>
      </c>
      <c r="I307">
        <v>0.2054913458708254</v>
      </c>
      <c r="J307" t="s">
        <v>349</v>
      </c>
      <c r="K307" t="s">
        <v>530</v>
      </c>
      <c r="L307">
        <v>7.2</v>
      </c>
      <c r="M307">
        <v>1.76</v>
      </c>
      <c r="N307">
        <v>0.2444444444444444</v>
      </c>
      <c r="O307">
        <v>1</v>
      </c>
      <c r="P307">
        <v>0.08773831161894674</v>
      </c>
      <c r="Q307">
        <v>-0.08548496134599901</v>
      </c>
      <c r="R307" t="s">
        <v>784</v>
      </c>
      <c r="S307" t="s">
        <v>792</v>
      </c>
      <c r="T307">
        <v>1697.039034</v>
      </c>
      <c r="U307" s="2">
        <v>44524</v>
      </c>
      <c r="V307" t="s">
        <v>807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12.69</v>
      </c>
      <c r="D308">
        <v>26.6</v>
      </c>
      <c r="E308">
        <v>0.4770676691729323</v>
      </c>
      <c r="F308">
        <v>0.01733648542159181</v>
      </c>
      <c r="G308">
        <v>0.159535375839724</v>
      </c>
      <c r="H308">
        <v>0.02</v>
      </c>
      <c r="I308">
        <v>0.1919195110178409</v>
      </c>
      <c r="J308" t="s">
        <v>349</v>
      </c>
      <c r="K308" t="s">
        <v>530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-0.243587321082715</v>
      </c>
      <c r="R308" t="s">
        <v>784</v>
      </c>
      <c r="S308" t="s">
        <v>789</v>
      </c>
      <c r="T308">
        <v>15492.329659</v>
      </c>
      <c r="U308" s="2">
        <v>44515</v>
      </c>
      <c r="V308" t="s">
        <v>810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106.11</v>
      </c>
      <c r="D309">
        <v>158.96</v>
      </c>
      <c r="E309">
        <v>0.6675264217413185</v>
      </c>
      <c r="F309">
        <v>0.01649231929130148</v>
      </c>
      <c r="G309">
        <v>0.08419227339764035</v>
      </c>
      <c r="H309">
        <v>0.075</v>
      </c>
      <c r="I309">
        <v>0.17693392532796</v>
      </c>
      <c r="J309" t="s">
        <v>349</v>
      </c>
      <c r="K309" t="s">
        <v>530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1.039341969250397</v>
      </c>
      <c r="R309" t="s">
        <v>784</v>
      </c>
      <c r="S309" t="s">
        <v>792</v>
      </c>
      <c r="T309">
        <v>6677.298817</v>
      </c>
      <c r="U309" s="2">
        <v>44439</v>
      </c>
      <c r="V309" t="s">
        <v>805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56.3</v>
      </c>
      <c r="D310">
        <v>81</v>
      </c>
      <c r="E310">
        <v>0.6950617283950616</v>
      </c>
      <c r="F310">
        <v>0.04618117229129663</v>
      </c>
      <c r="G310">
        <v>0.0754626315194824</v>
      </c>
      <c r="H310">
        <v>0.05</v>
      </c>
      <c r="I310">
        <v>0.1622229630680274</v>
      </c>
      <c r="J310" t="s">
        <v>349</v>
      </c>
      <c r="K310" t="s">
        <v>781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0.220541951331849</v>
      </c>
      <c r="R310" t="s">
        <v>784</v>
      </c>
      <c r="S310" t="s">
        <v>790</v>
      </c>
      <c r="T310">
        <v>3715.83186</v>
      </c>
      <c r="U310" s="2">
        <v>44497</v>
      </c>
      <c r="V310" t="s">
        <v>799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45.24</v>
      </c>
      <c r="D311">
        <v>60</v>
      </c>
      <c r="E311">
        <v>0.754</v>
      </c>
      <c r="F311">
        <v>0.09173297966401416</v>
      </c>
      <c r="G311">
        <v>0.05809760368857519</v>
      </c>
      <c r="H311">
        <v>0.03</v>
      </c>
      <c r="I311">
        <v>0.151255830287425</v>
      </c>
      <c r="J311" t="s">
        <v>349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0.06915328526659301</v>
      </c>
      <c r="R311" t="s">
        <v>785</v>
      </c>
      <c r="S311" t="s">
        <v>797</v>
      </c>
      <c r="T311">
        <v>9517.523162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87.04000000000001</v>
      </c>
      <c r="D312">
        <v>190</v>
      </c>
      <c r="E312">
        <v>0.4581052631578948</v>
      </c>
      <c r="F312">
        <v>0.05193014705882352</v>
      </c>
      <c r="G312">
        <v>0.1689796307272919</v>
      </c>
      <c r="H312">
        <v>-0.05</v>
      </c>
      <c r="I312">
        <v>0.1486326432929164</v>
      </c>
      <c r="J312" t="s">
        <v>349</v>
      </c>
      <c r="K312" t="s">
        <v>781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0.055672642023254</v>
      </c>
      <c r="R312" t="s">
        <v>784</v>
      </c>
      <c r="S312" t="s">
        <v>793</v>
      </c>
      <c r="T312">
        <v>29671.016447</v>
      </c>
      <c r="U312" s="2">
        <v>44502</v>
      </c>
      <c r="V312" t="s">
        <v>799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42.77</v>
      </c>
      <c r="D313">
        <v>84</v>
      </c>
      <c r="E313">
        <v>0.5091666666666667</v>
      </c>
      <c r="F313">
        <v>0.02805704933364507</v>
      </c>
      <c r="G313">
        <v>0.1445321779673081</v>
      </c>
      <c r="H313">
        <v>-0.02</v>
      </c>
      <c r="I313">
        <v>0.1478501849562528</v>
      </c>
      <c r="J313" t="s">
        <v>349</v>
      </c>
      <c r="K313" t="s">
        <v>349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0.060104844989113</v>
      </c>
      <c r="R313" t="s">
        <v>784</v>
      </c>
      <c r="S313" t="s">
        <v>792</v>
      </c>
      <c r="T313">
        <v>4290.751751</v>
      </c>
      <c r="U313" s="2">
        <v>44535</v>
      </c>
      <c r="V313" t="s">
        <v>804</v>
      </c>
    </row>
    <row r="314" spans="1:22">
      <c r="A314" s="1" t="s">
        <v>334</v>
      </c>
      <c r="B314">
        <f>HYPERLINK("https://www.suredividend.com/sure-analysis-MDC/","M.D.C. Holdings, Inc.")</f>
        <v>0</v>
      </c>
      <c r="C314">
        <v>55.41</v>
      </c>
      <c r="D314">
        <v>65</v>
      </c>
      <c r="E314">
        <v>0.8524615384615384</v>
      </c>
      <c r="F314">
        <v>0.03609456776755099</v>
      </c>
      <c r="G314">
        <v>0.03244052098887051</v>
      </c>
      <c r="H314">
        <v>0.08</v>
      </c>
      <c r="I314">
        <v>0.1431763754821755</v>
      </c>
      <c r="J314" t="s">
        <v>349</v>
      </c>
      <c r="K314" t="s">
        <v>781</v>
      </c>
      <c r="L314">
        <v>8.09</v>
      </c>
      <c r="M314">
        <v>2</v>
      </c>
      <c r="N314">
        <v>0.2472187886279357</v>
      </c>
      <c r="O314">
        <v>6</v>
      </c>
      <c r="P314">
        <v>0.08009875865888949</v>
      </c>
      <c r="Q314">
        <v>0.23506050033405</v>
      </c>
      <c r="R314" t="s">
        <v>784</v>
      </c>
      <c r="S314" t="s">
        <v>794</v>
      </c>
      <c r="T314">
        <v>3762.970617</v>
      </c>
      <c r="U314" s="2">
        <v>44502</v>
      </c>
      <c r="V314" t="s">
        <v>799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101.63</v>
      </c>
      <c r="D315">
        <v>144</v>
      </c>
      <c r="E315">
        <v>0.7057638888888889</v>
      </c>
      <c r="F315">
        <v>0.01692413657384631</v>
      </c>
      <c r="G315">
        <v>0.07218101587417136</v>
      </c>
      <c r="H315">
        <v>0.05</v>
      </c>
      <c r="I315">
        <v>0.1372401722374228</v>
      </c>
      <c r="J315" t="s">
        <v>349</v>
      </c>
      <c r="K315" t="s">
        <v>530</v>
      </c>
      <c r="L315">
        <v>12.5</v>
      </c>
      <c r="M315">
        <v>1.72</v>
      </c>
      <c r="N315">
        <v>0.1376</v>
      </c>
      <c r="O315">
        <v>11</v>
      </c>
      <c r="P315">
        <v>0.03471404488278096</v>
      </c>
      <c r="Q315">
        <v>0.130468030684917</v>
      </c>
      <c r="R315" t="s">
        <v>784</v>
      </c>
      <c r="S315" t="s">
        <v>792</v>
      </c>
      <c r="T315">
        <v>5722.592507</v>
      </c>
      <c r="U315" s="2">
        <v>44491</v>
      </c>
      <c r="V315" t="s">
        <v>805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47.84</v>
      </c>
      <c r="D316">
        <v>68</v>
      </c>
      <c r="E316">
        <v>0.703529411764706</v>
      </c>
      <c r="F316">
        <v>0.02090301003344482</v>
      </c>
      <c r="G316">
        <v>0.07286122228189584</v>
      </c>
      <c r="H316">
        <v>0.04</v>
      </c>
      <c r="I316">
        <v>0.1333252958019979</v>
      </c>
      <c r="J316" t="s">
        <v>349</v>
      </c>
      <c r="K316" t="s">
        <v>530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0.4549812226320991</v>
      </c>
      <c r="R316" t="s">
        <v>784</v>
      </c>
      <c r="S316" t="s">
        <v>794</v>
      </c>
      <c r="T316">
        <v>16657.02752</v>
      </c>
      <c r="U316" s="2">
        <v>44498</v>
      </c>
      <c r="V316" t="s">
        <v>801</v>
      </c>
    </row>
    <row r="317" spans="1:22">
      <c r="A317" s="1" t="s">
        <v>337</v>
      </c>
      <c r="B317">
        <f>HYPERLINK("https://www.suredividend.com/sure-analysis-SVC/","Service Properties Trust")</f>
        <v>0</v>
      </c>
      <c r="C317">
        <v>8.43</v>
      </c>
      <c r="D317">
        <v>14</v>
      </c>
      <c r="E317">
        <v>0.6021428571428571</v>
      </c>
      <c r="F317">
        <v>0.004744958481613286</v>
      </c>
      <c r="G317">
        <v>0.1067769152589861</v>
      </c>
      <c r="H317">
        <v>0.02</v>
      </c>
      <c r="I317">
        <v>0.1318188521305903</v>
      </c>
      <c r="J317" t="s">
        <v>349</v>
      </c>
      <c r="K317" t="s">
        <v>782</v>
      </c>
      <c r="L317">
        <v>0.3</v>
      </c>
      <c r="M317">
        <v>0.04</v>
      </c>
      <c r="N317">
        <v>0.1333333333333333</v>
      </c>
      <c r="O317">
        <v>0</v>
      </c>
      <c r="P317">
        <v>0</v>
      </c>
      <c r="Q317">
        <v>-0.24758746795685</v>
      </c>
      <c r="R317" t="s">
        <v>786</v>
      </c>
      <c r="S317" t="s">
        <v>798</v>
      </c>
      <c r="T317">
        <v>1419.794064</v>
      </c>
      <c r="U317" s="2">
        <v>44512</v>
      </c>
      <c r="V317" t="s">
        <v>801</v>
      </c>
    </row>
    <row r="318" spans="1:22">
      <c r="A318" s="1" t="s">
        <v>338</v>
      </c>
      <c r="B318">
        <f>HYPERLINK("https://www.suredividend.com/sure-analysis-BTI/","British American Tobacco Plc")</f>
        <v>0</v>
      </c>
      <c r="C318">
        <v>35.89</v>
      </c>
      <c r="D318">
        <v>42</v>
      </c>
      <c r="E318">
        <v>0.8545238095238096</v>
      </c>
      <c r="F318">
        <v>0.08080245193647255</v>
      </c>
      <c r="G318">
        <v>0.03194170970975474</v>
      </c>
      <c r="H318">
        <v>0.03</v>
      </c>
      <c r="I318">
        <v>0.1237302982739377</v>
      </c>
      <c r="J318" t="s">
        <v>349</v>
      </c>
      <c r="K318" t="s">
        <v>780</v>
      </c>
      <c r="L318">
        <v>4.4</v>
      </c>
      <c r="M318">
        <v>2.9</v>
      </c>
      <c r="N318">
        <v>0.6590909090909091</v>
      </c>
      <c r="O318">
        <v>2</v>
      </c>
      <c r="P318">
        <v>0.02493227484012395</v>
      </c>
      <c r="Q318">
        <v>0.008376026673172001</v>
      </c>
      <c r="R318" t="s">
        <v>784</v>
      </c>
      <c r="S318" t="s">
        <v>795</v>
      </c>
      <c r="T318">
        <v>82514.80975499999</v>
      </c>
      <c r="U318" s="2">
        <v>44462</v>
      </c>
      <c r="V318" t="s">
        <v>801</v>
      </c>
    </row>
    <row r="319" spans="1:22">
      <c r="A319" s="1" t="s">
        <v>339</v>
      </c>
      <c r="B319">
        <f>HYPERLINK("https://www.suredividend.com/sure-analysis-TFC/","Truist Financial Corporation")</f>
        <v>0</v>
      </c>
      <c r="C319">
        <v>58.57</v>
      </c>
      <c r="D319">
        <v>70</v>
      </c>
      <c r="E319">
        <v>0.8367142857142857</v>
      </c>
      <c r="F319">
        <v>0.03278128734847191</v>
      </c>
      <c r="G319">
        <v>0.03629776903658866</v>
      </c>
      <c r="H319">
        <v>0.06</v>
      </c>
      <c r="I319">
        <v>0.1234375912767516</v>
      </c>
      <c r="J319" t="s">
        <v>349</v>
      </c>
      <c r="K319" t="s">
        <v>349</v>
      </c>
      <c r="L319">
        <v>5.38</v>
      </c>
      <c r="M319">
        <v>1.92</v>
      </c>
      <c r="N319">
        <v>0.3568773234200743</v>
      </c>
      <c r="O319">
        <v>10</v>
      </c>
      <c r="P319">
        <v>0.04996052445273014</v>
      </c>
      <c r="Q319">
        <v>0.318765315527978</v>
      </c>
      <c r="R319" t="s">
        <v>784</v>
      </c>
      <c r="S319" t="s">
        <v>794</v>
      </c>
      <c r="T319">
        <v>78304.736915</v>
      </c>
      <c r="U319" s="2">
        <v>44493</v>
      </c>
      <c r="V319" t="s">
        <v>805</v>
      </c>
    </row>
    <row r="320" spans="1:22">
      <c r="A320" s="1" t="s">
        <v>340</v>
      </c>
      <c r="B320">
        <f>HYPERLINK("https://www.suredividend.com/sure-analysis-RLJ/","RLJ Lodging Trust")</f>
        <v>0</v>
      </c>
      <c r="C320">
        <v>12.55</v>
      </c>
      <c r="D320">
        <v>18.7</v>
      </c>
      <c r="E320">
        <v>0.6711229946524064</v>
      </c>
      <c r="F320">
        <v>0.003187250996015936</v>
      </c>
      <c r="G320">
        <v>0.08302772909460621</v>
      </c>
      <c r="H320">
        <v>0.01</v>
      </c>
      <c r="I320">
        <v>0.120167056599527</v>
      </c>
      <c r="J320" t="s">
        <v>349</v>
      </c>
      <c r="K320" t="s">
        <v>782</v>
      </c>
      <c r="L320">
        <v>0.2</v>
      </c>
      <c r="M320">
        <v>0.04</v>
      </c>
      <c r="N320">
        <v>0.2</v>
      </c>
      <c r="O320">
        <v>0</v>
      </c>
      <c r="P320">
        <v>1</v>
      </c>
      <c r="Q320">
        <v>-0.053608819975533</v>
      </c>
      <c r="R320" t="s">
        <v>786</v>
      </c>
      <c r="S320" t="s">
        <v>798</v>
      </c>
      <c r="T320">
        <v>2100.571051</v>
      </c>
      <c r="U320" s="2">
        <v>44526</v>
      </c>
      <c r="V320" t="s">
        <v>807</v>
      </c>
    </row>
    <row r="321" spans="1:22">
      <c r="A321" s="1" t="s">
        <v>341</v>
      </c>
      <c r="B321">
        <f>HYPERLINK("https://www.suredividend.com/sure-analysis-TYCB/","Calvin b. Taylor Bankshares, Inc.")</f>
        <v>0</v>
      </c>
      <c r="C321">
        <v>37</v>
      </c>
      <c r="D321">
        <v>43</v>
      </c>
      <c r="E321">
        <v>0.8604651162790697</v>
      </c>
      <c r="F321">
        <v>0.03135135135135135</v>
      </c>
      <c r="G321">
        <v>0.03051269507716325</v>
      </c>
      <c r="H321">
        <v>0.06</v>
      </c>
      <c r="I321">
        <v>0.1182191388746834</v>
      </c>
      <c r="J321" t="s">
        <v>349</v>
      </c>
      <c r="K321" t="s">
        <v>781</v>
      </c>
      <c r="L321">
        <v>3.45</v>
      </c>
      <c r="M321">
        <v>1.16</v>
      </c>
      <c r="N321">
        <v>0.336231884057971</v>
      </c>
      <c r="O321">
        <v>30</v>
      </c>
      <c r="P321">
        <v>0.07039956279333892</v>
      </c>
      <c r="Q321">
        <v>0.08769077523728801</v>
      </c>
      <c r="R321" t="s">
        <v>784</v>
      </c>
      <c r="S321" t="s">
        <v>794</v>
      </c>
      <c r="T321">
        <v>104.90888</v>
      </c>
      <c r="U321" s="2">
        <v>44529</v>
      </c>
      <c r="V321" t="s">
        <v>801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50.61</v>
      </c>
      <c r="D322">
        <v>75</v>
      </c>
      <c r="E322">
        <v>0.6748</v>
      </c>
      <c r="F322">
        <v>0.0347757360205493</v>
      </c>
      <c r="G322">
        <v>0.0818448579908142</v>
      </c>
      <c r="H322">
        <v>0.01</v>
      </c>
      <c r="I322">
        <v>0.1173926526039595</v>
      </c>
      <c r="J322" t="s">
        <v>349</v>
      </c>
      <c r="K322" t="s">
        <v>781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0.393345602132232</v>
      </c>
      <c r="R322" t="s">
        <v>784</v>
      </c>
      <c r="S322" t="s">
        <v>794</v>
      </c>
      <c r="T322">
        <v>14368.852719</v>
      </c>
      <c r="U322" s="2">
        <v>44511</v>
      </c>
      <c r="V322" t="s">
        <v>803</v>
      </c>
    </row>
    <row r="323" spans="1:22">
      <c r="A323" s="1" t="s">
        <v>343</v>
      </c>
      <c r="B323">
        <f>HYPERLINK("https://www.suredividend.com/sure-analysis-GWLIF/","Great-West Lifeco, Inc.")</f>
        <v>0</v>
      </c>
      <c r="C323">
        <v>29.44</v>
      </c>
      <c r="D323">
        <v>34</v>
      </c>
      <c r="E323">
        <v>0.8658823529411765</v>
      </c>
      <c r="F323">
        <v>0.05332880434782609</v>
      </c>
      <c r="G323">
        <v>0.02922001270620411</v>
      </c>
      <c r="H323">
        <v>0.045</v>
      </c>
      <c r="I323">
        <v>0.115964830597663</v>
      </c>
      <c r="J323" t="s">
        <v>349</v>
      </c>
      <c r="K323" t="s">
        <v>780</v>
      </c>
      <c r="L323">
        <v>2.8</v>
      </c>
      <c r="M323">
        <v>1.57</v>
      </c>
      <c r="N323">
        <v>0.5607142857142857</v>
      </c>
      <c r="O323">
        <v>6</v>
      </c>
      <c r="P323">
        <v>0.02999317534988744</v>
      </c>
      <c r="Q323">
        <v>0.291355857832382</v>
      </c>
      <c r="R323" t="s">
        <v>784</v>
      </c>
      <c r="S323" t="s">
        <v>794</v>
      </c>
      <c r="T323">
        <v>27384.173138</v>
      </c>
      <c r="U323" s="2">
        <v>44514</v>
      </c>
      <c r="V323" t="s">
        <v>805</v>
      </c>
    </row>
    <row r="324" spans="1:22">
      <c r="A324" s="1" t="s">
        <v>344</v>
      </c>
      <c r="B324">
        <f>HYPERLINK("https://www.suredividend.com/sure-analysis-TX/","Ternium S.A.")</f>
        <v>0</v>
      </c>
      <c r="C324">
        <v>42.6</v>
      </c>
      <c r="D324">
        <v>135</v>
      </c>
      <c r="E324">
        <v>0.3155555555555556</v>
      </c>
      <c r="F324">
        <v>0.04929577464788733</v>
      </c>
      <c r="G324">
        <v>0.2594613191097088</v>
      </c>
      <c r="H324">
        <v>-0.15</v>
      </c>
      <c r="I324">
        <v>0.1155504041225872</v>
      </c>
      <c r="J324" t="s">
        <v>349</v>
      </c>
      <c r="K324" t="s">
        <v>781</v>
      </c>
      <c r="L324">
        <v>18</v>
      </c>
      <c r="M324">
        <v>2.1</v>
      </c>
      <c r="N324">
        <v>0.1166666666666667</v>
      </c>
      <c r="O324">
        <v>1</v>
      </c>
      <c r="P324">
        <v>0.08992507843838271</v>
      </c>
      <c r="Q324">
        <v>0.5912791057659731</v>
      </c>
      <c r="R324" t="s">
        <v>784</v>
      </c>
      <c r="S324" t="s">
        <v>793</v>
      </c>
      <c r="T324">
        <v>8758.724088999999</v>
      </c>
      <c r="U324" s="2">
        <v>44513</v>
      </c>
      <c r="V324" t="s">
        <v>805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49.3</v>
      </c>
      <c r="D325">
        <v>61</v>
      </c>
      <c r="E325">
        <v>0.8081967213114754</v>
      </c>
      <c r="F325">
        <v>0.03914807302231237</v>
      </c>
      <c r="G325">
        <v>0.04350992278240029</v>
      </c>
      <c r="H325">
        <v>0.04</v>
      </c>
      <c r="I325">
        <v>0.1153448062525695</v>
      </c>
      <c r="J325" t="s">
        <v>349</v>
      </c>
      <c r="K325" t="s">
        <v>781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0.067998497467254</v>
      </c>
      <c r="R325" t="s">
        <v>784</v>
      </c>
      <c r="S325" t="s">
        <v>789</v>
      </c>
      <c r="T325">
        <v>121415.912742</v>
      </c>
      <c r="U325" s="2">
        <v>44501</v>
      </c>
      <c r="V325" t="s">
        <v>800</v>
      </c>
    </row>
    <row r="326" spans="1:22">
      <c r="A326" s="1" t="s">
        <v>346</v>
      </c>
      <c r="B326">
        <f>HYPERLINK("https://www.suredividend.com/sure-analysis-DHI/","D.R. Horton Inc.")</f>
        <v>0</v>
      </c>
      <c r="C326">
        <v>107.37</v>
      </c>
      <c r="D326">
        <v>127</v>
      </c>
      <c r="E326">
        <v>0.8454330708661417</v>
      </c>
      <c r="F326">
        <v>0.008382229673093043</v>
      </c>
      <c r="G326">
        <v>0.03415146987909612</v>
      </c>
      <c r="H326">
        <v>0.07000000000000001</v>
      </c>
      <c r="I326">
        <v>0.1139532849113343</v>
      </c>
      <c r="J326" t="s">
        <v>349</v>
      </c>
      <c r="K326" t="s">
        <v>530</v>
      </c>
      <c r="L326">
        <v>13.35</v>
      </c>
      <c r="M326">
        <v>0.9</v>
      </c>
      <c r="N326">
        <v>0.06741573033707865</v>
      </c>
      <c r="O326">
        <v>7</v>
      </c>
      <c r="P326">
        <v>0.100082101138866</v>
      </c>
      <c r="Q326">
        <v>0.497154063642626</v>
      </c>
      <c r="R326" t="s">
        <v>784</v>
      </c>
      <c r="S326" t="s">
        <v>792</v>
      </c>
      <c r="T326">
        <v>37342.900563</v>
      </c>
      <c r="U326" s="2">
        <v>44513</v>
      </c>
      <c r="V326" t="s">
        <v>805</v>
      </c>
    </row>
    <row r="327" spans="1:22">
      <c r="A327" s="1" t="s">
        <v>347</v>
      </c>
      <c r="B327">
        <f>HYPERLINK("https://www.suredividend.com/sure-analysis-AEG/","Aegon N. V.")</f>
        <v>0</v>
      </c>
      <c r="C327">
        <v>4.62</v>
      </c>
      <c r="D327">
        <v>5.6</v>
      </c>
      <c r="E327">
        <v>0.8250000000000001</v>
      </c>
      <c r="F327">
        <v>0.0367965367965368</v>
      </c>
      <c r="G327">
        <v>0.03922410156720635</v>
      </c>
      <c r="H327">
        <v>0.04</v>
      </c>
      <c r="I327">
        <v>0.1130058000379957</v>
      </c>
      <c r="J327" t="s">
        <v>349</v>
      </c>
      <c r="K327" t="s">
        <v>349</v>
      </c>
      <c r="L327">
        <v>0.7</v>
      </c>
      <c r="M327">
        <v>0.17</v>
      </c>
      <c r="N327">
        <v>0.2428571428571429</v>
      </c>
      <c r="O327">
        <v>0</v>
      </c>
      <c r="P327">
        <v>0.0801851873035635</v>
      </c>
      <c r="Q327">
        <v>0.330253771488714</v>
      </c>
      <c r="R327" t="s">
        <v>784</v>
      </c>
      <c r="S327" t="s">
        <v>794</v>
      </c>
      <c r="T327">
        <v>9578.381927</v>
      </c>
      <c r="U327" s="2">
        <v>44517</v>
      </c>
      <c r="V327" t="s">
        <v>807</v>
      </c>
    </row>
    <row r="328" spans="1:22">
      <c r="A328" s="1" t="s">
        <v>348</v>
      </c>
      <c r="B328">
        <f>HYPERLINK("https://www.suredividend.com/sure-analysis-PNW/","Pinnacle West Capital Corp.")</f>
        <v>0</v>
      </c>
      <c r="C328">
        <v>67.59999999999999</v>
      </c>
      <c r="D328">
        <v>88</v>
      </c>
      <c r="E328">
        <v>0.7681818181818181</v>
      </c>
      <c r="F328">
        <v>0.05059171597633137</v>
      </c>
      <c r="G328">
        <v>0.05416160762790256</v>
      </c>
      <c r="H328">
        <v>0.02</v>
      </c>
      <c r="I328">
        <v>0.1127436596981504</v>
      </c>
      <c r="J328" t="s">
        <v>349</v>
      </c>
      <c r="K328" t="s">
        <v>780</v>
      </c>
      <c r="L328">
        <v>5.06</v>
      </c>
      <c r="M328">
        <v>3.42</v>
      </c>
      <c r="N328">
        <v>0.6758893280632411</v>
      </c>
      <c r="O328">
        <v>10</v>
      </c>
      <c r="P328">
        <v>0.02021836907521135</v>
      </c>
      <c r="Q328">
        <v>-0.112130043185825</v>
      </c>
      <c r="R328" t="s">
        <v>784</v>
      </c>
      <c r="S328" t="s">
        <v>796</v>
      </c>
      <c r="T328">
        <v>7587.086505</v>
      </c>
      <c r="U328" s="2">
        <v>44513</v>
      </c>
      <c r="V328" t="s">
        <v>802</v>
      </c>
    </row>
    <row r="329" spans="1:22">
      <c r="A329" s="1" t="s">
        <v>349</v>
      </c>
      <c r="B329">
        <f>HYPERLINK("https://www.suredividend.com/sure-analysis-C/","Citigroup Inc")</f>
        <v>0</v>
      </c>
      <c r="C329">
        <v>60.24</v>
      </c>
      <c r="D329">
        <v>105</v>
      </c>
      <c r="E329">
        <v>0.5737142857142857</v>
      </c>
      <c r="F329">
        <v>0.03386454183266932</v>
      </c>
      <c r="G329">
        <v>0.1175343142891536</v>
      </c>
      <c r="H329">
        <v>-0.03</v>
      </c>
      <c r="I329">
        <v>0.1118503277307668</v>
      </c>
      <c r="J329" t="s">
        <v>349</v>
      </c>
      <c r="K329" t="s">
        <v>781</v>
      </c>
      <c r="L329">
        <v>10.5</v>
      </c>
      <c r="M329">
        <v>2.04</v>
      </c>
      <c r="N329">
        <v>0.1942857142857143</v>
      </c>
      <c r="O329">
        <v>6</v>
      </c>
      <c r="P329">
        <v>0.06000153927394081</v>
      </c>
      <c r="Q329">
        <v>0.06387084776330901</v>
      </c>
      <c r="R329" t="s">
        <v>784</v>
      </c>
      <c r="S329" t="s">
        <v>794</v>
      </c>
      <c r="T329">
        <v>122904.253497</v>
      </c>
      <c r="U329" s="2">
        <v>44485</v>
      </c>
      <c r="V329" t="s">
        <v>804</v>
      </c>
    </row>
    <row r="330" spans="1:22">
      <c r="A330" s="1" t="s">
        <v>350</v>
      </c>
      <c r="B330">
        <f>HYPERLINK("https://www.suredividend.com/sure-analysis-MCHP/","Microchip Technology, Inc.")</f>
        <v>0</v>
      </c>
      <c r="C330">
        <v>87.94</v>
      </c>
      <c r="D330">
        <v>81</v>
      </c>
      <c r="E330">
        <v>1.085679012345679</v>
      </c>
      <c r="F330">
        <v>0.01057539231294064</v>
      </c>
      <c r="G330">
        <v>-0.01630670423952663</v>
      </c>
      <c r="H330">
        <v>0.12</v>
      </c>
      <c r="I330">
        <v>0.111770311191719</v>
      </c>
      <c r="J330" t="s">
        <v>349</v>
      </c>
      <c r="K330" t="s">
        <v>530</v>
      </c>
      <c r="L330">
        <v>4.5</v>
      </c>
      <c r="M330">
        <v>0.93</v>
      </c>
      <c r="N330">
        <v>0.2066666666666667</v>
      </c>
      <c r="O330">
        <v>19</v>
      </c>
      <c r="P330">
        <v>0.1201396745310872</v>
      </c>
      <c r="Q330">
        <v>1.426641892374758</v>
      </c>
      <c r="R330" t="s">
        <v>784</v>
      </c>
      <c r="S330" t="s">
        <v>791</v>
      </c>
      <c r="T330">
        <v>47102.974742</v>
      </c>
      <c r="U330" s="2">
        <v>44513</v>
      </c>
      <c r="V330" t="s">
        <v>799</v>
      </c>
    </row>
    <row r="331" spans="1:22">
      <c r="A331" s="1" t="s">
        <v>351</v>
      </c>
      <c r="B331">
        <f>HYPERLINK("https://www.suredividend.com/sure-analysis-ALL/","Allstate Corp (The)")</f>
        <v>0</v>
      </c>
      <c r="C331">
        <v>113.52</v>
      </c>
      <c r="D331">
        <v>143</v>
      </c>
      <c r="E331">
        <v>0.7938461538461539</v>
      </c>
      <c r="F331">
        <v>0.02854122621564482</v>
      </c>
      <c r="G331">
        <v>0.04725569562768528</v>
      </c>
      <c r="H331">
        <v>0.04</v>
      </c>
      <c r="I331">
        <v>0.1117416381111713</v>
      </c>
      <c r="J331" t="s">
        <v>349</v>
      </c>
      <c r="K331" t="s">
        <v>349</v>
      </c>
      <c r="L331">
        <v>14.25</v>
      </c>
      <c r="M331">
        <v>3.24</v>
      </c>
      <c r="N331">
        <v>0.2273684210526316</v>
      </c>
      <c r="O331">
        <v>9</v>
      </c>
      <c r="P331">
        <v>0.05024607263868264</v>
      </c>
      <c r="Q331">
        <v>0.08372088925607801</v>
      </c>
      <c r="R331" t="s">
        <v>784</v>
      </c>
      <c r="S331" t="s">
        <v>794</v>
      </c>
      <c r="T331">
        <v>31737.904499</v>
      </c>
      <c r="U331" s="2">
        <v>44505</v>
      </c>
      <c r="V331" t="s">
        <v>805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67.08</v>
      </c>
      <c r="D332">
        <v>76</v>
      </c>
      <c r="E332">
        <v>0.8826315789473684</v>
      </c>
      <c r="F332">
        <v>0.02683363148479428</v>
      </c>
      <c r="G332">
        <v>0.0252838290675812</v>
      </c>
      <c r="H332">
        <v>0.06</v>
      </c>
      <c r="I332">
        <v>0.1094785127531739</v>
      </c>
      <c r="J332" t="s">
        <v>349</v>
      </c>
      <c r="K332" t="s">
        <v>349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0.364097592237317</v>
      </c>
      <c r="R332" t="s">
        <v>784</v>
      </c>
      <c r="S332" t="s">
        <v>794</v>
      </c>
      <c r="T332">
        <v>12000.863904</v>
      </c>
      <c r="U332" s="2">
        <v>44505</v>
      </c>
      <c r="V332" t="s">
        <v>805</v>
      </c>
    </row>
    <row r="333" spans="1:22">
      <c r="A333" s="1" t="s">
        <v>353</v>
      </c>
      <c r="B333">
        <f>HYPERLINK("https://www.suredividend.com/sure-analysis-SYF/","Synchrony Financial")</f>
        <v>0</v>
      </c>
      <c r="C333">
        <v>46.72</v>
      </c>
      <c r="D333">
        <v>63</v>
      </c>
      <c r="E333">
        <v>0.7415873015873016</v>
      </c>
      <c r="F333">
        <v>0.01883561643835616</v>
      </c>
      <c r="G333">
        <v>0.0616162145122463</v>
      </c>
      <c r="H333">
        <v>0.03</v>
      </c>
      <c r="I333">
        <v>0.1087938449310824</v>
      </c>
      <c r="J333" t="s">
        <v>349</v>
      </c>
      <c r="K333" t="s">
        <v>530</v>
      </c>
      <c r="L333">
        <v>7</v>
      </c>
      <c r="M333">
        <v>0.88</v>
      </c>
      <c r="N333">
        <v>0.1257142857142857</v>
      </c>
      <c r="O333">
        <v>4</v>
      </c>
      <c r="P333">
        <v>0.06042477819475911</v>
      </c>
      <c r="Q333">
        <v>0.49772606612638</v>
      </c>
      <c r="R333" t="s">
        <v>784</v>
      </c>
      <c r="S333" t="s">
        <v>794</v>
      </c>
      <c r="T333">
        <v>25628.147259</v>
      </c>
      <c r="U333" s="2">
        <v>44500</v>
      </c>
      <c r="V333" t="s">
        <v>801</v>
      </c>
    </row>
    <row r="334" spans="1:22">
      <c r="A334" s="1" t="s">
        <v>354</v>
      </c>
      <c r="B334">
        <f>HYPERLINK("https://www.suredividend.com/sure-analysis-M/","Macy`s Inc")</f>
        <v>0</v>
      </c>
      <c r="C334">
        <v>25.01</v>
      </c>
      <c r="D334">
        <v>37</v>
      </c>
      <c r="E334">
        <v>0.675945945945946</v>
      </c>
      <c r="F334">
        <v>0.02399040383846461</v>
      </c>
      <c r="G334">
        <v>0.08147779393984766</v>
      </c>
      <c r="H334">
        <v>0.01</v>
      </c>
      <c r="I334">
        <v>0.1086485264472472</v>
      </c>
      <c r="J334" t="s">
        <v>349</v>
      </c>
      <c r="K334" t="s">
        <v>349</v>
      </c>
      <c r="L334">
        <v>4.65</v>
      </c>
      <c r="M334">
        <v>0.6</v>
      </c>
      <c r="N334">
        <v>0.1290322580645161</v>
      </c>
      <c r="O334">
        <v>0</v>
      </c>
      <c r="P334">
        <v>0</v>
      </c>
      <c r="Q334">
        <v>1.528715338061187</v>
      </c>
      <c r="R334" t="s">
        <v>784</v>
      </c>
      <c r="S334" t="s">
        <v>792</v>
      </c>
      <c r="T334">
        <v>7715.165544</v>
      </c>
      <c r="U334" s="2">
        <v>44519</v>
      </c>
      <c r="V334" t="s">
        <v>801</v>
      </c>
    </row>
    <row r="335" spans="1:22">
      <c r="A335" s="1" t="s">
        <v>355</v>
      </c>
      <c r="B335">
        <f>HYPERLINK("https://www.suredividend.com/sure-analysis-EQNR/","Equinor ASA")</f>
        <v>0</v>
      </c>
      <c r="C335">
        <v>26.14</v>
      </c>
      <c r="D335">
        <v>34.8</v>
      </c>
      <c r="E335">
        <v>0.7511494252873564</v>
      </c>
      <c r="F335">
        <v>0.02754399387911247</v>
      </c>
      <c r="G335">
        <v>0.05889947294599707</v>
      </c>
      <c r="H335">
        <v>0.02</v>
      </c>
      <c r="I335">
        <v>0.1082598872386049</v>
      </c>
      <c r="J335" t="s">
        <v>349</v>
      </c>
      <c r="K335" t="s">
        <v>530</v>
      </c>
      <c r="L335">
        <v>2.9</v>
      </c>
      <c r="M335">
        <v>0.72</v>
      </c>
      <c r="N335">
        <v>0.2482758620689655</v>
      </c>
      <c r="O335">
        <v>0</v>
      </c>
      <c r="P335">
        <v>0.1305865872992673</v>
      </c>
      <c r="Q335">
        <v>0.580738998576468</v>
      </c>
      <c r="R335" t="s">
        <v>784</v>
      </c>
      <c r="S335" t="s">
        <v>797</v>
      </c>
      <c r="T335">
        <v>83201.344037</v>
      </c>
      <c r="U335" s="2">
        <v>44502</v>
      </c>
      <c r="V335" t="s">
        <v>799</v>
      </c>
    </row>
    <row r="336" spans="1:22">
      <c r="A336" s="1" t="s">
        <v>356</v>
      </c>
      <c r="B336">
        <f>HYPERLINK("https://www.suredividend.com/sure-analysis-SMG/","Scotts Miracle-Gro Company")</f>
        <v>0</v>
      </c>
      <c r="C336">
        <v>156.36</v>
      </c>
      <c r="D336">
        <v>174</v>
      </c>
      <c r="E336">
        <v>0.8986206896551725</v>
      </c>
      <c r="F336">
        <v>0.01688411358403684</v>
      </c>
      <c r="G336">
        <v>0.02160901660146242</v>
      </c>
      <c r="H336">
        <v>0.07000000000000001</v>
      </c>
      <c r="I336">
        <v>0.1068946373902775</v>
      </c>
      <c r="J336" t="s">
        <v>349</v>
      </c>
      <c r="K336" t="s">
        <v>530</v>
      </c>
      <c r="L336">
        <v>8.699999999999999</v>
      </c>
      <c r="M336">
        <v>2.64</v>
      </c>
      <c r="N336">
        <v>0.303448275862069</v>
      </c>
      <c r="O336">
        <v>12</v>
      </c>
      <c r="P336">
        <v>0.05982499004041508</v>
      </c>
      <c r="Q336">
        <v>-0.211251364596575</v>
      </c>
      <c r="R336" t="s">
        <v>784</v>
      </c>
      <c r="S336" t="s">
        <v>793</v>
      </c>
      <c r="T336">
        <v>8284.849673999999</v>
      </c>
      <c r="U336" s="2">
        <v>44503</v>
      </c>
      <c r="V336" t="s">
        <v>799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114.99</v>
      </c>
      <c r="D337">
        <v>154</v>
      </c>
      <c r="E337">
        <v>0.7466883116883116</v>
      </c>
      <c r="F337">
        <v>0.01739281676667536</v>
      </c>
      <c r="G337">
        <v>0.06016174581060629</v>
      </c>
      <c r="H337">
        <v>0.03</v>
      </c>
      <c r="I337">
        <v>0.1062208444032531</v>
      </c>
      <c r="J337" t="s">
        <v>349</v>
      </c>
      <c r="K337" t="s">
        <v>530</v>
      </c>
      <c r="L337">
        <v>17.1</v>
      </c>
      <c r="M337">
        <v>2</v>
      </c>
      <c r="N337">
        <v>0.1169590643274854</v>
      </c>
      <c r="O337">
        <v>10</v>
      </c>
      <c r="P337">
        <v>0.0602809527753625</v>
      </c>
      <c r="Q337">
        <v>0.421496551766566</v>
      </c>
      <c r="R337" t="s">
        <v>784</v>
      </c>
      <c r="S337" t="s">
        <v>794</v>
      </c>
      <c r="T337">
        <v>33859.04186</v>
      </c>
      <c r="U337" s="2">
        <v>44499</v>
      </c>
      <c r="V337" t="s">
        <v>801</v>
      </c>
    </row>
    <row r="338" spans="1:22">
      <c r="A338" s="1" t="s">
        <v>358</v>
      </c>
      <c r="B338">
        <f>HYPERLINK("https://www.suredividend.com/sure-analysis-MPLX/","MPLX LP")</f>
        <v>0</v>
      </c>
      <c r="C338">
        <v>28.36</v>
      </c>
      <c r="D338">
        <v>29</v>
      </c>
      <c r="E338">
        <v>0.9779310344827586</v>
      </c>
      <c r="F338">
        <v>0.09943582510578279</v>
      </c>
      <c r="G338">
        <v>0.004473200690918944</v>
      </c>
      <c r="H338">
        <v>0.02</v>
      </c>
      <c r="I338">
        <v>0.1062054473312668</v>
      </c>
      <c r="J338" t="s">
        <v>349</v>
      </c>
      <c r="K338" t="s">
        <v>780</v>
      </c>
      <c r="L338">
        <v>4.1</v>
      </c>
      <c r="M338">
        <v>2.82</v>
      </c>
      <c r="N338">
        <v>0.6878048780487805</v>
      </c>
      <c r="O338">
        <v>9</v>
      </c>
      <c r="P338">
        <v>0.01977005769334617</v>
      </c>
      <c r="Q338">
        <v>0.364496932545043</v>
      </c>
      <c r="R338" t="s">
        <v>785</v>
      </c>
      <c r="S338" t="s">
        <v>797</v>
      </c>
      <c r="T338">
        <v>28739.757319</v>
      </c>
      <c r="U338" s="2">
        <v>44509</v>
      </c>
      <c r="V338" t="s">
        <v>803</v>
      </c>
    </row>
    <row r="339" spans="1:22">
      <c r="A339" s="1" t="s">
        <v>359</v>
      </c>
      <c r="B339">
        <f>HYPERLINK("https://www.suredividend.com/sure-analysis-GLOP/","Gaslog Partners LP")</f>
        <v>0</v>
      </c>
      <c r="C339">
        <v>4.21</v>
      </c>
      <c r="D339">
        <v>5.25</v>
      </c>
      <c r="E339">
        <v>0.8019047619047619</v>
      </c>
      <c r="F339">
        <v>0.009501187648456057</v>
      </c>
      <c r="G339">
        <v>0.0451423390745993</v>
      </c>
      <c r="H339">
        <v>0.05</v>
      </c>
      <c r="I339">
        <v>0.1056839970483097</v>
      </c>
      <c r="J339" t="s">
        <v>349</v>
      </c>
      <c r="K339" t="s">
        <v>530</v>
      </c>
      <c r="L339">
        <v>1.25</v>
      </c>
      <c r="M339">
        <v>0.04</v>
      </c>
      <c r="N339">
        <v>0.032</v>
      </c>
      <c r="O339">
        <v>0</v>
      </c>
      <c r="P339">
        <v>0.08447177119769855</v>
      </c>
      <c r="Q339">
        <v>0.221405348408072</v>
      </c>
      <c r="R339" t="s">
        <v>784</v>
      </c>
      <c r="S339" t="s">
        <v>797</v>
      </c>
      <c r="T339">
        <v>198.149326</v>
      </c>
      <c r="U339" s="2">
        <v>44498</v>
      </c>
      <c r="V339" t="s">
        <v>799</v>
      </c>
    </row>
    <row r="340" spans="1:22">
      <c r="A340" s="1" t="s">
        <v>360</v>
      </c>
      <c r="B340">
        <f>HYPERLINK("https://www.suredividend.com/sure-analysis-BASFY/","Basf SE")</f>
        <v>0</v>
      </c>
      <c r="C340">
        <v>16.89</v>
      </c>
      <c r="D340">
        <v>19.6</v>
      </c>
      <c r="E340">
        <v>0.861734693877551</v>
      </c>
      <c r="F340">
        <v>0.0556542332741267</v>
      </c>
      <c r="G340">
        <v>0.03020886896198771</v>
      </c>
      <c r="H340">
        <v>0.03</v>
      </c>
      <c r="I340">
        <v>0.1046076095337574</v>
      </c>
      <c r="J340" t="s">
        <v>349</v>
      </c>
      <c r="K340" t="s">
        <v>780</v>
      </c>
      <c r="L340">
        <v>1.51</v>
      </c>
      <c r="M340">
        <v>0.9399999999999999</v>
      </c>
      <c r="N340">
        <v>0.6225165562913907</v>
      </c>
      <c r="O340">
        <v>0</v>
      </c>
      <c r="P340">
        <v>0.02431988176177757</v>
      </c>
      <c r="Q340">
        <v>-0.088793790780545</v>
      </c>
      <c r="R340" t="s">
        <v>784</v>
      </c>
      <c r="S340" t="s">
        <v>793</v>
      </c>
      <c r="T340">
        <v>61721.768237</v>
      </c>
      <c r="U340" s="2">
        <v>44497</v>
      </c>
      <c r="V340" t="s">
        <v>810</v>
      </c>
    </row>
    <row r="341" spans="1:22">
      <c r="A341" s="1" t="s">
        <v>361</v>
      </c>
      <c r="B341">
        <f>HYPERLINK("https://www.suredividend.com/sure-analysis-DDAIF/","Daimler AG")</f>
        <v>0</v>
      </c>
      <c r="C341">
        <v>81.152</v>
      </c>
      <c r="D341">
        <v>113</v>
      </c>
      <c r="E341">
        <v>0.7181592920353982</v>
      </c>
      <c r="F341">
        <v>0.01959286277602524</v>
      </c>
      <c r="G341">
        <v>0.06845403421538721</v>
      </c>
      <c r="H341">
        <v>0.02</v>
      </c>
      <c r="I341">
        <v>0.1043994835573492</v>
      </c>
      <c r="J341" t="s">
        <v>349</v>
      </c>
      <c r="K341" t="s">
        <v>530</v>
      </c>
      <c r="L341">
        <v>14.1</v>
      </c>
      <c r="M341">
        <v>1.59</v>
      </c>
      <c r="N341">
        <v>0.1127659574468085</v>
      </c>
      <c r="O341">
        <v>1</v>
      </c>
      <c r="P341">
        <v>0.02512087219852699</v>
      </c>
      <c r="Q341">
        <v>0.180742255990648</v>
      </c>
      <c r="R341" t="s">
        <v>784</v>
      </c>
      <c r="S341" t="s">
        <v>792</v>
      </c>
      <c r="T341">
        <v>86453.564092</v>
      </c>
      <c r="U341" s="2">
        <v>44498</v>
      </c>
      <c r="V341" t="s">
        <v>801</v>
      </c>
    </row>
    <row r="342" spans="1:22">
      <c r="A342" s="1" t="s">
        <v>362</v>
      </c>
      <c r="B342">
        <f>HYPERLINK("https://www.suredividend.com/sure-analysis-JBL/","Jabil Inc")</f>
        <v>0</v>
      </c>
      <c r="C342">
        <v>63.78</v>
      </c>
      <c r="D342">
        <v>73</v>
      </c>
      <c r="E342">
        <v>0.8736986301369863</v>
      </c>
      <c r="F342">
        <v>0.005017246785826278</v>
      </c>
      <c r="G342">
        <v>0.02737186694947891</v>
      </c>
      <c r="H342">
        <v>0.07000000000000001</v>
      </c>
      <c r="I342">
        <v>0.1032555305892493</v>
      </c>
      <c r="J342" t="s">
        <v>349</v>
      </c>
      <c r="K342" t="s">
        <v>782</v>
      </c>
      <c r="L342">
        <v>6.35</v>
      </c>
      <c r="M342">
        <v>0.32</v>
      </c>
      <c r="N342">
        <v>0.05039370078740158</v>
      </c>
      <c r="O342">
        <v>0</v>
      </c>
      <c r="P342">
        <v>0.05081623913789235</v>
      </c>
      <c r="Q342">
        <v>0.578709630727688</v>
      </c>
      <c r="R342" t="s">
        <v>784</v>
      </c>
      <c r="S342" t="s">
        <v>791</v>
      </c>
      <c r="T342">
        <v>9067.370645000001</v>
      </c>
      <c r="U342" s="2">
        <v>44491</v>
      </c>
      <c r="V342" t="s">
        <v>805</v>
      </c>
    </row>
    <row r="343" spans="1:22">
      <c r="A343" s="1" t="s">
        <v>363</v>
      </c>
      <c r="B343">
        <f>HYPERLINK("https://www.suredividend.com/sure-analysis-NHI/","National Health Investors, Inc.")</f>
        <v>0</v>
      </c>
      <c r="C343">
        <v>54.84</v>
      </c>
      <c r="D343">
        <v>61</v>
      </c>
      <c r="E343">
        <v>0.899016393442623</v>
      </c>
      <c r="F343">
        <v>0.06564551422319474</v>
      </c>
      <c r="G343">
        <v>0.02151906813060456</v>
      </c>
      <c r="H343">
        <v>0.03</v>
      </c>
      <c r="I343">
        <v>0.1023114089537993</v>
      </c>
      <c r="J343" t="s">
        <v>349</v>
      </c>
      <c r="K343" t="s">
        <v>781</v>
      </c>
      <c r="L343">
        <v>4.78</v>
      </c>
      <c r="M343">
        <v>3.6</v>
      </c>
      <c r="N343">
        <v>0.7531380753138075</v>
      </c>
      <c r="O343">
        <v>0</v>
      </c>
      <c r="P343">
        <v>0.009805797673485328</v>
      </c>
      <c r="Q343">
        <v>-0.142241276456972</v>
      </c>
      <c r="R343" t="s">
        <v>786</v>
      </c>
      <c r="S343" t="s">
        <v>798</v>
      </c>
      <c r="T343">
        <v>2472.264298</v>
      </c>
      <c r="U343" s="2">
        <v>44513</v>
      </c>
      <c r="V343" t="s">
        <v>805</v>
      </c>
    </row>
    <row r="344" spans="1:22">
      <c r="A344" s="1" t="s">
        <v>364</v>
      </c>
      <c r="B344">
        <f>HYPERLINK("https://www.suredividend.com/sure-analysis-GPS/","Gap, Inc.")</f>
        <v>0</v>
      </c>
      <c r="C344">
        <v>16.63</v>
      </c>
      <c r="D344">
        <v>20</v>
      </c>
      <c r="E344">
        <v>0.8314999999999999</v>
      </c>
      <c r="F344">
        <v>0.02886349969933855</v>
      </c>
      <c r="G344">
        <v>0.03759423308682996</v>
      </c>
      <c r="H344">
        <v>0.04</v>
      </c>
      <c r="I344">
        <v>0.09959125798281776</v>
      </c>
      <c r="J344" t="s">
        <v>349</v>
      </c>
      <c r="K344" t="s">
        <v>349</v>
      </c>
      <c r="L344">
        <v>2</v>
      </c>
      <c r="M344">
        <v>0.48</v>
      </c>
      <c r="N344">
        <v>0.24</v>
      </c>
      <c r="O344">
        <v>0</v>
      </c>
      <c r="P344">
        <v>0</v>
      </c>
      <c r="Q344">
        <v>-0.177608639343282</v>
      </c>
      <c r="R344" t="s">
        <v>784</v>
      </c>
      <c r="S344" t="s">
        <v>792</v>
      </c>
      <c r="T344">
        <v>6164.887558</v>
      </c>
      <c r="U344" s="2">
        <v>44528</v>
      </c>
      <c r="V344" t="s">
        <v>802</v>
      </c>
    </row>
    <row r="345" spans="1:22">
      <c r="A345" s="1" t="s">
        <v>365</v>
      </c>
      <c r="B345">
        <f>HYPERLINK("https://www.suredividend.com/sure-analysis-IVZ/","Invesco Ltd")</f>
        <v>0</v>
      </c>
      <c r="C345">
        <v>22.9</v>
      </c>
      <c r="D345">
        <v>30</v>
      </c>
      <c r="E345">
        <v>0.7633333333333333</v>
      </c>
      <c r="F345">
        <v>0.02969432314410481</v>
      </c>
      <c r="G345">
        <v>0.05549736749567247</v>
      </c>
      <c r="H345">
        <v>0.02</v>
      </c>
      <c r="I345">
        <v>0.0994463008378268</v>
      </c>
      <c r="J345" t="s">
        <v>349</v>
      </c>
      <c r="K345" t="s">
        <v>349</v>
      </c>
      <c r="L345">
        <v>3</v>
      </c>
      <c r="M345">
        <v>0.68</v>
      </c>
      <c r="N345">
        <v>0.2266666666666667</v>
      </c>
      <c r="O345">
        <v>1</v>
      </c>
      <c r="P345">
        <v>0.02517111829582741</v>
      </c>
      <c r="Q345">
        <v>0.363186170053122</v>
      </c>
      <c r="R345" t="s">
        <v>784</v>
      </c>
      <c r="S345" t="s">
        <v>794</v>
      </c>
      <c r="T345">
        <v>10474.000001</v>
      </c>
      <c r="U345" s="2">
        <v>44505</v>
      </c>
      <c r="V345" t="s">
        <v>801</v>
      </c>
    </row>
    <row r="346" spans="1:22">
      <c r="A346" s="1" t="s">
        <v>366</v>
      </c>
      <c r="B346">
        <f>HYPERLINK("https://www.suredividend.com/sure-analysis-ROST/","Ross Stores, Inc.")</f>
        <v>0</v>
      </c>
      <c r="C346">
        <v>108.82</v>
      </c>
      <c r="D346">
        <v>90</v>
      </c>
      <c r="E346">
        <v>1.209111111111111</v>
      </c>
      <c r="F346">
        <v>0.01047601543833854</v>
      </c>
      <c r="G346">
        <v>-0.03726500709369474</v>
      </c>
      <c r="H346">
        <v>0.13</v>
      </c>
      <c r="I346">
        <v>0.09920800993547685</v>
      </c>
      <c r="J346" t="s">
        <v>349</v>
      </c>
      <c r="K346" t="s">
        <v>782</v>
      </c>
      <c r="L346">
        <v>4.8</v>
      </c>
      <c r="M346">
        <v>1.14</v>
      </c>
      <c r="N346">
        <v>0.2375</v>
      </c>
      <c r="O346">
        <v>0</v>
      </c>
      <c r="P346">
        <v>0.1486983549970351</v>
      </c>
      <c r="Q346">
        <v>0.001115293588934</v>
      </c>
      <c r="R346" t="s">
        <v>784</v>
      </c>
      <c r="S346" t="s">
        <v>792</v>
      </c>
      <c r="T346">
        <v>38724.938956</v>
      </c>
      <c r="U346" s="2">
        <v>44522</v>
      </c>
      <c r="V346" t="s">
        <v>807</v>
      </c>
    </row>
    <row r="347" spans="1:22">
      <c r="A347" s="1" t="s">
        <v>367</v>
      </c>
      <c r="B347">
        <f>HYPERLINK("https://www.suredividend.com/sure-analysis-SJI/","South Jersey Industries Inc.")</f>
        <v>0</v>
      </c>
      <c r="C347">
        <v>25.15</v>
      </c>
      <c r="D347">
        <v>29</v>
      </c>
      <c r="E347">
        <v>0.8672413793103447</v>
      </c>
      <c r="F347">
        <v>0.04771371769383698</v>
      </c>
      <c r="G347">
        <v>0.02889723873296113</v>
      </c>
      <c r="H347">
        <v>0.03</v>
      </c>
      <c r="I347">
        <v>0.09837823301394133</v>
      </c>
      <c r="J347" t="s">
        <v>349</v>
      </c>
      <c r="K347" t="s">
        <v>780</v>
      </c>
      <c r="L347">
        <v>1.6</v>
      </c>
      <c r="M347">
        <v>1.2</v>
      </c>
      <c r="N347">
        <v>0.7499999999999999</v>
      </c>
      <c r="O347">
        <v>23</v>
      </c>
      <c r="P347">
        <v>0.03131030647754507</v>
      </c>
      <c r="Q347">
        <v>0.09457642312864101</v>
      </c>
      <c r="R347" t="s">
        <v>784</v>
      </c>
      <c r="S347" t="s">
        <v>796</v>
      </c>
      <c r="T347">
        <v>2745.958158</v>
      </c>
      <c r="U347" s="2">
        <v>44517</v>
      </c>
      <c r="V347" t="s">
        <v>806</v>
      </c>
    </row>
    <row r="348" spans="1:22">
      <c r="A348" s="1" t="s">
        <v>368</v>
      </c>
      <c r="B348">
        <f>HYPERLINK("https://www.suredividend.com/sure-analysis-UL/","Unilever plc")</f>
        <v>0</v>
      </c>
      <c r="C348">
        <v>52.7</v>
      </c>
      <c r="D348">
        <v>54</v>
      </c>
      <c r="E348">
        <v>0.975925925925926</v>
      </c>
      <c r="F348">
        <v>0.03851992409867172</v>
      </c>
      <c r="G348">
        <v>0.004885614085829326</v>
      </c>
      <c r="H348">
        <v>0.06</v>
      </c>
      <c r="I348">
        <v>0.09641397280386399</v>
      </c>
      <c r="J348" t="s">
        <v>349</v>
      </c>
      <c r="K348" t="s">
        <v>781</v>
      </c>
      <c r="L348">
        <v>2.98</v>
      </c>
      <c r="M348">
        <v>2.03</v>
      </c>
      <c r="N348">
        <v>0.6812080536912751</v>
      </c>
      <c r="O348">
        <v>6</v>
      </c>
      <c r="P348">
        <v>0.03405357579605606</v>
      </c>
      <c r="Q348">
        <v>-0.05466641472032101</v>
      </c>
      <c r="R348" t="s">
        <v>784</v>
      </c>
      <c r="S348" t="s">
        <v>795</v>
      </c>
      <c r="T348">
        <v>136240.784977</v>
      </c>
      <c r="U348" s="2">
        <v>44516</v>
      </c>
      <c r="V348" t="s">
        <v>807</v>
      </c>
    </row>
    <row r="349" spans="1:22">
      <c r="A349" s="1" t="s">
        <v>369</v>
      </c>
      <c r="B349">
        <f>HYPERLINK("https://www.suredividend.com/sure-analysis-OGS/","ONE Gas Inc")</f>
        <v>0</v>
      </c>
      <c r="C349">
        <v>74.37</v>
      </c>
      <c r="D349">
        <v>77</v>
      </c>
      <c r="E349">
        <v>0.9658441558441559</v>
      </c>
      <c r="F349">
        <v>0.03119537447895656</v>
      </c>
      <c r="G349">
        <v>0.006974768613212667</v>
      </c>
      <c r="H349">
        <v>0.06</v>
      </c>
      <c r="I349">
        <v>0.09507285449690661</v>
      </c>
      <c r="J349" t="s">
        <v>349</v>
      </c>
      <c r="K349" t="s">
        <v>781</v>
      </c>
      <c r="L349">
        <v>3.85</v>
      </c>
      <c r="M349">
        <v>2.32</v>
      </c>
      <c r="N349">
        <v>0.6025974025974026</v>
      </c>
      <c r="O349">
        <v>7</v>
      </c>
      <c r="P349">
        <v>0.06509372738446295</v>
      </c>
      <c r="Q349">
        <v>-0.06374532840536</v>
      </c>
      <c r="R349" t="s">
        <v>784</v>
      </c>
      <c r="S349" t="s">
        <v>796</v>
      </c>
      <c r="T349">
        <v>3887.773705</v>
      </c>
      <c r="U349" s="2">
        <v>44502</v>
      </c>
      <c r="V349" t="s">
        <v>799</v>
      </c>
    </row>
    <row r="350" spans="1:22">
      <c r="A350" s="1" t="s">
        <v>370</v>
      </c>
      <c r="B350">
        <f>HYPERLINK("https://www.suredividend.com/sure-analysis-HPQ/","HP Inc")</f>
        <v>0</v>
      </c>
      <c r="C350">
        <v>36.26</v>
      </c>
      <c r="D350">
        <v>42</v>
      </c>
      <c r="E350">
        <v>0.8633333333333333</v>
      </c>
      <c r="F350">
        <v>0.02757859900717044</v>
      </c>
      <c r="G350">
        <v>0.02982705728092871</v>
      </c>
      <c r="H350">
        <v>0.04</v>
      </c>
      <c r="I350">
        <v>0.094991486705853</v>
      </c>
      <c r="J350" t="s">
        <v>349</v>
      </c>
      <c r="K350" t="s">
        <v>349</v>
      </c>
      <c r="L350">
        <v>4.17</v>
      </c>
      <c r="M350">
        <v>1</v>
      </c>
      <c r="N350">
        <v>0.2398081534772182</v>
      </c>
      <c r="O350">
        <v>11</v>
      </c>
      <c r="P350">
        <v>0.0602809527753625</v>
      </c>
      <c r="Q350">
        <v>0.5641888626237951</v>
      </c>
      <c r="R350" t="s">
        <v>784</v>
      </c>
      <c r="S350" t="s">
        <v>791</v>
      </c>
      <c r="T350">
        <v>38544.9231</v>
      </c>
      <c r="U350" s="2">
        <v>44533</v>
      </c>
      <c r="V350" t="s">
        <v>801</v>
      </c>
    </row>
    <row r="351" spans="1:22">
      <c r="A351" s="1" t="s">
        <v>371</v>
      </c>
      <c r="B351">
        <f>HYPERLINK("https://www.suredividend.com/sure-analysis-HPE/","Hewlett Packard Enterprise Co")</f>
        <v>0</v>
      </c>
      <c r="C351">
        <v>14.79</v>
      </c>
      <c r="D351">
        <v>15.23</v>
      </c>
      <c r="E351">
        <v>0.9711096520026263</v>
      </c>
      <c r="F351">
        <v>0.03245436105476673</v>
      </c>
      <c r="G351">
        <v>0.005880400107455053</v>
      </c>
      <c r="H351">
        <v>0.06</v>
      </c>
      <c r="I351">
        <v>0.09382864937504953</v>
      </c>
      <c r="J351" t="s">
        <v>349</v>
      </c>
      <c r="K351" t="s">
        <v>349</v>
      </c>
      <c r="L351">
        <v>2.03</v>
      </c>
      <c r="M351">
        <v>0.48</v>
      </c>
      <c r="N351">
        <v>0.2364532019704434</v>
      </c>
      <c r="O351">
        <v>0</v>
      </c>
      <c r="P351">
        <v>0.04910201101938982</v>
      </c>
      <c r="Q351">
        <v>0.267055682618639</v>
      </c>
      <c r="R351" t="s">
        <v>784</v>
      </c>
      <c r="S351" t="s">
        <v>791</v>
      </c>
      <c r="T351">
        <v>18845.419445</v>
      </c>
      <c r="U351" s="2">
        <v>44534</v>
      </c>
      <c r="V351" t="s">
        <v>799</v>
      </c>
    </row>
    <row r="352" spans="1:22">
      <c r="A352" s="1" t="s">
        <v>372</v>
      </c>
      <c r="B352">
        <f>HYPERLINK("https://www.suredividend.com/sure-analysis-STN/","Stantec Inc")</f>
        <v>0</v>
      </c>
      <c r="C352">
        <v>55.22</v>
      </c>
      <c r="D352">
        <v>49</v>
      </c>
      <c r="E352">
        <v>1.126938775510204</v>
      </c>
      <c r="F352">
        <v>0.009597971749366172</v>
      </c>
      <c r="G352">
        <v>-0.02361761528337059</v>
      </c>
      <c r="H352">
        <v>0.11</v>
      </c>
      <c r="I352">
        <v>0.09197878944195126</v>
      </c>
      <c r="J352" t="s">
        <v>349</v>
      </c>
      <c r="K352" t="s">
        <v>782</v>
      </c>
      <c r="L352">
        <v>1.95</v>
      </c>
      <c r="M352">
        <v>0.53</v>
      </c>
      <c r="N352">
        <v>0.2717948717948718</v>
      </c>
      <c r="O352">
        <v>3</v>
      </c>
      <c r="P352">
        <v>0.06022122873100355</v>
      </c>
      <c r="Q352">
        <v>0.719053126106728</v>
      </c>
      <c r="R352" t="s">
        <v>784</v>
      </c>
      <c r="S352" t="s">
        <v>790</v>
      </c>
      <c r="T352">
        <v>6098.566196</v>
      </c>
      <c r="U352" s="2">
        <v>44511</v>
      </c>
      <c r="V352" t="s">
        <v>799</v>
      </c>
    </row>
    <row r="353" spans="1:22">
      <c r="A353" s="1" t="s">
        <v>373</v>
      </c>
      <c r="B353">
        <f>HYPERLINK("https://www.suredividend.com/sure-analysis-SR/","Spire Inc.")</f>
        <v>0</v>
      </c>
      <c r="C353">
        <v>63.53</v>
      </c>
      <c r="D353">
        <v>63</v>
      </c>
      <c r="E353">
        <v>1.008412698412698</v>
      </c>
      <c r="F353">
        <v>0.04312923028490477</v>
      </c>
      <c r="G353">
        <v>-0.001674098907891719</v>
      </c>
      <c r="H353">
        <v>0.055</v>
      </c>
      <c r="I353">
        <v>0.09110251599797592</v>
      </c>
      <c r="J353" t="s">
        <v>349</v>
      </c>
      <c r="K353" t="s">
        <v>781</v>
      </c>
      <c r="L353">
        <v>3.96</v>
      </c>
      <c r="M353">
        <v>2.74</v>
      </c>
      <c r="N353">
        <v>0.6919191919191919</v>
      </c>
      <c r="O353">
        <v>19</v>
      </c>
      <c r="P353">
        <v>0.05017940304678881</v>
      </c>
      <c r="Q353">
        <v>-0.012682982489782</v>
      </c>
      <c r="R353" t="s">
        <v>784</v>
      </c>
      <c r="S353" t="s">
        <v>796</v>
      </c>
      <c r="T353">
        <v>3220.251676</v>
      </c>
      <c r="U353" s="2">
        <v>44527</v>
      </c>
      <c r="V353" t="s">
        <v>802</v>
      </c>
    </row>
    <row r="354" spans="1:22">
      <c r="A354" s="1" t="s">
        <v>374</v>
      </c>
      <c r="B354">
        <f>HYPERLINK("https://www.suredividend.com/sure-analysis-RCI/","Rogers Communications Inc.")</f>
        <v>0</v>
      </c>
      <c r="C354">
        <v>44.45</v>
      </c>
      <c r="D354">
        <v>47</v>
      </c>
      <c r="E354">
        <v>0.9457446808510639</v>
      </c>
      <c r="F354">
        <v>0.03599550056242969</v>
      </c>
      <c r="G354">
        <v>0.01121899409360383</v>
      </c>
      <c r="H354">
        <v>0.05</v>
      </c>
      <c r="I354">
        <v>0.09104631754117376</v>
      </c>
      <c r="J354" t="s">
        <v>349</v>
      </c>
      <c r="K354" t="s">
        <v>781</v>
      </c>
      <c r="L354">
        <v>3.1</v>
      </c>
      <c r="M354">
        <v>1.6</v>
      </c>
      <c r="N354">
        <v>0.5161290322580645</v>
      </c>
      <c r="O354">
        <v>0</v>
      </c>
      <c r="P354">
        <v>0.02946206823925857</v>
      </c>
      <c r="Q354">
        <v>-0.009205410401477</v>
      </c>
      <c r="R354" t="s">
        <v>784</v>
      </c>
      <c r="S354" t="s">
        <v>788</v>
      </c>
      <c r="T354">
        <v>17770.926163</v>
      </c>
      <c r="U354" s="2">
        <v>44496</v>
      </c>
      <c r="V354" t="s">
        <v>807</v>
      </c>
    </row>
    <row r="355" spans="1:22">
      <c r="A355" s="1" t="s">
        <v>375</v>
      </c>
      <c r="B355">
        <f>HYPERLINK("https://www.suredividend.com/sure-analysis-CE/","Celanese Corp")</f>
        <v>0</v>
      </c>
      <c r="C355">
        <v>160.03</v>
      </c>
      <c r="D355">
        <v>197</v>
      </c>
      <c r="E355">
        <v>0.8123350253807107</v>
      </c>
      <c r="F355">
        <v>0.01699681309754421</v>
      </c>
      <c r="G355">
        <v>0.04244455248961665</v>
      </c>
      <c r="H355">
        <v>0.03</v>
      </c>
      <c r="I355">
        <v>0.09036797338824121</v>
      </c>
      <c r="J355" t="s">
        <v>349</v>
      </c>
      <c r="K355" t="s">
        <v>530</v>
      </c>
      <c r="L355">
        <v>17.12</v>
      </c>
      <c r="M355">
        <v>2.72</v>
      </c>
      <c r="N355">
        <v>0.1588785046728972</v>
      </c>
      <c r="O355">
        <v>11</v>
      </c>
      <c r="P355">
        <v>0.09997050830829379</v>
      </c>
      <c r="Q355">
        <v>0.260296820078197</v>
      </c>
      <c r="R355" t="s">
        <v>784</v>
      </c>
      <c r="S355" t="s">
        <v>790</v>
      </c>
      <c r="T355">
        <v>17374.698632</v>
      </c>
      <c r="U355" s="2">
        <v>44494</v>
      </c>
      <c r="V355" t="s">
        <v>805</v>
      </c>
    </row>
    <row r="356" spans="1:22">
      <c r="A356" s="1" t="s">
        <v>376</v>
      </c>
      <c r="B356">
        <f>HYPERLINK("https://www.suredividend.com/sure-analysis-CC/","Chemours Company")</f>
        <v>0</v>
      </c>
      <c r="C356">
        <v>32.6</v>
      </c>
      <c r="D356">
        <v>39</v>
      </c>
      <c r="E356">
        <v>0.8358974358974359</v>
      </c>
      <c r="F356">
        <v>0.03067484662576687</v>
      </c>
      <c r="G356">
        <v>0.03650022663873043</v>
      </c>
      <c r="H356">
        <v>0.03</v>
      </c>
      <c r="I356">
        <v>0.09022828659760052</v>
      </c>
      <c r="J356" t="s">
        <v>349</v>
      </c>
      <c r="K356" t="s">
        <v>349</v>
      </c>
      <c r="L356">
        <v>3.93</v>
      </c>
      <c r="M356">
        <v>1</v>
      </c>
      <c r="N356">
        <v>0.2544529262086514</v>
      </c>
      <c r="O356">
        <v>0</v>
      </c>
      <c r="P356">
        <v>0</v>
      </c>
      <c r="Q356">
        <v>0.268235115879451</v>
      </c>
      <c r="R356" t="s">
        <v>784</v>
      </c>
      <c r="S356" t="s">
        <v>793</v>
      </c>
      <c r="T356">
        <v>5183.784511</v>
      </c>
      <c r="U356" s="2">
        <v>44505</v>
      </c>
      <c r="V356" t="s">
        <v>800</v>
      </c>
    </row>
    <row r="357" spans="1:22">
      <c r="A357" s="1" t="s">
        <v>377</v>
      </c>
      <c r="B357">
        <f>HYPERLINK("https://www.suredividend.com/sure-analysis-PHM/","PulteGroup Inc")</f>
        <v>0</v>
      </c>
      <c r="C357">
        <v>55.32</v>
      </c>
      <c r="D357">
        <v>61</v>
      </c>
      <c r="E357">
        <v>0.9068852459016393</v>
      </c>
      <c r="F357">
        <v>0.01084598698481562</v>
      </c>
      <c r="G357">
        <v>0.01974018215921336</v>
      </c>
      <c r="H357">
        <v>0.06</v>
      </c>
      <c r="I357">
        <v>0.08958394993778618</v>
      </c>
      <c r="J357" t="s">
        <v>349</v>
      </c>
      <c r="K357" t="s">
        <v>530</v>
      </c>
      <c r="L357">
        <v>7.13</v>
      </c>
      <c r="M357">
        <v>0.6</v>
      </c>
      <c r="N357">
        <v>0.08415147265077139</v>
      </c>
      <c r="O357">
        <v>4</v>
      </c>
      <c r="P357">
        <v>0.03424021252947318</v>
      </c>
      <c r="Q357">
        <v>0.297209290003106</v>
      </c>
      <c r="R357" t="s">
        <v>784</v>
      </c>
      <c r="S357" t="s">
        <v>792</v>
      </c>
      <c r="T357">
        <v>13636.580025</v>
      </c>
      <c r="U357" s="2">
        <v>44498</v>
      </c>
      <c r="V357" t="s">
        <v>805</v>
      </c>
    </row>
    <row r="358" spans="1:22">
      <c r="A358" s="1" t="s">
        <v>378</v>
      </c>
      <c r="B358">
        <f>HYPERLINK("https://www.suredividend.com/sure-analysis-VIAC/","ViacomCBS Inc")</f>
        <v>0</v>
      </c>
      <c r="C358">
        <v>29.56</v>
      </c>
      <c r="D358">
        <v>36</v>
      </c>
      <c r="E358">
        <v>0.8211111111111111</v>
      </c>
      <c r="F358">
        <v>0.03247631935047361</v>
      </c>
      <c r="G358">
        <v>0.0402066220574242</v>
      </c>
      <c r="H358">
        <v>0.02</v>
      </c>
      <c r="I358">
        <v>0.08927261580007184</v>
      </c>
      <c r="J358" t="s">
        <v>349</v>
      </c>
      <c r="K358" t="s">
        <v>349</v>
      </c>
      <c r="L358">
        <v>3.64</v>
      </c>
      <c r="M358">
        <v>0.96</v>
      </c>
      <c r="N358">
        <v>0.2637362637362637</v>
      </c>
      <c r="O358">
        <v>1</v>
      </c>
      <c r="P358">
        <v>0.05081623913789235</v>
      </c>
      <c r="Q358">
        <v>-0.126915770968769</v>
      </c>
      <c r="R358" t="s">
        <v>784</v>
      </c>
      <c r="S358" t="s">
        <v>788</v>
      </c>
      <c r="T358">
        <v>19291.67852</v>
      </c>
      <c r="U358" s="2">
        <v>44513</v>
      </c>
      <c r="V358" t="s">
        <v>802</v>
      </c>
    </row>
    <row r="359" spans="1:22">
      <c r="A359" s="1" t="s">
        <v>379</v>
      </c>
      <c r="B359">
        <f>HYPERLINK("https://www.suredividend.com/sure-analysis-OGE/","Oge Energy Corp.")</f>
        <v>0</v>
      </c>
      <c r="C359">
        <v>37.04</v>
      </c>
      <c r="D359">
        <v>37</v>
      </c>
      <c r="E359">
        <v>1.001081081081081</v>
      </c>
      <c r="F359">
        <v>0.04427645788336933</v>
      </c>
      <c r="G359">
        <v>-0.000216076078951577</v>
      </c>
      <c r="H359">
        <v>0.05</v>
      </c>
      <c r="I359">
        <v>0.08921264963657394</v>
      </c>
      <c r="J359" t="s">
        <v>349</v>
      </c>
      <c r="K359" t="s">
        <v>781</v>
      </c>
      <c r="L359">
        <v>2.17</v>
      </c>
      <c r="M359">
        <v>1.64</v>
      </c>
      <c r="N359">
        <v>0.7557603686635944</v>
      </c>
      <c r="O359">
        <v>15</v>
      </c>
      <c r="P359">
        <v>0.05168994430952489</v>
      </c>
      <c r="Q359">
        <v>0.188913082627985</v>
      </c>
      <c r="R359" t="s">
        <v>784</v>
      </c>
      <c r="S359" t="s">
        <v>796</v>
      </c>
      <c r="T359">
        <v>7268.331048</v>
      </c>
      <c r="U359" s="2">
        <v>44508</v>
      </c>
      <c r="V359" t="s">
        <v>807</v>
      </c>
    </row>
    <row r="360" spans="1:22">
      <c r="A360" s="1" t="s">
        <v>380</v>
      </c>
      <c r="B360">
        <f>HYPERLINK("https://www.suredividend.com/sure-analysis-DGX/","Quest Diagnostics, Inc.")</f>
        <v>0</v>
      </c>
      <c r="C360">
        <v>168.41</v>
      </c>
      <c r="D360">
        <v>206</v>
      </c>
      <c r="E360">
        <v>0.8175242718446601</v>
      </c>
      <c r="F360">
        <v>0.01472596639154444</v>
      </c>
      <c r="G360">
        <v>0.04111779334827648</v>
      </c>
      <c r="H360">
        <v>0.03</v>
      </c>
      <c r="I360">
        <v>0.08572262097672634</v>
      </c>
      <c r="J360" t="s">
        <v>349</v>
      </c>
      <c r="K360" t="s">
        <v>530</v>
      </c>
      <c r="L360">
        <v>13.7</v>
      </c>
      <c r="M360">
        <v>2.48</v>
      </c>
      <c r="N360">
        <v>0.181021897810219</v>
      </c>
      <c r="O360">
        <v>10</v>
      </c>
      <c r="P360">
        <v>0.07010283006626494</v>
      </c>
      <c r="Q360">
        <v>0.347313116944943</v>
      </c>
      <c r="R360" t="s">
        <v>784</v>
      </c>
      <c r="S360" t="s">
        <v>789</v>
      </c>
      <c r="T360">
        <v>20171.412596</v>
      </c>
      <c r="U360" s="2">
        <v>44490</v>
      </c>
      <c r="V360" t="s">
        <v>802</v>
      </c>
    </row>
    <row r="361" spans="1:22">
      <c r="A361" s="1" t="s">
        <v>381</v>
      </c>
      <c r="B361">
        <f>HYPERLINK("https://www.suredividend.com/sure-analysis-PM/","Philip Morris International Inc")</f>
        <v>0</v>
      </c>
      <c r="C361">
        <v>92.73</v>
      </c>
      <c r="D361">
        <v>97</v>
      </c>
      <c r="E361">
        <v>0.955979381443299</v>
      </c>
      <c r="F361">
        <v>0.05391998274560552</v>
      </c>
      <c r="G361">
        <v>0.009044442753820325</v>
      </c>
      <c r="H361">
        <v>0.03</v>
      </c>
      <c r="I361">
        <v>0.08557214875117536</v>
      </c>
      <c r="J361" t="s">
        <v>349</v>
      </c>
      <c r="K361" t="s">
        <v>781</v>
      </c>
      <c r="L361">
        <v>6.04</v>
      </c>
      <c r="M361">
        <v>5</v>
      </c>
      <c r="N361">
        <v>0.8278145695364238</v>
      </c>
      <c r="O361">
        <v>14</v>
      </c>
      <c r="P361">
        <v>0.03012896281839894</v>
      </c>
      <c r="Q361">
        <v>0.147270489736722</v>
      </c>
      <c r="R361" t="s">
        <v>784</v>
      </c>
      <c r="S361" t="s">
        <v>795</v>
      </c>
      <c r="T361">
        <v>143103.600346</v>
      </c>
      <c r="U361" s="2">
        <v>44488</v>
      </c>
      <c r="V361" t="s">
        <v>799</v>
      </c>
    </row>
    <row r="362" spans="1:22">
      <c r="A362" s="1" t="s">
        <v>382</v>
      </c>
      <c r="B362">
        <f>HYPERLINK("https://www.suredividend.com/sure-analysis-FAF/","First American Financial Corp")</f>
        <v>0</v>
      </c>
      <c r="C362">
        <v>76.95999999999999</v>
      </c>
      <c r="D362">
        <v>82</v>
      </c>
      <c r="E362">
        <v>0.9385365853658536</v>
      </c>
      <c r="F362">
        <v>0.02520790020790021</v>
      </c>
      <c r="G362">
        <v>0.01276750561676909</v>
      </c>
      <c r="H362">
        <v>0.05</v>
      </c>
      <c r="I362">
        <v>0.08537605553714056</v>
      </c>
      <c r="J362" t="s">
        <v>349</v>
      </c>
      <c r="K362" t="s">
        <v>349</v>
      </c>
      <c r="L362">
        <v>7.48</v>
      </c>
      <c r="M362">
        <v>1.94</v>
      </c>
      <c r="N362">
        <v>0.2593582887700535</v>
      </c>
      <c r="O362">
        <v>10</v>
      </c>
      <c r="P362">
        <v>0.05034020601589084</v>
      </c>
      <c r="Q362">
        <v>0.5141394340262151</v>
      </c>
      <c r="R362" t="s">
        <v>784</v>
      </c>
      <c r="S362" t="s">
        <v>794</v>
      </c>
      <c r="T362">
        <v>8385.100060999999</v>
      </c>
      <c r="U362" s="2">
        <v>44494</v>
      </c>
      <c r="V362" t="s">
        <v>805</v>
      </c>
    </row>
    <row r="363" spans="1:22">
      <c r="A363" s="1" t="s">
        <v>383</v>
      </c>
      <c r="B363">
        <f>HYPERLINK("https://www.suredividend.com/sure-analysis-MKTX/","MarketAxess Holdings Inc.")</f>
        <v>0</v>
      </c>
      <c r="C363">
        <v>414.21</v>
      </c>
      <c r="D363">
        <v>300</v>
      </c>
      <c r="E363">
        <v>1.3807</v>
      </c>
      <c r="F363">
        <v>0.006373578619540813</v>
      </c>
      <c r="G363">
        <v>-0.06248087691473803</v>
      </c>
      <c r="H363">
        <v>0.15</v>
      </c>
      <c r="I363">
        <v>0.08536469010453884</v>
      </c>
      <c r="J363" t="s">
        <v>349</v>
      </c>
      <c r="K363" t="s">
        <v>782</v>
      </c>
      <c r="L363">
        <v>7.15</v>
      </c>
      <c r="M363">
        <v>2.64</v>
      </c>
      <c r="N363">
        <v>0.3692307692307693</v>
      </c>
      <c r="O363">
        <v>11</v>
      </c>
      <c r="P363">
        <v>0.1500007374307972</v>
      </c>
      <c r="Q363">
        <v>-0.278487140331532</v>
      </c>
      <c r="R363" t="s">
        <v>784</v>
      </c>
      <c r="S363" t="s">
        <v>794</v>
      </c>
      <c r="T363">
        <v>15036.431908</v>
      </c>
      <c r="U363" s="2">
        <v>44494</v>
      </c>
      <c r="V363" t="s">
        <v>805</v>
      </c>
    </row>
    <row r="364" spans="1:22">
      <c r="A364" s="1" t="s">
        <v>384</v>
      </c>
      <c r="B364">
        <f>HYPERLINK("https://www.suredividend.com/sure-analysis-PRU/","Prudential Financial Inc.")</f>
        <v>0</v>
      </c>
      <c r="C364">
        <v>106.93</v>
      </c>
      <c r="D364">
        <v>116</v>
      </c>
      <c r="E364">
        <v>0.9218103448275863</v>
      </c>
      <c r="F364">
        <v>0.04301879734405686</v>
      </c>
      <c r="G364">
        <v>0.01641644833475819</v>
      </c>
      <c r="H364">
        <v>0.03</v>
      </c>
      <c r="I364">
        <v>0.08447469370386829</v>
      </c>
      <c r="J364" t="s">
        <v>349</v>
      </c>
      <c r="K364" t="s">
        <v>781</v>
      </c>
      <c r="L364">
        <v>14.5</v>
      </c>
      <c r="M364">
        <v>4.6</v>
      </c>
      <c r="N364">
        <v>0.3172413793103448</v>
      </c>
      <c r="O364">
        <v>13</v>
      </c>
      <c r="P364">
        <v>0.04012620718096094</v>
      </c>
      <c r="Q364">
        <v>0.46470733899643</v>
      </c>
      <c r="R364" t="s">
        <v>784</v>
      </c>
      <c r="S364" t="s">
        <v>794</v>
      </c>
      <c r="T364">
        <v>40468.68</v>
      </c>
      <c r="U364" s="2">
        <v>44509</v>
      </c>
      <c r="V364" t="s">
        <v>803</v>
      </c>
    </row>
    <row r="365" spans="1:22">
      <c r="A365" s="1" t="s">
        <v>385</v>
      </c>
      <c r="B365">
        <f>HYPERLINK("https://www.suredividend.com/sure-analysis-PFG/","Principal Financial Group Inc")</f>
        <v>0</v>
      </c>
      <c r="C365">
        <v>72.37</v>
      </c>
      <c r="D365">
        <v>72</v>
      </c>
      <c r="E365">
        <v>1.005138888888889</v>
      </c>
      <c r="F365">
        <v>0.03537377366312008</v>
      </c>
      <c r="G365">
        <v>-0.001024620689776268</v>
      </c>
      <c r="H365">
        <v>0.05</v>
      </c>
      <c r="I365">
        <v>0.08175208432454517</v>
      </c>
      <c r="J365" t="s">
        <v>349</v>
      </c>
      <c r="K365" t="s">
        <v>349</v>
      </c>
      <c r="L365">
        <v>6.55</v>
      </c>
      <c r="M365">
        <v>2.56</v>
      </c>
      <c r="N365">
        <v>0.3908396946564885</v>
      </c>
      <c r="O365">
        <v>15</v>
      </c>
      <c r="P365">
        <v>0.06025622492066018</v>
      </c>
      <c r="Q365">
        <v>0.5629986128387311</v>
      </c>
      <c r="R365" t="s">
        <v>784</v>
      </c>
      <c r="S365" t="s">
        <v>794</v>
      </c>
      <c r="T365">
        <v>19084.998384</v>
      </c>
      <c r="U365" s="2">
        <v>44505</v>
      </c>
      <c r="V365" t="s">
        <v>801</v>
      </c>
    </row>
    <row r="366" spans="1:22">
      <c r="A366" s="1" t="s">
        <v>386</v>
      </c>
      <c r="B366">
        <f>HYPERLINK("https://www.suredividend.com/sure-analysis-PGR/","Progressive Corp.")</f>
        <v>0</v>
      </c>
      <c r="C366">
        <v>101.81</v>
      </c>
      <c r="D366">
        <v>96</v>
      </c>
      <c r="E366">
        <v>1.060520833333333</v>
      </c>
      <c r="F366">
        <v>0.01866221392790492</v>
      </c>
      <c r="G366">
        <v>-0.01168324256952447</v>
      </c>
      <c r="H366">
        <v>0.08</v>
      </c>
      <c r="I366">
        <v>0.08138722556034117</v>
      </c>
      <c r="J366" t="s">
        <v>349</v>
      </c>
      <c r="K366" t="s">
        <v>530</v>
      </c>
      <c r="L366">
        <v>7.7</v>
      </c>
      <c r="M366">
        <v>1.9</v>
      </c>
      <c r="N366">
        <v>0.2467532467532467</v>
      </c>
      <c r="O366">
        <v>4</v>
      </c>
      <c r="P366">
        <v>0</v>
      </c>
      <c r="Q366">
        <v>0.08387960612569301</v>
      </c>
      <c r="R366" t="s">
        <v>784</v>
      </c>
      <c r="S366" t="s">
        <v>794</v>
      </c>
      <c r="T366">
        <v>56833.081892</v>
      </c>
      <c r="U366" s="2">
        <v>44494</v>
      </c>
      <c r="V366" t="s">
        <v>799</v>
      </c>
    </row>
    <row r="367" spans="1:22">
      <c r="A367" s="1" t="s">
        <v>387</v>
      </c>
      <c r="B367">
        <f>HYPERLINK("https://www.suredividend.com/sure-analysis-LRCX/","Lam Research Corp.")</f>
        <v>0</v>
      </c>
      <c r="C367">
        <v>697.3099999999999</v>
      </c>
      <c r="D367">
        <v>615</v>
      </c>
      <c r="E367">
        <v>1.133837398373984</v>
      </c>
      <c r="F367">
        <v>0.007457228492349172</v>
      </c>
      <c r="G367">
        <v>-0.02480864087187429</v>
      </c>
      <c r="H367">
        <v>0.1</v>
      </c>
      <c r="I367">
        <v>0.07995900467357964</v>
      </c>
      <c r="J367" t="s">
        <v>349</v>
      </c>
      <c r="K367" t="s">
        <v>782</v>
      </c>
      <c r="L367">
        <v>34.16</v>
      </c>
      <c r="M367">
        <v>5.2</v>
      </c>
      <c r="N367">
        <v>0.1522248243559719</v>
      </c>
      <c r="O367">
        <v>7</v>
      </c>
      <c r="P367">
        <v>0.08997698704834534</v>
      </c>
      <c r="Q367">
        <v>0.39345508378969</v>
      </c>
      <c r="R367" t="s">
        <v>784</v>
      </c>
      <c r="S367" t="s">
        <v>791</v>
      </c>
      <c r="T367">
        <v>95631.88298900001</v>
      </c>
      <c r="U367" s="2">
        <v>44499</v>
      </c>
      <c r="V367" t="s">
        <v>802</v>
      </c>
    </row>
    <row r="368" spans="1:22">
      <c r="A368" s="1" t="s">
        <v>388</v>
      </c>
      <c r="B368">
        <f>HYPERLINK("https://www.suredividend.com/sure-analysis-WRK/","WestRock Co")</f>
        <v>0</v>
      </c>
      <c r="C368">
        <v>43.56</v>
      </c>
      <c r="D368">
        <v>52</v>
      </c>
      <c r="E368">
        <v>0.8376923076923077</v>
      </c>
      <c r="F368">
        <v>0.02295684113865932</v>
      </c>
      <c r="G368">
        <v>0.03605567641163887</v>
      </c>
      <c r="H368">
        <v>0.02</v>
      </c>
      <c r="I368">
        <v>0.07914153041318661</v>
      </c>
      <c r="J368" t="s">
        <v>349</v>
      </c>
      <c r="K368" t="s">
        <v>530</v>
      </c>
      <c r="L368">
        <v>4.7</v>
      </c>
      <c r="M368">
        <v>1</v>
      </c>
      <c r="N368">
        <v>0.2127659574468085</v>
      </c>
      <c r="O368">
        <v>1</v>
      </c>
      <c r="P368">
        <v>0.08009875865888949</v>
      </c>
      <c r="Q368">
        <v>0.025219791405292</v>
      </c>
      <c r="R368" t="s">
        <v>784</v>
      </c>
      <c r="S368" t="s">
        <v>792</v>
      </c>
      <c r="T368">
        <v>11477.216827</v>
      </c>
      <c r="U368" s="2">
        <v>44524</v>
      </c>
      <c r="V368" t="s">
        <v>807</v>
      </c>
    </row>
    <row r="369" spans="1:22">
      <c r="A369" s="1" t="s">
        <v>389</v>
      </c>
      <c r="B369">
        <f>HYPERLINK("https://www.suredividend.com/sure-analysis-ALE/","Allete, Inc.")</f>
        <v>0</v>
      </c>
      <c r="C369">
        <v>64.45</v>
      </c>
      <c r="D369">
        <v>63</v>
      </c>
      <c r="E369">
        <v>1.023015873015873</v>
      </c>
      <c r="F369">
        <v>0.03910007757951901</v>
      </c>
      <c r="G369">
        <v>-0.004540660487405979</v>
      </c>
      <c r="H369">
        <v>0.05</v>
      </c>
      <c r="I369">
        <v>0.0788204222013309</v>
      </c>
      <c r="J369" t="s">
        <v>349</v>
      </c>
      <c r="K369" t="s">
        <v>781</v>
      </c>
      <c r="L369">
        <v>3.15</v>
      </c>
      <c r="M369">
        <v>2.52</v>
      </c>
      <c r="N369">
        <v>0.8</v>
      </c>
      <c r="O369">
        <v>10</v>
      </c>
      <c r="P369">
        <v>0.02990332946790675</v>
      </c>
      <c r="Q369">
        <v>0.107471285658088</v>
      </c>
      <c r="R369" t="s">
        <v>784</v>
      </c>
      <c r="S369" t="s">
        <v>796</v>
      </c>
      <c r="T369">
        <v>3300.499415</v>
      </c>
      <c r="U369" s="2">
        <v>44513</v>
      </c>
      <c r="V369" t="s">
        <v>805</v>
      </c>
    </row>
    <row r="370" spans="1:22">
      <c r="A370" s="1" t="s">
        <v>390</v>
      </c>
      <c r="B370">
        <f>HYPERLINK("https://www.suredividend.com/sure-analysis-NLSN/","Nielsen Holdings plc")</f>
        <v>0</v>
      </c>
      <c r="C370">
        <v>19.99</v>
      </c>
      <c r="D370">
        <v>24</v>
      </c>
      <c r="E370">
        <v>0.8329166666666666</v>
      </c>
      <c r="F370">
        <v>0.01200600300150075</v>
      </c>
      <c r="G370">
        <v>0.03724103419111358</v>
      </c>
      <c r="H370">
        <v>0.03</v>
      </c>
      <c r="I370">
        <v>0.07871262667807355</v>
      </c>
      <c r="J370" t="s">
        <v>349</v>
      </c>
      <c r="K370" t="s">
        <v>530</v>
      </c>
      <c r="L370">
        <v>1.68</v>
      </c>
      <c r="M370">
        <v>0.24</v>
      </c>
      <c r="N370">
        <v>0.1428571428571428</v>
      </c>
      <c r="O370">
        <v>0</v>
      </c>
      <c r="P370">
        <v>0.04563955259127317</v>
      </c>
      <c r="Q370">
        <v>0.052962274524177</v>
      </c>
      <c r="R370" t="s">
        <v>784</v>
      </c>
      <c r="S370" t="s">
        <v>790</v>
      </c>
      <c r="T370">
        <v>7218.030859</v>
      </c>
      <c r="U370" s="2">
        <v>44504</v>
      </c>
      <c r="V370" t="s">
        <v>801</v>
      </c>
    </row>
    <row r="371" spans="1:22">
      <c r="A371" s="1" t="s">
        <v>391</v>
      </c>
      <c r="B371">
        <f>HYPERLINK("https://www.suredividend.com/sure-analysis-KSS/","Kohl`s Corp.")</f>
        <v>0</v>
      </c>
      <c r="C371">
        <v>49.18</v>
      </c>
      <c r="D371">
        <v>80</v>
      </c>
      <c r="E371">
        <v>0.61475</v>
      </c>
      <c r="F371">
        <v>0.0203334688897926</v>
      </c>
      <c r="G371">
        <v>0.1021997102428664</v>
      </c>
      <c r="H371">
        <v>-0.04</v>
      </c>
      <c r="I371">
        <v>0.0779175726689183</v>
      </c>
      <c r="J371" t="s">
        <v>349</v>
      </c>
      <c r="K371" t="s">
        <v>530</v>
      </c>
      <c r="L371">
        <v>7.3</v>
      </c>
      <c r="M371">
        <v>1</v>
      </c>
      <c r="N371">
        <v>0.136986301369863</v>
      </c>
      <c r="O371">
        <v>0</v>
      </c>
      <c r="P371">
        <v>0.08009875865888949</v>
      </c>
      <c r="Q371">
        <v>0.358953029641648</v>
      </c>
      <c r="R371" t="s">
        <v>784</v>
      </c>
      <c r="S371" t="s">
        <v>792</v>
      </c>
      <c r="T371">
        <v>6888.324119</v>
      </c>
      <c r="U371" s="2">
        <v>44535</v>
      </c>
      <c r="V371" t="s">
        <v>804</v>
      </c>
    </row>
    <row r="372" spans="1:22">
      <c r="A372" s="1" t="s">
        <v>392</v>
      </c>
      <c r="B372">
        <f>HYPERLINK("https://www.suredividend.com/sure-analysis-PDCO/","Patterson Companies Inc.")</f>
        <v>0</v>
      </c>
      <c r="C372">
        <v>28.74</v>
      </c>
      <c r="D372">
        <v>30</v>
      </c>
      <c r="E372">
        <v>0.958</v>
      </c>
      <c r="F372">
        <v>0.03618649965205289</v>
      </c>
      <c r="G372">
        <v>0.00861842682815106</v>
      </c>
      <c r="H372">
        <v>0.04</v>
      </c>
      <c r="I372">
        <v>0.0772809946919859</v>
      </c>
      <c r="J372" t="s">
        <v>349</v>
      </c>
      <c r="K372" t="s">
        <v>781</v>
      </c>
      <c r="L372">
        <v>2</v>
      </c>
      <c r="M372">
        <v>1.04</v>
      </c>
      <c r="N372">
        <v>0.52</v>
      </c>
      <c r="O372">
        <v>0</v>
      </c>
      <c r="P372">
        <v>0</v>
      </c>
      <c r="Q372">
        <v>-0.053592280541579</v>
      </c>
      <c r="R372" t="s">
        <v>784</v>
      </c>
      <c r="S372" t="s">
        <v>789</v>
      </c>
      <c r="T372">
        <v>2789.36056</v>
      </c>
      <c r="U372" s="2">
        <v>44446</v>
      </c>
      <c r="V372" t="s">
        <v>806</v>
      </c>
    </row>
    <row r="373" spans="1:22">
      <c r="A373" s="1" t="s">
        <v>393</v>
      </c>
      <c r="B373">
        <f>HYPERLINK("https://www.suredividend.com/sure-analysis-OKE/","Oneok Inc.")</f>
        <v>0</v>
      </c>
      <c r="C373">
        <v>59.56</v>
      </c>
      <c r="D373">
        <v>57</v>
      </c>
      <c r="E373">
        <v>1.044912280701754</v>
      </c>
      <c r="F373">
        <v>0.06279382135661518</v>
      </c>
      <c r="G373">
        <v>-0.008748098744171262</v>
      </c>
      <c r="H373">
        <v>0.03</v>
      </c>
      <c r="I373">
        <v>0.07607169906162081</v>
      </c>
      <c r="J373" t="s">
        <v>349</v>
      </c>
      <c r="K373" t="s">
        <v>780</v>
      </c>
      <c r="L373">
        <v>5.15</v>
      </c>
      <c r="M373">
        <v>3.74</v>
      </c>
      <c r="N373">
        <v>0.7262135922330097</v>
      </c>
      <c r="O373">
        <v>18</v>
      </c>
      <c r="P373">
        <v>0.02003644710053942</v>
      </c>
      <c r="Q373">
        <v>0.5908488010353781</v>
      </c>
      <c r="R373" t="s">
        <v>784</v>
      </c>
      <c r="S373" t="s">
        <v>797</v>
      </c>
      <c r="T373">
        <v>26475.262057</v>
      </c>
      <c r="U373" s="2">
        <v>44506</v>
      </c>
      <c r="V373" t="s">
        <v>801</v>
      </c>
    </row>
    <row r="374" spans="1:22">
      <c r="A374" s="1" t="s">
        <v>394</v>
      </c>
      <c r="B374">
        <f>HYPERLINK("https://www.suredividend.com/sure-analysis-HUN/","Huntsman Corp")</f>
        <v>0</v>
      </c>
      <c r="C374">
        <v>32.36</v>
      </c>
      <c r="D374">
        <v>33</v>
      </c>
      <c r="E374">
        <v>0.9806060606060606</v>
      </c>
      <c r="F374">
        <v>0.02317676143386898</v>
      </c>
      <c r="G374">
        <v>0.00392457490932463</v>
      </c>
      <c r="H374">
        <v>0.05</v>
      </c>
      <c r="I374">
        <v>0.07560834575979336</v>
      </c>
      <c r="J374" t="s">
        <v>349</v>
      </c>
      <c r="K374" t="s">
        <v>530</v>
      </c>
      <c r="L374">
        <v>3.47</v>
      </c>
      <c r="M374">
        <v>0.75</v>
      </c>
      <c r="N374">
        <v>0.2161383285302594</v>
      </c>
      <c r="O374">
        <v>1</v>
      </c>
      <c r="P374">
        <v>0.05922384104881218</v>
      </c>
      <c r="Q374">
        <v>0.298680156769538</v>
      </c>
      <c r="R374" t="s">
        <v>784</v>
      </c>
      <c r="S374" t="s">
        <v>793</v>
      </c>
      <c r="T374">
        <v>6957.36136</v>
      </c>
      <c r="U374" s="2">
        <v>44503</v>
      </c>
      <c r="V374" t="s">
        <v>799</v>
      </c>
    </row>
    <row r="375" spans="1:22">
      <c r="A375" s="1" t="s">
        <v>395</v>
      </c>
      <c r="B375">
        <f>HYPERLINK("https://www.suredividend.com/sure-analysis-APLE/","Apple Hospitality REIT Inc")</f>
        <v>0</v>
      </c>
      <c r="C375">
        <v>15.28</v>
      </c>
      <c r="D375">
        <v>18.3</v>
      </c>
      <c r="E375">
        <v>0.8349726775956283</v>
      </c>
      <c r="F375">
        <v>0.002617801047120419</v>
      </c>
      <c r="G375">
        <v>0.03672971626496824</v>
      </c>
      <c r="H375">
        <v>0.018</v>
      </c>
      <c r="I375">
        <v>0.07526238985877542</v>
      </c>
      <c r="J375" t="s">
        <v>349</v>
      </c>
      <c r="K375" t="s">
        <v>782</v>
      </c>
      <c r="L375">
        <v>0.87</v>
      </c>
      <c r="M375">
        <v>0.04</v>
      </c>
      <c r="N375">
        <v>0.04597701149425287</v>
      </c>
      <c r="O375">
        <v>0</v>
      </c>
      <c r="P375">
        <v>0.888175022589804</v>
      </c>
      <c r="Q375">
        <v>0.190082644628099</v>
      </c>
      <c r="R375" t="s">
        <v>786</v>
      </c>
      <c r="S375" t="s">
        <v>798</v>
      </c>
      <c r="T375">
        <v>3452.715716</v>
      </c>
      <c r="U375" s="2">
        <v>44509</v>
      </c>
      <c r="V375" t="s">
        <v>808</v>
      </c>
    </row>
    <row r="376" spans="1:22">
      <c r="A376" s="1" t="s">
        <v>396</v>
      </c>
      <c r="B376">
        <f>HYPERLINK("https://www.suredividend.com/sure-analysis-SAXPY/","Sampo Plc")</f>
        <v>0</v>
      </c>
      <c r="C376">
        <v>24.54</v>
      </c>
      <c r="D376">
        <v>26</v>
      </c>
      <c r="E376">
        <v>0.9438461538461538</v>
      </c>
      <c r="F376">
        <v>0.04197229013854931</v>
      </c>
      <c r="G376">
        <v>0.01162547638850198</v>
      </c>
      <c r="H376">
        <v>0.025</v>
      </c>
      <c r="I376">
        <v>0.07346466817843433</v>
      </c>
      <c r="J376" t="s">
        <v>349</v>
      </c>
      <c r="K376" t="s">
        <v>781</v>
      </c>
      <c r="L376">
        <v>23.99</v>
      </c>
      <c r="M376">
        <v>1.03</v>
      </c>
      <c r="N376">
        <v>0.0429345560650271</v>
      </c>
      <c r="O376">
        <v>0</v>
      </c>
      <c r="P376">
        <v>0.02581661126327583</v>
      </c>
      <c r="Q376">
        <v>0.162511984659635</v>
      </c>
      <c r="R376" t="s">
        <v>784</v>
      </c>
      <c r="S376" t="s">
        <v>794</v>
      </c>
      <c r="T376">
        <v>26876.364725</v>
      </c>
      <c r="U376" s="2">
        <v>44507</v>
      </c>
      <c r="V376" t="s">
        <v>800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77.7</v>
      </c>
      <c r="D377">
        <v>65</v>
      </c>
      <c r="E377">
        <v>1.195384615384615</v>
      </c>
      <c r="F377">
        <v>0.02213642213642214</v>
      </c>
      <c r="G377">
        <v>-0.035064093029058</v>
      </c>
      <c r="H377">
        <v>0.09</v>
      </c>
      <c r="I377">
        <v>0.07346106199985925</v>
      </c>
      <c r="J377" t="s">
        <v>349</v>
      </c>
      <c r="K377" t="s">
        <v>530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0.26208246064289</v>
      </c>
      <c r="R377" t="s">
        <v>784</v>
      </c>
      <c r="S377" t="s">
        <v>792</v>
      </c>
      <c r="T377">
        <v>23160.986682</v>
      </c>
      <c r="U377" s="2">
        <v>44520</v>
      </c>
      <c r="V377" t="s">
        <v>809</v>
      </c>
    </row>
    <row r="378" spans="1:22">
      <c r="A378" s="1" t="s">
        <v>398</v>
      </c>
      <c r="B378">
        <f>HYPERLINK("https://www.suredividend.com/sure-analysis-NAVI/","Navient Corp")</f>
        <v>0</v>
      </c>
      <c r="C378">
        <v>21.59</v>
      </c>
      <c r="D378">
        <v>26</v>
      </c>
      <c r="E378">
        <v>0.8303846153846154</v>
      </c>
      <c r="F378">
        <v>0.02964335340435387</v>
      </c>
      <c r="G378">
        <v>0.03787282575679374</v>
      </c>
      <c r="H378">
        <v>0.01</v>
      </c>
      <c r="I378">
        <v>0.07172705674698188</v>
      </c>
      <c r="J378" t="s">
        <v>349</v>
      </c>
      <c r="K378" t="s">
        <v>349</v>
      </c>
      <c r="L378">
        <v>4.35</v>
      </c>
      <c r="M378">
        <v>0.64</v>
      </c>
      <c r="N378">
        <v>0.1471264367816092</v>
      </c>
      <c r="O378">
        <v>0</v>
      </c>
      <c r="P378">
        <v>0</v>
      </c>
      <c r="Q378">
        <v>1.415426403573753</v>
      </c>
      <c r="R378" t="s">
        <v>784</v>
      </c>
      <c r="S378" t="s">
        <v>794</v>
      </c>
      <c r="T378">
        <v>3468.429445</v>
      </c>
      <c r="U378" s="2">
        <v>44505</v>
      </c>
      <c r="V378" t="s">
        <v>801</v>
      </c>
    </row>
    <row r="379" spans="1:22">
      <c r="A379" s="1" t="s">
        <v>399</v>
      </c>
      <c r="B379">
        <f>HYPERLINK("https://www.suredividend.com/sure-analysis-COLD/","Americold Realty Trust")</f>
        <v>0</v>
      </c>
      <c r="C379">
        <v>32.07</v>
      </c>
      <c r="D379">
        <v>30</v>
      </c>
      <c r="E379">
        <v>1.069</v>
      </c>
      <c r="F379">
        <v>0.02743997505456813</v>
      </c>
      <c r="G379">
        <v>-0.01325608030457315</v>
      </c>
      <c r="H379">
        <v>0.06</v>
      </c>
      <c r="I379">
        <v>0.07098452003970723</v>
      </c>
      <c r="J379" t="s">
        <v>349</v>
      </c>
      <c r="K379" t="s">
        <v>349</v>
      </c>
      <c r="L379">
        <v>1.18</v>
      </c>
      <c r="M379">
        <v>0.88</v>
      </c>
      <c r="N379">
        <v>0.7457627118644068</v>
      </c>
      <c r="O379">
        <v>3</v>
      </c>
      <c r="P379">
        <v>0.04563955259127317</v>
      </c>
      <c r="Q379">
        <v>-0.039857702918542</v>
      </c>
      <c r="R379" t="s">
        <v>786</v>
      </c>
      <c r="S379" t="s">
        <v>798</v>
      </c>
      <c r="T379">
        <v>8467.262819</v>
      </c>
      <c r="U379" s="2">
        <v>44513</v>
      </c>
      <c r="V379" t="s">
        <v>799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80.33</v>
      </c>
      <c r="D380">
        <v>101</v>
      </c>
      <c r="E380">
        <v>0.7953465346534653</v>
      </c>
      <c r="F380">
        <v>0.02888086642599278</v>
      </c>
      <c r="G380">
        <v>0.04686027821425642</v>
      </c>
      <c r="H380">
        <v>0</v>
      </c>
      <c r="I380">
        <v>0.07055139583063275</v>
      </c>
      <c r="J380" t="s">
        <v>349</v>
      </c>
      <c r="K380" t="s">
        <v>349</v>
      </c>
      <c r="L380">
        <v>8.449999999999999</v>
      </c>
      <c r="M380">
        <v>2.32</v>
      </c>
      <c r="N380">
        <v>0.2745562130177515</v>
      </c>
      <c r="O380">
        <v>17</v>
      </c>
      <c r="P380">
        <v>0.01013720758985226</v>
      </c>
      <c r="Q380">
        <v>0.372152672793056</v>
      </c>
      <c r="R380" t="s">
        <v>784</v>
      </c>
      <c r="S380" t="s">
        <v>790</v>
      </c>
      <c r="T380">
        <v>4337.341785</v>
      </c>
      <c r="U380" s="2">
        <v>44497</v>
      </c>
      <c r="V380" t="s">
        <v>803</v>
      </c>
    </row>
    <row r="381" spans="1:22">
      <c r="A381" s="1" t="s">
        <v>401</v>
      </c>
      <c r="B381">
        <f>HYPERLINK("https://www.suredividend.com/sure-analysis-O/","Realty Income Corp.")</f>
        <v>0</v>
      </c>
      <c r="C381">
        <v>67.22</v>
      </c>
      <c r="D381">
        <v>64</v>
      </c>
      <c r="E381">
        <v>1.0503125</v>
      </c>
      <c r="F381">
        <v>0.04388574828919965</v>
      </c>
      <c r="G381">
        <v>-0.009769512988344498</v>
      </c>
      <c r="H381">
        <v>0.04</v>
      </c>
      <c r="I381">
        <v>0.0698834560254058</v>
      </c>
      <c r="J381" t="s">
        <v>349</v>
      </c>
      <c r="K381" t="s">
        <v>781</v>
      </c>
      <c r="L381">
        <v>3.58</v>
      </c>
      <c r="M381">
        <v>2.95</v>
      </c>
      <c r="N381">
        <v>0.8240223463687151</v>
      </c>
      <c r="O381">
        <v>26</v>
      </c>
      <c r="P381">
        <v>0.03478281035457087</v>
      </c>
      <c r="Q381">
        <v>0.158277232597009</v>
      </c>
      <c r="R381" t="s">
        <v>786</v>
      </c>
      <c r="S381" t="s">
        <v>798</v>
      </c>
      <c r="T381">
        <v>27199.484964</v>
      </c>
      <c r="U381" s="2">
        <v>44507</v>
      </c>
      <c r="V381" t="s">
        <v>801</v>
      </c>
    </row>
    <row r="382" spans="1:22">
      <c r="A382" s="1" t="s">
        <v>402</v>
      </c>
      <c r="B382">
        <f>HYPERLINK("https://www.suredividend.com/sure-analysis-GE/","General Electric Co.")</f>
        <v>0</v>
      </c>
      <c r="C382">
        <v>92.08</v>
      </c>
      <c r="D382">
        <v>72</v>
      </c>
      <c r="E382">
        <v>1.278888888888889</v>
      </c>
      <c r="F382">
        <v>0.003475238922675934</v>
      </c>
      <c r="G382">
        <v>-0.04800769678296912</v>
      </c>
      <c r="H382">
        <v>0.12</v>
      </c>
      <c r="I382">
        <v>0.0689068447890524</v>
      </c>
      <c r="J382" t="s">
        <v>349</v>
      </c>
      <c r="K382" t="s">
        <v>782</v>
      </c>
      <c r="L382">
        <v>2</v>
      </c>
      <c r="M382">
        <v>0.32</v>
      </c>
      <c r="N382">
        <v>0.16</v>
      </c>
      <c r="O382">
        <v>0</v>
      </c>
      <c r="P382">
        <v>0</v>
      </c>
      <c r="Q382">
        <v>0.06653729117359601</v>
      </c>
      <c r="R382" t="s">
        <v>784</v>
      </c>
      <c r="S382" t="s">
        <v>790</v>
      </c>
      <c r="T382">
        <v>101149.41086</v>
      </c>
      <c r="U382" s="2">
        <v>44500</v>
      </c>
      <c r="V382" t="s">
        <v>799</v>
      </c>
    </row>
    <row r="383" spans="1:22">
      <c r="A383" s="1" t="s">
        <v>403</v>
      </c>
      <c r="B383">
        <f>HYPERLINK("https://www.suredividend.com/sure-analysis-CPB/","Campbell Soup Co.")</f>
        <v>0</v>
      </c>
      <c r="C383">
        <v>43.49</v>
      </c>
      <c r="D383">
        <v>46</v>
      </c>
      <c r="E383">
        <v>0.9454347826086957</v>
      </c>
      <c r="F383">
        <v>0.03403081168084617</v>
      </c>
      <c r="G383">
        <v>0.01128527765224985</v>
      </c>
      <c r="H383">
        <v>0.025</v>
      </c>
      <c r="I383">
        <v>0.0656660471790087</v>
      </c>
      <c r="J383" t="s">
        <v>349</v>
      </c>
      <c r="K383" t="s">
        <v>781</v>
      </c>
      <c r="L383">
        <v>2.8</v>
      </c>
      <c r="M383">
        <v>1.48</v>
      </c>
      <c r="N383">
        <v>0.5285714285714286</v>
      </c>
      <c r="O383">
        <v>0</v>
      </c>
      <c r="P383">
        <v>0.01444167341264735</v>
      </c>
      <c r="Q383">
        <v>-0.047892741480883</v>
      </c>
      <c r="R383" t="s">
        <v>784</v>
      </c>
      <c r="S383" t="s">
        <v>795</v>
      </c>
      <c r="T383">
        <v>12995.850405</v>
      </c>
      <c r="U383" s="2">
        <v>44453</v>
      </c>
      <c r="V383" t="s">
        <v>805</v>
      </c>
    </row>
    <row r="384" spans="1:22">
      <c r="A384" s="1" t="s">
        <v>404</v>
      </c>
      <c r="B384">
        <f>HYPERLINK("https://www.suredividend.com/sure-analysis-WFC/","Wells Fargo &amp; Co.")</f>
        <v>0</v>
      </c>
      <c r="C384">
        <v>48.94</v>
      </c>
      <c r="D384">
        <v>50</v>
      </c>
      <c r="E384">
        <v>0.9788</v>
      </c>
      <c r="F384">
        <v>0.01634654679199019</v>
      </c>
      <c r="G384">
        <v>0.004294785753785835</v>
      </c>
      <c r="H384">
        <v>0.04</v>
      </c>
      <c r="I384">
        <v>0.06495521977453489</v>
      </c>
      <c r="J384" t="s">
        <v>349</v>
      </c>
      <c r="K384" t="s">
        <v>530</v>
      </c>
      <c r="L384">
        <v>4.35</v>
      </c>
      <c r="M384">
        <v>0.8</v>
      </c>
      <c r="N384">
        <v>0.1839080459770115</v>
      </c>
      <c r="O384">
        <v>0</v>
      </c>
      <c r="P384">
        <v>0.1501306516611158</v>
      </c>
      <c r="Q384">
        <v>0.73031321889931</v>
      </c>
      <c r="R384" t="s">
        <v>784</v>
      </c>
      <c r="S384" t="s">
        <v>794</v>
      </c>
      <c r="T384">
        <v>200762.409981</v>
      </c>
      <c r="U384" s="2">
        <v>44485</v>
      </c>
      <c r="V384" t="s">
        <v>804</v>
      </c>
    </row>
    <row r="385" spans="1:22">
      <c r="A385" s="1" t="s">
        <v>405</v>
      </c>
      <c r="B385">
        <f>HYPERLINK("https://www.suredividend.com/sure-analysis-BK/","Bank Of New York Mellon Corp")</f>
        <v>0</v>
      </c>
      <c r="C385">
        <v>56.9</v>
      </c>
      <c r="D385">
        <v>52</v>
      </c>
      <c r="E385">
        <v>1.094230769230769</v>
      </c>
      <c r="F385">
        <v>0.02390158172231986</v>
      </c>
      <c r="G385">
        <v>-0.0178491079209212</v>
      </c>
      <c r="H385">
        <v>0.06</v>
      </c>
      <c r="I385">
        <v>0.06433323300625515</v>
      </c>
      <c r="J385" t="s">
        <v>349</v>
      </c>
      <c r="K385" t="s">
        <v>530</v>
      </c>
      <c r="L385">
        <v>4.15</v>
      </c>
      <c r="M385">
        <v>1.36</v>
      </c>
      <c r="N385">
        <v>0.327710843373494</v>
      </c>
      <c r="O385">
        <v>11</v>
      </c>
      <c r="P385">
        <v>0.06000153927394081</v>
      </c>
      <c r="Q385">
        <v>0.464100150845119</v>
      </c>
      <c r="R385" t="s">
        <v>784</v>
      </c>
      <c r="S385" t="s">
        <v>794</v>
      </c>
      <c r="T385">
        <v>46890.119957</v>
      </c>
      <c r="U385" s="2">
        <v>44491</v>
      </c>
      <c r="V385" t="s">
        <v>804</v>
      </c>
    </row>
    <row r="386" spans="1:22">
      <c r="A386" s="1" t="s">
        <v>406</v>
      </c>
      <c r="B386">
        <f>HYPERLINK("https://www.suredividend.com/sure-analysis-GOLD/","Barrick Gold Corp.")</f>
        <v>0</v>
      </c>
      <c r="C386">
        <v>17.65</v>
      </c>
      <c r="D386">
        <v>22</v>
      </c>
      <c r="E386">
        <v>0.8022727272727272</v>
      </c>
      <c r="F386">
        <v>0.02039660056657224</v>
      </c>
      <c r="G386">
        <v>0.04504644979739014</v>
      </c>
      <c r="H386">
        <v>0</v>
      </c>
      <c r="I386">
        <v>0.06368923111518265</v>
      </c>
      <c r="J386" t="s">
        <v>349</v>
      </c>
      <c r="K386" t="s">
        <v>530</v>
      </c>
      <c r="L386">
        <v>1.2</v>
      </c>
      <c r="M386">
        <v>0.36</v>
      </c>
      <c r="N386">
        <v>0.3</v>
      </c>
      <c r="O386">
        <v>5</v>
      </c>
      <c r="P386">
        <v>0.04095039696925684</v>
      </c>
      <c r="Q386">
        <v>-0.188100628244642</v>
      </c>
      <c r="R386" t="s">
        <v>784</v>
      </c>
      <c r="S386" t="s">
        <v>793</v>
      </c>
      <c r="T386">
        <v>31763.04731</v>
      </c>
      <c r="U386" s="2">
        <v>44527</v>
      </c>
      <c r="V386" t="s">
        <v>804</v>
      </c>
    </row>
    <row r="387" spans="1:22">
      <c r="A387" s="1" t="s">
        <v>407</v>
      </c>
      <c r="B387">
        <f>HYPERLINK("https://www.suredividend.com/sure-analysis-BMWYY/","Bayerische Motoren Werke AG")</f>
        <v>0</v>
      </c>
      <c r="C387">
        <v>33.65</v>
      </c>
      <c r="D387">
        <v>35</v>
      </c>
      <c r="E387">
        <v>0.9614285714285714</v>
      </c>
      <c r="F387">
        <v>0.02288261515601783</v>
      </c>
      <c r="G387">
        <v>0.00789802724030908</v>
      </c>
      <c r="H387">
        <v>0.03</v>
      </c>
      <c r="I387">
        <v>0.0633406264411922</v>
      </c>
      <c r="J387" t="s">
        <v>349</v>
      </c>
      <c r="K387" t="s">
        <v>530</v>
      </c>
      <c r="L387">
        <v>4</v>
      </c>
      <c r="M387">
        <v>0.77</v>
      </c>
      <c r="N387">
        <v>0.1925</v>
      </c>
      <c r="O387">
        <v>0</v>
      </c>
      <c r="P387">
        <v>0.09998355396348346</v>
      </c>
      <c r="Q387">
        <v>0.147130109066872</v>
      </c>
      <c r="R387" t="s">
        <v>784</v>
      </c>
      <c r="S387" t="s">
        <v>792</v>
      </c>
      <c r="T387">
        <v>60175.439792</v>
      </c>
      <c r="U387" s="2">
        <v>44518</v>
      </c>
      <c r="V387" t="s">
        <v>807</v>
      </c>
    </row>
    <row r="388" spans="1:22">
      <c r="A388" s="1" t="s">
        <v>408</v>
      </c>
      <c r="B388">
        <f>HYPERLINK("https://www.suredividend.com/sure-analysis-PFE/","Pfizer Inc.")</f>
        <v>0</v>
      </c>
      <c r="C388">
        <v>58.8</v>
      </c>
      <c r="D388">
        <v>56</v>
      </c>
      <c r="E388">
        <v>1.05</v>
      </c>
      <c r="F388">
        <v>0.0272108843537415</v>
      </c>
      <c r="G388">
        <v>-0.009710577713137658</v>
      </c>
      <c r="H388">
        <v>0.05</v>
      </c>
      <c r="I388">
        <v>0.0624236592140226</v>
      </c>
      <c r="J388" t="s">
        <v>349</v>
      </c>
      <c r="K388" t="s">
        <v>530</v>
      </c>
      <c r="L388">
        <v>4.15</v>
      </c>
      <c r="M388">
        <v>1.6</v>
      </c>
      <c r="N388">
        <v>0.3855421686746988</v>
      </c>
      <c r="O388">
        <v>13</v>
      </c>
      <c r="P388">
        <v>0.004950737119488569</v>
      </c>
      <c r="Q388">
        <v>0.471897725104416</v>
      </c>
      <c r="R388" t="s">
        <v>784</v>
      </c>
      <c r="S388" t="s">
        <v>789</v>
      </c>
      <c r="T388">
        <v>311738.610853</v>
      </c>
      <c r="U388" s="2">
        <v>44504</v>
      </c>
      <c r="V388" t="s">
        <v>806</v>
      </c>
    </row>
    <row r="389" spans="1:22">
      <c r="A389" s="1" t="s">
        <v>409</v>
      </c>
      <c r="B389">
        <f>HYPERLINK("https://www.suredividend.com/sure-analysis-CFG/","Citizens Financial Group Inc")</f>
        <v>0</v>
      </c>
      <c r="C389">
        <v>47.15</v>
      </c>
      <c r="D389">
        <v>59</v>
      </c>
      <c r="E389">
        <v>0.7991525423728814</v>
      </c>
      <c r="F389">
        <v>0.03308589607635207</v>
      </c>
      <c r="G389">
        <v>0.04586122730964748</v>
      </c>
      <c r="H389">
        <v>-0.02</v>
      </c>
      <c r="I389">
        <v>0.06235477163556102</v>
      </c>
      <c r="J389" t="s">
        <v>349</v>
      </c>
      <c r="K389" t="s">
        <v>349</v>
      </c>
      <c r="L389">
        <v>5.15</v>
      </c>
      <c r="M389">
        <v>1.56</v>
      </c>
      <c r="N389">
        <v>0.3029126213592233</v>
      </c>
      <c r="O389">
        <v>6</v>
      </c>
      <c r="P389">
        <v>0.09979014724923641</v>
      </c>
      <c r="Q389">
        <v>0.4101845999934101</v>
      </c>
      <c r="R389" t="s">
        <v>784</v>
      </c>
      <c r="S389" t="s">
        <v>794</v>
      </c>
      <c r="T389">
        <v>20065.476038</v>
      </c>
      <c r="U389" s="2">
        <v>44492</v>
      </c>
      <c r="V389" t="s">
        <v>804</v>
      </c>
    </row>
    <row r="390" spans="1:22">
      <c r="A390" s="1" t="s">
        <v>410</v>
      </c>
      <c r="B390">
        <f>HYPERLINK("https://www.suredividend.com/sure-analysis-ESRT/","Empire State Realty Trust Inc")</f>
        <v>0</v>
      </c>
      <c r="C390">
        <v>8.890000000000001</v>
      </c>
      <c r="D390">
        <v>9.75</v>
      </c>
      <c r="E390">
        <v>0.9117948717948718</v>
      </c>
      <c r="F390">
        <v>0.01574803149606299</v>
      </c>
      <c r="G390">
        <v>0.01863963615585873</v>
      </c>
      <c r="H390">
        <v>0.02</v>
      </c>
      <c r="I390">
        <v>0.06216679125206515</v>
      </c>
      <c r="J390" t="s">
        <v>349</v>
      </c>
      <c r="K390" t="s">
        <v>530</v>
      </c>
      <c r="L390">
        <v>0.64</v>
      </c>
      <c r="M390">
        <v>0.14</v>
      </c>
      <c r="N390">
        <v>0.21875</v>
      </c>
      <c r="O390">
        <v>0</v>
      </c>
      <c r="P390">
        <v>0.2011244339814311</v>
      </c>
      <c r="Q390">
        <v>-0.07248119054034401</v>
      </c>
      <c r="R390" t="s">
        <v>786</v>
      </c>
      <c r="S390" t="s">
        <v>798</v>
      </c>
      <c r="T390">
        <v>1543.079318</v>
      </c>
      <c r="U390" s="2">
        <v>44500</v>
      </c>
      <c r="V390" t="s">
        <v>799</v>
      </c>
    </row>
    <row r="391" spans="1:22">
      <c r="A391" s="1" t="s">
        <v>411</v>
      </c>
      <c r="B391">
        <f>HYPERLINK("https://www.suredividend.com/sure-analysis-KLAC/","KLA Corp.")</f>
        <v>0</v>
      </c>
      <c r="C391">
        <v>409.91</v>
      </c>
      <c r="D391">
        <v>357</v>
      </c>
      <c r="E391">
        <v>1.148207282913165</v>
      </c>
      <c r="F391">
        <v>0.0102461515942524</v>
      </c>
      <c r="G391">
        <v>-0.02726186865265523</v>
      </c>
      <c r="H391">
        <v>0.08</v>
      </c>
      <c r="I391">
        <v>0.06161539878393851</v>
      </c>
      <c r="J391" t="s">
        <v>349</v>
      </c>
      <c r="K391" t="s">
        <v>530</v>
      </c>
      <c r="L391">
        <v>21</v>
      </c>
      <c r="M391">
        <v>4.2</v>
      </c>
      <c r="N391">
        <v>0.2</v>
      </c>
      <c r="O391">
        <v>12</v>
      </c>
      <c r="P391">
        <v>0.09986525071768737</v>
      </c>
      <c r="Q391">
        <v>0.553400323544051</v>
      </c>
      <c r="R391" t="s">
        <v>784</v>
      </c>
      <c r="S391" t="s">
        <v>791</v>
      </c>
      <c r="T391">
        <v>60566.990031</v>
      </c>
      <c r="U391" s="2">
        <v>44508</v>
      </c>
      <c r="V391" t="s">
        <v>801</v>
      </c>
    </row>
    <row r="392" spans="1:22">
      <c r="A392" s="1" t="s">
        <v>412</v>
      </c>
      <c r="B392">
        <f>HYPERLINK("https://www.suredividend.com/sure-analysis-AEP/","American Electric Power Company Inc.")</f>
        <v>0</v>
      </c>
      <c r="C392">
        <v>87.23</v>
      </c>
      <c r="D392">
        <v>79.59999999999999</v>
      </c>
      <c r="E392">
        <v>1.095854271356784</v>
      </c>
      <c r="F392">
        <v>0.03576751117734724</v>
      </c>
      <c r="G392">
        <v>-0.01814029076435952</v>
      </c>
      <c r="H392">
        <v>0.049</v>
      </c>
      <c r="I392">
        <v>0.06156580492146735</v>
      </c>
      <c r="J392" t="s">
        <v>349</v>
      </c>
      <c r="K392" t="s">
        <v>781</v>
      </c>
      <c r="L392">
        <v>4.68</v>
      </c>
      <c r="M392">
        <v>3.12</v>
      </c>
      <c r="N392">
        <v>0.6666666666666667</v>
      </c>
      <c r="O392">
        <v>16</v>
      </c>
      <c r="P392">
        <v>0.01853111887485781</v>
      </c>
      <c r="Q392">
        <v>0.072694488091742</v>
      </c>
      <c r="R392" t="s">
        <v>784</v>
      </c>
      <c r="S392" t="s">
        <v>796</v>
      </c>
      <c r="T392">
        <v>42875.867263</v>
      </c>
      <c r="U392" s="2">
        <v>44503</v>
      </c>
      <c r="V392" t="s">
        <v>808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157.94</v>
      </c>
      <c r="D393">
        <v>188</v>
      </c>
      <c r="E393">
        <v>0.8401063829787234</v>
      </c>
      <c r="F393">
        <v>0.02532607319235152</v>
      </c>
      <c r="G393">
        <v>0.03545956233859426</v>
      </c>
      <c r="H393">
        <v>0</v>
      </c>
      <c r="I393">
        <v>0.06097870622465495</v>
      </c>
      <c r="J393" t="s">
        <v>349</v>
      </c>
      <c r="K393" t="s">
        <v>349</v>
      </c>
      <c r="L393">
        <v>15</v>
      </c>
      <c r="M393">
        <v>4</v>
      </c>
      <c r="N393">
        <v>0.2666666666666667</v>
      </c>
      <c r="O393">
        <v>11</v>
      </c>
      <c r="P393">
        <v>0.06615002518126989</v>
      </c>
      <c r="Q393">
        <v>0.37891890955096</v>
      </c>
      <c r="R393" t="s">
        <v>784</v>
      </c>
      <c r="S393" t="s">
        <v>794</v>
      </c>
      <c r="T393">
        <v>470271.488287</v>
      </c>
      <c r="U393" s="2">
        <v>44485</v>
      </c>
      <c r="V393" t="s">
        <v>804</v>
      </c>
    </row>
    <row r="394" spans="1:22">
      <c r="A394" s="1" t="s">
        <v>414</v>
      </c>
      <c r="B394">
        <f>HYPERLINK("https://www.suredividend.com/sure-analysis-ASML/","ASML Holding NV")</f>
        <v>0</v>
      </c>
      <c r="C394">
        <v>792.22</v>
      </c>
      <c r="D394">
        <v>583</v>
      </c>
      <c r="E394">
        <v>1.358867924528302</v>
      </c>
      <c r="F394">
        <v>0.005276312135517911</v>
      </c>
      <c r="G394">
        <v>-0.05948754646800536</v>
      </c>
      <c r="H394">
        <v>0.12</v>
      </c>
      <c r="I394">
        <v>0.05993863178571446</v>
      </c>
      <c r="J394" t="s">
        <v>349</v>
      </c>
      <c r="K394" t="s">
        <v>782</v>
      </c>
      <c r="L394">
        <v>15.75</v>
      </c>
      <c r="M394">
        <v>4.18</v>
      </c>
      <c r="N394">
        <v>0.2653968253968254</v>
      </c>
      <c r="O394">
        <v>6</v>
      </c>
      <c r="P394">
        <v>0.1500691206588143</v>
      </c>
      <c r="Q394">
        <v>0.6745604830895781</v>
      </c>
      <c r="R394" t="s">
        <v>784</v>
      </c>
      <c r="S394" t="s">
        <v>791</v>
      </c>
      <c r="T394">
        <v>311811.409153</v>
      </c>
      <c r="U394" s="2">
        <v>44494</v>
      </c>
      <c r="V394" t="s">
        <v>804</v>
      </c>
    </row>
    <row r="395" spans="1:22">
      <c r="A395" s="1" t="s">
        <v>415</v>
      </c>
      <c r="B395">
        <f>HYPERLINK("https://www.suredividend.com/sure-analysis-HAL/","Halliburton Co.")</f>
        <v>0</v>
      </c>
      <c r="C395">
        <v>22.27</v>
      </c>
      <c r="D395">
        <v>14</v>
      </c>
      <c r="E395">
        <v>1.590714285714286</v>
      </c>
      <c r="F395">
        <v>0.008082622361921869</v>
      </c>
      <c r="G395">
        <v>-0.08865762616276263</v>
      </c>
      <c r="H395">
        <v>0.149</v>
      </c>
      <c r="I395">
        <v>0.05890904093165283</v>
      </c>
      <c r="J395" t="s">
        <v>349</v>
      </c>
      <c r="K395" t="s">
        <v>782</v>
      </c>
      <c r="L395">
        <v>1.1</v>
      </c>
      <c r="M395">
        <v>0.18</v>
      </c>
      <c r="N395">
        <v>0.1636363636363636</v>
      </c>
      <c r="O395">
        <v>0</v>
      </c>
      <c r="P395">
        <v>0.2011244339814313</v>
      </c>
      <c r="Q395">
        <v>0.192927341809768</v>
      </c>
      <c r="R395" t="s">
        <v>784</v>
      </c>
      <c r="S395" t="s">
        <v>797</v>
      </c>
      <c r="T395">
        <v>20018.425658</v>
      </c>
      <c r="U395" s="2">
        <v>44491</v>
      </c>
      <c r="V395" t="s">
        <v>807</v>
      </c>
    </row>
    <row r="396" spans="1:22">
      <c r="A396" s="1" t="s">
        <v>416</v>
      </c>
      <c r="B396">
        <f>HYPERLINK("https://www.suredividend.com/sure-analysis-MA/","Mastercard Incorporated")</f>
        <v>0</v>
      </c>
      <c r="C396">
        <v>346.35</v>
      </c>
      <c r="D396">
        <v>222</v>
      </c>
      <c r="E396">
        <v>1.560135135135135</v>
      </c>
      <c r="F396">
        <v>0.005659015446802367</v>
      </c>
      <c r="G396">
        <v>-0.08511278950138068</v>
      </c>
      <c r="H396">
        <v>0.15</v>
      </c>
      <c r="I396">
        <v>0.05871411273076443</v>
      </c>
      <c r="J396" t="s">
        <v>349</v>
      </c>
      <c r="K396" t="s">
        <v>782</v>
      </c>
      <c r="L396">
        <v>8.24</v>
      </c>
      <c r="M396">
        <v>1.96</v>
      </c>
      <c r="N396">
        <v>0.2378640776699029</v>
      </c>
      <c r="O396">
        <v>11</v>
      </c>
      <c r="P396">
        <v>0.1255102076739985</v>
      </c>
      <c r="Q396">
        <v>0.03221430047968901</v>
      </c>
      <c r="R396" t="s">
        <v>784</v>
      </c>
      <c r="S396" t="s">
        <v>794</v>
      </c>
      <c r="T396">
        <v>331937.184346</v>
      </c>
      <c r="U396" s="2">
        <v>44499</v>
      </c>
      <c r="V396" t="s">
        <v>800</v>
      </c>
    </row>
    <row r="397" spans="1:22">
      <c r="A397" s="1" t="s">
        <v>417</v>
      </c>
      <c r="B397">
        <f>HYPERLINK("https://www.suredividend.com/sure-analysis-KEY/","Keycorp")</f>
        <v>0</v>
      </c>
      <c r="C397">
        <v>23.11</v>
      </c>
      <c r="D397">
        <v>26</v>
      </c>
      <c r="E397">
        <v>0.8888461538461538</v>
      </c>
      <c r="F397">
        <v>0.03375162267416703</v>
      </c>
      <c r="G397">
        <v>0.02384610040297819</v>
      </c>
      <c r="H397">
        <v>0</v>
      </c>
      <c r="I397">
        <v>0.0571300858913244</v>
      </c>
      <c r="J397" t="s">
        <v>349</v>
      </c>
      <c r="K397" t="s">
        <v>349</v>
      </c>
      <c r="L397">
        <v>2.4</v>
      </c>
      <c r="M397">
        <v>0.78</v>
      </c>
      <c r="N397">
        <v>0.325</v>
      </c>
      <c r="O397">
        <v>11</v>
      </c>
      <c r="P397">
        <v>0.0488372867840543</v>
      </c>
      <c r="Q397">
        <v>0.527065832908402</v>
      </c>
      <c r="R397" t="s">
        <v>784</v>
      </c>
      <c r="S397" t="s">
        <v>794</v>
      </c>
      <c r="T397">
        <v>21190.886567</v>
      </c>
      <c r="U397" s="2">
        <v>44490</v>
      </c>
      <c r="V397" t="s">
        <v>803</v>
      </c>
    </row>
    <row r="398" spans="1:22">
      <c r="A398" s="1" t="s">
        <v>418</v>
      </c>
      <c r="B398">
        <f>HYPERLINK("https://www.suredividend.com/sure-analysis-AON/","Aon plc.")</f>
        <v>0</v>
      </c>
      <c r="C398">
        <v>295.91</v>
      </c>
      <c r="D398">
        <v>233</v>
      </c>
      <c r="E398">
        <v>1.27</v>
      </c>
      <c r="F398">
        <v>0.006893988036903112</v>
      </c>
      <c r="G398">
        <v>-0.04667878942197823</v>
      </c>
      <c r="H398">
        <v>0.1</v>
      </c>
      <c r="I398">
        <v>0.05642288696923492</v>
      </c>
      <c r="J398" t="s">
        <v>349</v>
      </c>
      <c r="K398" t="s">
        <v>782</v>
      </c>
      <c r="L398">
        <v>11.65</v>
      </c>
      <c r="M398">
        <v>2.04</v>
      </c>
      <c r="N398">
        <v>0.1751072961373391</v>
      </c>
      <c r="O398">
        <v>10</v>
      </c>
      <c r="P398">
        <v>0.1101602038533911</v>
      </c>
      <c r="Q398">
        <v>0.453616225549448</v>
      </c>
      <c r="R398" t="s">
        <v>784</v>
      </c>
      <c r="S398" t="s">
        <v>794</v>
      </c>
      <c r="T398">
        <v>64810.777225</v>
      </c>
      <c r="U398" s="2">
        <v>44519</v>
      </c>
      <c r="V398" t="s">
        <v>804</v>
      </c>
    </row>
    <row r="399" spans="1:22">
      <c r="A399" s="1" t="s">
        <v>419</v>
      </c>
      <c r="B399">
        <f>HYPERLINK("https://www.suredividend.com/sure-analysis-PKX/","Posco")</f>
        <v>0</v>
      </c>
      <c r="C399">
        <v>59.9</v>
      </c>
      <c r="D399">
        <v>90</v>
      </c>
      <c r="E399">
        <v>0.6655555555555556</v>
      </c>
      <c r="F399">
        <v>0.02921535893155259</v>
      </c>
      <c r="G399">
        <v>0.08483362372110004</v>
      </c>
      <c r="H399">
        <v>-0.05</v>
      </c>
      <c r="I399">
        <v>0.05527848419159276</v>
      </c>
      <c r="J399" t="s">
        <v>349</v>
      </c>
      <c r="K399" t="s">
        <v>349</v>
      </c>
      <c r="L399">
        <v>9</v>
      </c>
      <c r="M399">
        <v>1.75</v>
      </c>
      <c r="N399">
        <v>0.1944444444444444</v>
      </c>
      <c r="O399">
        <v>0</v>
      </c>
      <c r="P399">
        <v>0</v>
      </c>
      <c r="Q399">
        <v>0.020533421670822</v>
      </c>
      <c r="R399" t="s">
        <v>784</v>
      </c>
      <c r="S399" t="s">
        <v>793</v>
      </c>
      <c r="T399">
        <v>21165.476065</v>
      </c>
      <c r="U399" s="2">
        <v>44509</v>
      </c>
      <c r="V399" t="s">
        <v>799</v>
      </c>
    </row>
    <row r="400" spans="1:22">
      <c r="A400" s="1" t="s">
        <v>420</v>
      </c>
      <c r="B400">
        <f>HYPERLINK("https://www.suredividend.com/sure-analysis-PNC/","PNC Financial Services Group")</f>
        <v>0</v>
      </c>
      <c r="C400">
        <v>198.08</v>
      </c>
      <c r="D400">
        <v>180</v>
      </c>
      <c r="E400">
        <v>1.100444444444445</v>
      </c>
      <c r="F400">
        <v>0.02524232633279483</v>
      </c>
      <c r="G400">
        <v>-0.01896076736216146</v>
      </c>
      <c r="H400">
        <v>0.05</v>
      </c>
      <c r="I400">
        <v>0.05492659316976201</v>
      </c>
      <c r="J400" t="s">
        <v>349</v>
      </c>
      <c r="K400" t="s">
        <v>530</v>
      </c>
      <c r="L400">
        <v>14.3</v>
      </c>
      <c r="M400">
        <v>5</v>
      </c>
      <c r="N400">
        <v>0.3496503496503496</v>
      </c>
      <c r="O400">
        <v>11</v>
      </c>
      <c r="P400">
        <v>0.05061112176150684</v>
      </c>
      <c r="Q400">
        <v>0.439729912143235</v>
      </c>
      <c r="R400" t="s">
        <v>784</v>
      </c>
      <c r="S400" t="s">
        <v>794</v>
      </c>
      <c r="T400">
        <v>84025.21884</v>
      </c>
      <c r="U400" s="2">
        <v>44490</v>
      </c>
      <c r="V400" t="s">
        <v>807</v>
      </c>
    </row>
    <row r="401" spans="1:22">
      <c r="A401" s="1" t="s">
        <v>421</v>
      </c>
      <c r="B401">
        <f>HYPERLINK("https://www.suredividend.com/sure-analysis-CUBE/","CubeSmart")</f>
        <v>0</v>
      </c>
      <c r="C401">
        <v>54.65</v>
      </c>
      <c r="D401">
        <v>42</v>
      </c>
      <c r="E401">
        <v>1.301190476190476</v>
      </c>
      <c r="F401">
        <v>0.03147301006404392</v>
      </c>
      <c r="G401">
        <v>-0.05129361208210759</v>
      </c>
      <c r="H401">
        <v>0.075</v>
      </c>
      <c r="I401">
        <v>0.05433850566877951</v>
      </c>
      <c r="J401" t="s">
        <v>349</v>
      </c>
      <c r="K401" t="s">
        <v>349</v>
      </c>
      <c r="L401">
        <v>2.1</v>
      </c>
      <c r="M401">
        <v>1.72</v>
      </c>
      <c r="N401">
        <v>0.819047619047619</v>
      </c>
      <c r="O401">
        <v>12</v>
      </c>
      <c r="P401">
        <v>0.08023542380212056</v>
      </c>
      <c r="Q401">
        <v>0.7175590678554771</v>
      </c>
      <c r="R401" t="s">
        <v>786</v>
      </c>
      <c r="S401" t="s">
        <v>798</v>
      </c>
      <c r="T401">
        <v>11848.60065</v>
      </c>
      <c r="U401" s="2">
        <v>44507</v>
      </c>
      <c r="V401" t="s">
        <v>799</v>
      </c>
    </row>
    <row r="402" spans="1:22">
      <c r="A402" s="1" t="s">
        <v>422</v>
      </c>
      <c r="B402">
        <f>HYPERLINK("https://www.suredividend.com/sure-analysis-PSB/","PS Business Parks, Inc.")</f>
        <v>0</v>
      </c>
      <c r="C402">
        <v>173.33</v>
      </c>
      <c r="D402">
        <v>161</v>
      </c>
      <c r="E402">
        <v>1.076583850931677</v>
      </c>
      <c r="F402">
        <v>0.02423123521606185</v>
      </c>
      <c r="G402">
        <v>-0.01465021127695643</v>
      </c>
      <c r="H402">
        <v>0.045</v>
      </c>
      <c r="I402">
        <v>0.054248883686701</v>
      </c>
      <c r="J402" t="s">
        <v>349</v>
      </c>
      <c r="K402" t="s">
        <v>349</v>
      </c>
      <c r="L402">
        <v>6.98</v>
      </c>
      <c r="M402">
        <v>4.2</v>
      </c>
      <c r="N402">
        <v>0.6017191977077364</v>
      </c>
      <c r="O402">
        <v>0</v>
      </c>
      <c r="P402">
        <v>0.05997935097636264</v>
      </c>
      <c r="Q402">
        <v>0.338021275846002</v>
      </c>
      <c r="R402" t="s">
        <v>786</v>
      </c>
      <c r="S402" t="s">
        <v>798</v>
      </c>
      <c r="T402">
        <v>4707.570168</v>
      </c>
      <c r="U402" s="2">
        <v>44513</v>
      </c>
      <c r="V402" t="s">
        <v>799</v>
      </c>
    </row>
    <row r="403" spans="1:22">
      <c r="A403" s="1" t="s">
        <v>423</v>
      </c>
      <c r="B403">
        <f>HYPERLINK("https://www.suredividend.com/sure-analysis-COP/","Conoco Phillips")</f>
        <v>0</v>
      </c>
      <c r="C403">
        <v>70.70999999999999</v>
      </c>
      <c r="D403">
        <v>74</v>
      </c>
      <c r="E403">
        <v>0.9555405405405405</v>
      </c>
      <c r="F403">
        <v>0.0260217790977231</v>
      </c>
      <c r="G403">
        <v>0.009137108346113365</v>
      </c>
      <c r="H403">
        <v>0.02</v>
      </c>
      <c r="I403">
        <v>0.05355472179627174</v>
      </c>
      <c r="J403" t="s">
        <v>349</v>
      </c>
      <c r="K403" t="s">
        <v>530</v>
      </c>
      <c r="L403">
        <v>5.8</v>
      </c>
      <c r="M403">
        <v>1.84</v>
      </c>
      <c r="N403">
        <v>0.3172413793103449</v>
      </c>
      <c r="O403">
        <v>6</v>
      </c>
      <c r="P403">
        <v>0.03066894385040531</v>
      </c>
      <c r="Q403">
        <v>0.7218572086326731</v>
      </c>
      <c r="R403" t="s">
        <v>784</v>
      </c>
      <c r="S403" t="s">
        <v>797</v>
      </c>
      <c r="T403">
        <v>93223.16456</v>
      </c>
      <c r="U403" s="2">
        <v>44504</v>
      </c>
      <c r="V403" t="s">
        <v>807</v>
      </c>
    </row>
    <row r="404" spans="1:22">
      <c r="A404" s="1" t="s">
        <v>424</v>
      </c>
      <c r="B404">
        <f>HYPERLINK("https://www.suredividend.com/sure-analysis-BUD/","Anheuser-Busch In Bev SA/NV")</f>
        <v>0</v>
      </c>
      <c r="C404">
        <v>57.96</v>
      </c>
      <c r="D404">
        <v>62</v>
      </c>
      <c r="E404">
        <v>0.9348387096774193</v>
      </c>
      <c r="F404">
        <v>0.009834368530020702</v>
      </c>
      <c r="G404">
        <v>0.01356746750333704</v>
      </c>
      <c r="H404">
        <v>0.03</v>
      </c>
      <c r="I404">
        <v>0.05212538908179876</v>
      </c>
      <c r="J404" t="s">
        <v>349</v>
      </c>
      <c r="K404" t="s">
        <v>782</v>
      </c>
      <c r="L404">
        <v>3.08</v>
      </c>
      <c r="M404">
        <v>0.57</v>
      </c>
      <c r="N404">
        <v>0.185064935064935</v>
      </c>
      <c r="O404">
        <v>0</v>
      </c>
      <c r="P404">
        <v>0</v>
      </c>
      <c r="Q404">
        <v>-0.166633053479541</v>
      </c>
      <c r="R404" t="s">
        <v>784</v>
      </c>
      <c r="S404" t="s">
        <v>795</v>
      </c>
      <c r="T404">
        <v>100445.649547</v>
      </c>
      <c r="U404" s="2">
        <v>44530</v>
      </c>
      <c r="V404" t="s">
        <v>806</v>
      </c>
    </row>
    <row r="405" spans="1:22">
      <c r="A405" s="1" t="s">
        <v>425</v>
      </c>
      <c r="B405">
        <f>HYPERLINK("https://www.suredividend.com/sure-analysis-SO/","Southern Company")</f>
        <v>0</v>
      </c>
      <c r="C405">
        <v>66.75</v>
      </c>
      <c r="D405">
        <v>56</v>
      </c>
      <c r="E405">
        <v>1.191964285714286</v>
      </c>
      <c r="F405">
        <v>0.03955056179775281</v>
      </c>
      <c r="G405">
        <v>-0.03451095275860494</v>
      </c>
      <c r="H405">
        <v>0.05</v>
      </c>
      <c r="I405">
        <v>0.05175704645580681</v>
      </c>
      <c r="J405" t="s">
        <v>349</v>
      </c>
      <c r="K405" t="s">
        <v>781</v>
      </c>
      <c r="L405">
        <v>3.38</v>
      </c>
      <c r="M405">
        <v>2.64</v>
      </c>
      <c r="N405">
        <v>0.7810650887573966</v>
      </c>
      <c r="O405">
        <v>20</v>
      </c>
      <c r="P405">
        <v>0.02996744995959233</v>
      </c>
      <c r="Q405">
        <v>0.152282206960154</v>
      </c>
      <c r="R405" t="s">
        <v>784</v>
      </c>
      <c r="S405" t="s">
        <v>796</v>
      </c>
      <c r="T405">
        <v>69915.26532799999</v>
      </c>
      <c r="U405" s="2">
        <v>44512</v>
      </c>
      <c r="V405" t="s">
        <v>807</v>
      </c>
    </row>
    <row r="406" spans="1:22">
      <c r="A406" s="1" t="s">
        <v>426</v>
      </c>
      <c r="B406">
        <f>HYPERLINK("https://www.suredividend.com/sure-analysis-USB/","U.S. Bancorp.")</f>
        <v>0</v>
      </c>
      <c r="C406">
        <v>56.74</v>
      </c>
      <c r="D406">
        <v>62</v>
      </c>
      <c r="E406">
        <v>0.9151612903225806</v>
      </c>
      <c r="F406">
        <v>0.0324286217835742</v>
      </c>
      <c r="G406">
        <v>0.01788911835773987</v>
      </c>
      <c r="H406">
        <v>0</v>
      </c>
      <c r="I406">
        <v>0.0516531567811267</v>
      </c>
      <c r="J406" t="s">
        <v>349</v>
      </c>
      <c r="K406" t="s">
        <v>349</v>
      </c>
      <c r="L406">
        <v>5.15</v>
      </c>
      <c r="M406">
        <v>1.84</v>
      </c>
      <c r="N406">
        <v>0.3572815533980582</v>
      </c>
      <c r="O406">
        <v>10</v>
      </c>
      <c r="P406">
        <v>0.05979888147511248</v>
      </c>
      <c r="Q406">
        <v>0.320144937217675</v>
      </c>
      <c r="R406" t="s">
        <v>784</v>
      </c>
      <c r="S406" t="s">
        <v>794</v>
      </c>
      <c r="T406">
        <v>84979.134983</v>
      </c>
      <c r="U406" s="2">
        <v>44491</v>
      </c>
      <c r="V406" t="s">
        <v>804</v>
      </c>
    </row>
    <row r="407" spans="1:22">
      <c r="A407" s="1" t="s">
        <v>427</v>
      </c>
      <c r="B407">
        <f>HYPERLINK("https://www.suredividend.com/sure-analysis-GIS/","General Mills, Inc.")</f>
        <v>0</v>
      </c>
      <c r="C407">
        <v>67.34</v>
      </c>
      <c r="D407">
        <v>65</v>
      </c>
      <c r="E407">
        <v>1.036</v>
      </c>
      <c r="F407">
        <v>0.03118503118503118</v>
      </c>
      <c r="G407">
        <v>-0.007048470950644314</v>
      </c>
      <c r="H407">
        <v>0.03</v>
      </c>
      <c r="I407">
        <v>0.05122067545498243</v>
      </c>
      <c r="J407" t="s">
        <v>349</v>
      </c>
      <c r="K407" t="s">
        <v>781</v>
      </c>
      <c r="L407">
        <v>3.8</v>
      </c>
      <c r="M407">
        <v>2.1</v>
      </c>
      <c r="N407">
        <v>0.5526315789473685</v>
      </c>
      <c r="O407">
        <v>1</v>
      </c>
      <c r="P407">
        <v>0.0183608813392091</v>
      </c>
      <c r="Q407">
        <v>0.138957674874327</v>
      </c>
      <c r="R407" t="s">
        <v>784</v>
      </c>
      <c r="S407" t="s">
        <v>795</v>
      </c>
      <c r="T407">
        <v>39921.189511</v>
      </c>
      <c r="U407" s="2">
        <v>44461</v>
      </c>
      <c r="V407" t="s">
        <v>807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118.35</v>
      </c>
      <c r="D408">
        <v>94</v>
      </c>
      <c r="E408">
        <v>1.259042553191489</v>
      </c>
      <c r="F408">
        <v>0.02974228981833545</v>
      </c>
      <c r="G408">
        <v>-0.04502518515384857</v>
      </c>
      <c r="H408">
        <v>0.065</v>
      </c>
      <c r="I408">
        <v>0.05005165700433212</v>
      </c>
      <c r="J408" t="s">
        <v>349</v>
      </c>
      <c r="K408" t="s">
        <v>349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0.6005456529152891</v>
      </c>
      <c r="R408" t="s">
        <v>784</v>
      </c>
      <c r="S408" t="s">
        <v>794</v>
      </c>
      <c r="T408">
        <v>1206.30254</v>
      </c>
      <c r="U408" s="2">
        <v>44513</v>
      </c>
      <c r="V408" t="s">
        <v>805</v>
      </c>
    </row>
    <row r="409" spans="1:22">
      <c r="A409" s="1" t="s">
        <v>429</v>
      </c>
      <c r="B409">
        <f>HYPERLINK("https://www.suredividend.com/sure-analysis-BWA/","BorgWarner Inc")</f>
        <v>0</v>
      </c>
      <c r="C409">
        <v>44.66</v>
      </c>
      <c r="D409">
        <v>42</v>
      </c>
      <c r="E409">
        <v>1.063333333333333</v>
      </c>
      <c r="F409">
        <v>0.01522615315718764</v>
      </c>
      <c r="G409">
        <v>-0.0122066130520283</v>
      </c>
      <c r="H409">
        <v>0.05</v>
      </c>
      <c r="I409">
        <v>0.05001875622328344</v>
      </c>
      <c r="J409" t="s">
        <v>349</v>
      </c>
      <c r="K409" t="s">
        <v>530</v>
      </c>
      <c r="L409">
        <v>3.8</v>
      </c>
      <c r="M409">
        <v>0.68</v>
      </c>
      <c r="N409">
        <v>0.1789473684210527</v>
      </c>
      <c r="O409">
        <v>0</v>
      </c>
      <c r="P409">
        <v>0</v>
      </c>
      <c r="Q409">
        <v>0.245663916523759</v>
      </c>
      <c r="R409" t="s">
        <v>784</v>
      </c>
      <c r="S409" t="s">
        <v>790</v>
      </c>
      <c r="T409">
        <v>10693.798865</v>
      </c>
      <c r="U409" s="2">
        <v>44506</v>
      </c>
      <c r="V409" t="s">
        <v>800</v>
      </c>
    </row>
    <row r="410" spans="1:22">
      <c r="A410" s="1" t="s">
        <v>430</v>
      </c>
      <c r="B410">
        <f>HYPERLINK("https://www.suredividend.com/sure-analysis-WY/","Weyerhaeuser Co.")</f>
        <v>0</v>
      </c>
      <c r="C410">
        <v>39.47</v>
      </c>
      <c r="D410">
        <v>55.8</v>
      </c>
      <c r="E410">
        <v>0.7073476702508961</v>
      </c>
      <c r="F410">
        <v>0.01722827463896631</v>
      </c>
      <c r="G410">
        <v>0.07170045354963128</v>
      </c>
      <c r="H410">
        <v>-0.053</v>
      </c>
      <c r="I410">
        <v>0.0388333312798641</v>
      </c>
      <c r="J410" t="s">
        <v>349</v>
      </c>
      <c r="K410" t="s">
        <v>530</v>
      </c>
      <c r="L410">
        <v>3.28</v>
      </c>
      <c r="M410">
        <v>0.68</v>
      </c>
      <c r="N410">
        <v>0.2073170731707317</v>
      </c>
      <c r="O410">
        <v>0</v>
      </c>
      <c r="P410">
        <v>0.1486983549970351</v>
      </c>
      <c r="Q410">
        <v>0.241976176029125</v>
      </c>
      <c r="R410" t="s">
        <v>786</v>
      </c>
      <c r="S410" t="s">
        <v>798</v>
      </c>
      <c r="T410">
        <v>29130.36005</v>
      </c>
      <c r="U410" s="2">
        <v>44506</v>
      </c>
      <c r="V410" t="s">
        <v>808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43.94</v>
      </c>
      <c r="D411">
        <v>39</v>
      </c>
      <c r="E411">
        <v>1.126666666666667</v>
      </c>
      <c r="F411">
        <v>0.01911697769685936</v>
      </c>
      <c r="G411">
        <v>-0.02357045730373952</v>
      </c>
      <c r="H411">
        <v>0.04</v>
      </c>
      <c r="I411">
        <v>0.03853027657530661</v>
      </c>
      <c r="J411" t="s">
        <v>349</v>
      </c>
      <c r="K411" t="s">
        <v>530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0.5938888286921661</v>
      </c>
      <c r="R411" t="s">
        <v>784</v>
      </c>
      <c r="S411" t="s">
        <v>794</v>
      </c>
      <c r="T411">
        <v>361163.628332</v>
      </c>
      <c r="U411" s="2">
        <v>44485</v>
      </c>
      <c r="V411" t="s">
        <v>804</v>
      </c>
    </row>
    <row r="412" spans="1:22">
      <c r="A412" s="1" t="s">
        <v>432</v>
      </c>
      <c r="B412">
        <f>HYPERLINK("https://www.suredividend.com/sure-analysis-WPC/","W. P. Carey Inc")</f>
        <v>0</v>
      </c>
      <c r="C412">
        <v>79.78</v>
      </c>
      <c r="D412">
        <v>62</v>
      </c>
      <c r="E412">
        <v>1.286774193548387</v>
      </c>
      <c r="F412">
        <v>0.05289546252193532</v>
      </c>
      <c r="G412">
        <v>-0.04917732199940328</v>
      </c>
      <c r="H412">
        <v>0.035</v>
      </c>
      <c r="I412">
        <v>0.03772998231834701</v>
      </c>
      <c r="J412" t="s">
        <v>349</v>
      </c>
      <c r="K412" t="s">
        <v>780</v>
      </c>
      <c r="L412">
        <v>4.98</v>
      </c>
      <c r="M412">
        <v>4.22</v>
      </c>
      <c r="N412">
        <v>0.8473895582329316</v>
      </c>
      <c r="O412">
        <v>23</v>
      </c>
      <c r="P412">
        <v>0.01959594688439426</v>
      </c>
      <c r="Q412">
        <v>0.209684213751216</v>
      </c>
      <c r="R412" t="s">
        <v>786</v>
      </c>
      <c r="S412" t="s">
        <v>798</v>
      </c>
      <c r="T412">
        <v>14710.922896</v>
      </c>
      <c r="U412" s="2">
        <v>44533</v>
      </c>
      <c r="V412" t="s">
        <v>801</v>
      </c>
    </row>
    <row r="413" spans="1:22">
      <c r="A413" s="1" t="s">
        <v>433</v>
      </c>
      <c r="B413">
        <f>HYPERLINK("https://www.suredividend.com/sure-analysis-WEC/","WEC Energy Group Inc")</f>
        <v>0</v>
      </c>
      <c r="C413">
        <v>96.98</v>
      </c>
      <c r="D413">
        <v>77</v>
      </c>
      <c r="E413">
        <v>1.259480519480519</v>
      </c>
      <c r="F413">
        <v>0.03000618684264797</v>
      </c>
      <c r="G413">
        <v>-0.04509161015323104</v>
      </c>
      <c r="H413">
        <v>0.052</v>
      </c>
      <c r="I413">
        <v>0.03550133994006477</v>
      </c>
      <c r="J413" t="s">
        <v>349</v>
      </c>
      <c r="K413" t="s">
        <v>781</v>
      </c>
      <c r="L413">
        <v>4.06</v>
      </c>
      <c r="M413">
        <v>2.91</v>
      </c>
      <c r="N413">
        <v>0.7167487684729065</v>
      </c>
      <c r="O413">
        <v>18</v>
      </c>
      <c r="P413">
        <v>0.03701846058818714</v>
      </c>
      <c r="Q413">
        <v>0.06591676040494901</v>
      </c>
      <c r="R413" t="s">
        <v>784</v>
      </c>
      <c r="S413" t="s">
        <v>796</v>
      </c>
      <c r="T413">
        <v>29890.576158</v>
      </c>
      <c r="U413" s="2">
        <v>44502</v>
      </c>
      <c r="V413" t="s">
        <v>800</v>
      </c>
    </row>
    <row r="414" spans="1:22">
      <c r="A414" s="1" t="s">
        <v>434</v>
      </c>
      <c r="B414">
        <f>HYPERLINK("https://www.suredividend.com/sure-analysis-GNTX/","Gentex Corp.")</f>
        <v>0</v>
      </c>
      <c r="C414">
        <v>33.93</v>
      </c>
      <c r="D414">
        <v>26</v>
      </c>
      <c r="E414">
        <v>1.305</v>
      </c>
      <c r="F414">
        <v>0.01414677276746242</v>
      </c>
      <c r="G414">
        <v>-0.05184814803293791</v>
      </c>
      <c r="H414">
        <v>0.075</v>
      </c>
      <c r="I414">
        <v>0.03486060103430644</v>
      </c>
      <c r="J414" t="s">
        <v>349</v>
      </c>
      <c r="K414" t="s">
        <v>782</v>
      </c>
      <c r="L414">
        <v>1.55</v>
      </c>
      <c r="M414">
        <v>0.48</v>
      </c>
      <c r="N414">
        <v>0.3096774193548387</v>
      </c>
      <c r="O414">
        <v>10</v>
      </c>
      <c r="P414">
        <v>0.06897294358221773</v>
      </c>
      <c r="Q414">
        <v>0.03878773410217001</v>
      </c>
      <c r="R414" t="s">
        <v>784</v>
      </c>
      <c r="S414" t="s">
        <v>790</v>
      </c>
      <c r="T414">
        <v>8027.491549</v>
      </c>
      <c r="U414" s="2">
        <v>44493</v>
      </c>
      <c r="V414" t="s">
        <v>805</v>
      </c>
    </row>
    <row r="415" spans="1:22">
      <c r="A415" s="1" t="s">
        <v>435</v>
      </c>
      <c r="B415">
        <f>HYPERLINK("https://www.suredividend.com/sure-analysis-HOG/","Harley-Davidson, Inc.")</f>
        <v>0</v>
      </c>
      <c r="C415">
        <v>37.93</v>
      </c>
      <c r="D415">
        <v>47</v>
      </c>
      <c r="E415">
        <v>0.8070212765957446</v>
      </c>
      <c r="F415">
        <v>0.01581861323490641</v>
      </c>
      <c r="G415">
        <v>0.04381372498999969</v>
      </c>
      <c r="H415">
        <v>-0.036</v>
      </c>
      <c r="I415">
        <v>0.03247648037592876</v>
      </c>
      <c r="J415" t="s">
        <v>349</v>
      </c>
      <c r="K415" t="s">
        <v>530</v>
      </c>
      <c r="L415">
        <v>3.6</v>
      </c>
      <c r="M415">
        <v>0.6</v>
      </c>
      <c r="N415">
        <v>0.1666666666666667</v>
      </c>
      <c r="O415">
        <v>0</v>
      </c>
      <c r="P415">
        <v>0.2011244339814313</v>
      </c>
      <c r="Q415">
        <v>0.05919387000649701</v>
      </c>
      <c r="R415" t="s">
        <v>784</v>
      </c>
      <c r="S415" t="s">
        <v>792</v>
      </c>
      <c r="T415">
        <v>5818.455455</v>
      </c>
      <c r="U415" s="2">
        <v>44503</v>
      </c>
      <c r="V415" t="s">
        <v>808</v>
      </c>
    </row>
    <row r="416" spans="1:22">
      <c r="A416" s="1" t="s">
        <v>436</v>
      </c>
      <c r="B416">
        <f>HYPERLINK("https://www.suredividend.com/sure-analysis-NNN/","National Retail Properties Inc")</f>
        <v>0</v>
      </c>
      <c r="C416">
        <v>45.62</v>
      </c>
      <c r="D416">
        <v>39.1</v>
      </c>
      <c r="E416">
        <v>1.166751918158568</v>
      </c>
      <c r="F416">
        <v>0.04647084612012276</v>
      </c>
      <c r="G416">
        <v>-0.03037390413103147</v>
      </c>
      <c r="H416">
        <v>0.015</v>
      </c>
      <c r="I416">
        <v>0.0314366308185976</v>
      </c>
      <c r="J416" t="s">
        <v>349</v>
      </c>
      <c r="K416" t="s">
        <v>781</v>
      </c>
      <c r="L416">
        <v>2.79</v>
      </c>
      <c r="M416">
        <v>2.12</v>
      </c>
      <c r="N416">
        <v>0.7598566308243728</v>
      </c>
      <c r="O416">
        <v>21</v>
      </c>
      <c r="P416">
        <v>0.01643215369887963</v>
      </c>
      <c r="Q416">
        <v>0.191610932990922</v>
      </c>
      <c r="R416" t="s">
        <v>786</v>
      </c>
      <c r="S416" t="s">
        <v>798</v>
      </c>
      <c r="T416">
        <v>7969.494559</v>
      </c>
      <c r="U416" s="2">
        <v>44506</v>
      </c>
      <c r="V416" t="s">
        <v>808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170.42</v>
      </c>
      <c r="D417">
        <v>135</v>
      </c>
      <c r="E417">
        <v>1.26237037037037</v>
      </c>
      <c r="F417">
        <v>0.01255721159488323</v>
      </c>
      <c r="G417">
        <v>-0.04552921123894083</v>
      </c>
      <c r="H417">
        <v>0.062</v>
      </c>
      <c r="I417">
        <v>0.02746878438924982</v>
      </c>
      <c r="J417" t="s">
        <v>349</v>
      </c>
      <c r="K417" t="s">
        <v>782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0.492811570747324</v>
      </c>
      <c r="R417" t="s">
        <v>784</v>
      </c>
      <c r="S417" t="s">
        <v>794</v>
      </c>
      <c r="T417">
        <v>85317.21911599999</v>
      </c>
      <c r="U417" s="2">
        <v>44505</v>
      </c>
      <c r="V417" t="s">
        <v>805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44.7</v>
      </c>
      <c r="D418">
        <v>50</v>
      </c>
      <c r="E418">
        <v>0.894</v>
      </c>
      <c r="F418">
        <v>0.02237136465324385</v>
      </c>
      <c r="G418">
        <v>0.02266288886609824</v>
      </c>
      <c r="H418">
        <v>-0.02</v>
      </c>
      <c r="I418">
        <v>0.02675510490068778</v>
      </c>
      <c r="J418" t="s">
        <v>349</v>
      </c>
      <c r="K418" t="s">
        <v>530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0.8296276008598291</v>
      </c>
      <c r="R418" t="s">
        <v>784</v>
      </c>
      <c r="S418" t="s">
        <v>794</v>
      </c>
      <c r="T418">
        <v>5169.896975</v>
      </c>
      <c r="U418" s="2">
        <v>44493</v>
      </c>
      <c r="V418" t="s">
        <v>804</v>
      </c>
    </row>
    <row r="419" spans="1:22">
      <c r="A419" s="1" t="s">
        <v>439</v>
      </c>
      <c r="B419">
        <f>HYPERLINK("https://www.suredividend.com/sure-analysis-DUK/","Duke Energy Corp.")</f>
        <v>0</v>
      </c>
      <c r="C419">
        <v>103.82</v>
      </c>
      <c r="D419">
        <v>78.3</v>
      </c>
      <c r="E419">
        <v>1.325925925925926</v>
      </c>
      <c r="F419">
        <v>0.0379502985937199</v>
      </c>
      <c r="G419">
        <v>-0.05485999165192401</v>
      </c>
      <c r="H419">
        <v>0.043</v>
      </c>
      <c r="I419">
        <v>0.02592906561388553</v>
      </c>
      <c r="J419" t="s">
        <v>349</v>
      </c>
      <c r="K419" t="s">
        <v>781</v>
      </c>
      <c r="L419">
        <v>5.22</v>
      </c>
      <c r="M419">
        <v>3.94</v>
      </c>
      <c r="N419">
        <v>0.7547892720306514</v>
      </c>
      <c r="O419">
        <v>10</v>
      </c>
      <c r="P419">
        <v>0.02693571566003095</v>
      </c>
      <c r="Q419">
        <v>0.172433383948261</v>
      </c>
      <c r="R419" t="s">
        <v>784</v>
      </c>
      <c r="S419" t="s">
        <v>796</v>
      </c>
      <c r="T419">
        <v>79064.82494599999</v>
      </c>
      <c r="U419" s="2">
        <v>44509</v>
      </c>
      <c r="V419" t="s">
        <v>808</v>
      </c>
    </row>
    <row r="420" spans="1:22">
      <c r="A420" s="1" t="s">
        <v>440</v>
      </c>
      <c r="B420">
        <f>HYPERLINK("https://www.suredividend.com/sure-analysis-GS/","Goldman Sachs Group, Inc.")</f>
        <v>0</v>
      </c>
      <c r="C420">
        <v>389.91</v>
      </c>
      <c r="D420">
        <v>671</v>
      </c>
      <c r="E420">
        <v>0.5810879284649777</v>
      </c>
      <c r="F420">
        <v>0.02051755533328204</v>
      </c>
      <c r="G420">
        <v>0.1146836456078351</v>
      </c>
      <c r="H420">
        <v>-0.1</v>
      </c>
      <c r="I420">
        <v>0.02505855872066554</v>
      </c>
      <c r="J420" t="s">
        <v>349</v>
      </c>
      <c r="K420" t="s">
        <v>530</v>
      </c>
      <c r="L420">
        <v>61</v>
      </c>
      <c r="M420">
        <v>8</v>
      </c>
      <c r="N420">
        <v>0.1311475409836066</v>
      </c>
      <c r="O420">
        <v>10</v>
      </c>
      <c r="P420">
        <v>0.03993111034207586</v>
      </c>
      <c r="Q420">
        <v>0.6638445241234341</v>
      </c>
      <c r="R420" t="s">
        <v>784</v>
      </c>
      <c r="S420" t="s">
        <v>794</v>
      </c>
      <c r="T420">
        <v>130174.206484</v>
      </c>
      <c r="U420" s="2">
        <v>44485</v>
      </c>
      <c r="V420" t="s">
        <v>804</v>
      </c>
    </row>
    <row r="421" spans="1:22">
      <c r="A421" s="1" t="s">
        <v>441</v>
      </c>
      <c r="B421">
        <f>HYPERLINK("https://www.suredividend.com/sure-analysis-FITB/","Fifth Third Bancorp")</f>
        <v>0</v>
      </c>
      <c r="C421">
        <v>43.42</v>
      </c>
      <c r="D421">
        <v>36</v>
      </c>
      <c r="E421">
        <v>1.206111111111111</v>
      </c>
      <c r="F421">
        <v>0.02763703362505757</v>
      </c>
      <c r="G421">
        <v>-0.03678655437700051</v>
      </c>
      <c r="H421">
        <v>0.03</v>
      </c>
      <c r="I421">
        <v>0.02149991297302689</v>
      </c>
      <c r="J421" t="s">
        <v>349</v>
      </c>
      <c r="K421" t="s">
        <v>349</v>
      </c>
      <c r="L421">
        <v>3.64</v>
      </c>
      <c r="M421">
        <v>1.2</v>
      </c>
      <c r="N421">
        <v>0.3296703296703297</v>
      </c>
      <c r="O421">
        <v>11</v>
      </c>
      <c r="P421">
        <v>0.02983277847878951</v>
      </c>
      <c r="Q421">
        <v>0.6710846548543611</v>
      </c>
      <c r="R421" t="s">
        <v>784</v>
      </c>
      <c r="S421" t="s">
        <v>794</v>
      </c>
      <c r="T421">
        <v>29483.614172</v>
      </c>
      <c r="U421" s="2">
        <v>44488</v>
      </c>
      <c r="V421" t="s">
        <v>800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110.09</v>
      </c>
      <c r="D422">
        <v>84</v>
      </c>
      <c r="E422">
        <v>1.310595238095238</v>
      </c>
      <c r="F422">
        <v>0.01344354618948133</v>
      </c>
      <c r="G422">
        <v>-0.05265911056812245</v>
      </c>
      <c r="H422">
        <v>0.06</v>
      </c>
      <c r="I422">
        <v>0.02092431484391577</v>
      </c>
      <c r="J422" t="s">
        <v>349</v>
      </c>
      <c r="K422" t="s">
        <v>530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0.30148262409842</v>
      </c>
      <c r="R422" t="s">
        <v>784</v>
      </c>
      <c r="S422" t="s">
        <v>790</v>
      </c>
      <c r="T422">
        <v>7447.866203</v>
      </c>
      <c r="U422" s="2">
        <v>44502</v>
      </c>
      <c r="V422" t="s">
        <v>803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11.76</v>
      </c>
      <c r="D423">
        <v>10</v>
      </c>
      <c r="E423">
        <v>1.176</v>
      </c>
      <c r="F423">
        <v>0.003401360544217687</v>
      </c>
      <c r="G423">
        <v>-0.0319037549033041</v>
      </c>
      <c r="H423">
        <v>0.05</v>
      </c>
      <c r="I423">
        <v>0.02012461914776198</v>
      </c>
      <c r="J423" t="s">
        <v>349</v>
      </c>
      <c r="K423" t="s">
        <v>782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0.215340950440288</v>
      </c>
      <c r="R423" t="s">
        <v>784</v>
      </c>
      <c r="S423" t="s">
        <v>790</v>
      </c>
      <c r="T423">
        <v>3077.067612</v>
      </c>
      <c r="U423" s="2">
        <v>44513</v>
      </c>
      <c r="V423" t="s">
        <v>805</v>
      </c>
    </row>
    <row r="424" spans="1:22">
      <c r="A424" s="1" t="s">
        <v>444</v>
      </c>
      <c r="B424">
        <f>HYPERLINK("https://www.suredividend.com/sure-analysis-CMA/","Comerica, Inc.")</f>
        <v>0</v>
      </c>
      <c r="C424">
        <v>85.06999999999999</v>
      </c>
      <c r="D424">
        <v>83</v>
      </c>
      <c r="E424">
        <v>1.024939759036144</v>
      </c>
      <c r="F424">
        <v>0.03197366874338781</v>
      </c>
      <c r="G424">
        <v>-0.00491465122432122</v>
      </c>
      <c r="H424">
        <v>-0.01</v>
      </c>
      <c r="I424">
        <v>0.01972354382926844</v>
      </c>
      <c r="J424" t="s">
        <v>349</v>
      </c>
      <c r="K424" t="s">
        <v>349</v>
      </c>
      <c r="L424">
        <v>7.5</v>
      </c>
      <c r="M424">
        <v>2.72</v>
      </c>
      <c r="N424">
        <v>0.3626666666666667</v>
      </c>
      <c r="O424">
        <v>11</v>
      </c>
      <c r="P424">
        <v>0.02978919320783269</v>
      </c>
      <c r="Q424">
        <v>0.67583676753444</v>
      </c>
      <c r="R424" t="s">
        <v>784</v>
      </c>
      <c r="S424" t="s">
        <v>794</v>
      </c>
      <c r="T424">
        <v>10981.077637</v>
      </c>
      <c r="U424" s="2">
        <v>44490</v>
      </c>
      <c r="V424" t="s">
        <v>803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241.04</v>
      </c>
      <c r="D425">
        <v>185</v>
      </c>
      <c r="E425">
        <v>1.302918918918919</v>
      </c>
      <c r="F425">
        <v>0.01261201460338533</v>
      </c>
      <c r="G425">
        <v>-0.05154545514886699</v>
      </c>
      <c r="H425">
        <v>0.05</v>
      </c>
      <c r="I425">
        <v>0.01033047712423096</v>
      </c>
      <c r="J425" t="s">
        <v>349</v>
      </c>
      <c r="K425" t="s">
        <v>782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0.159434055566272</v>
      </c>
      <c r="R425" t="s">
        <v>784</v>
      </c>
      <c r="S425" t="s">
        <v>795</v>
      </c>
      <c r="T425">
        <v>44415.212251</v>
      </c>
      <c r="U425" s="2">
        <v>44475</v>
      </c>
      <c r="V425" t="s">
        <v>803</v>
      </c>
    </row>
    <row r="426" spans="1:22">
      <c r="A426" s="1" t="s">
        <v>446</v>
      </c>
      <c r="B426">
        <f>HYPERLINK("https://www.suredividend.com/sure-analysis-PAYX/","Paychex Inc.")</f>
        <v>0</v>
      </c>
      <c r="C426">
        <v>125.28</v>
      </c>
      <c r="D426">
        <v>86</v>
      </c>
      <c r="E426">
        <v>1.456744186046512</v>
      </c>
      <c r="F426">
        <v>0.0210727969348659</v>
      </c>
      <c r="G426">
        <v>-0.07247987553337709</v>
      </c>
      <c r="H426">
        <v>0.06</v>
      </c>
      <c r="I426">
        <v>0.008052822112815328</v>
      </c>
      <c r="J426" t="s">
        <v>349</v>
      </c>
      <c r="K426" t="s">
        <v>530</v>
      </c>
      <c r="L426">
        <v>3.44</v>
      </c>
      <c r="M426">
        <v>2.64</v>
      </c>
      <c r="N426">
        <v>0.7674418604651163</v>
      </c>
      <c r="O426">
        <v>10</v>
      </c>
      <c r="P426">
        <v>0.0500384320386924</v>
      </c>
      <c r="Q426">
        <v>0.3741373059815321</v>
      </c>
      <c r="R426" t="s">
        <v>784</v>
      </c>
      <c r="S426" t="s">
        <v>790</v>
      </c>
      <c r="T426">
        <v>44147.123931</v>
      </c>
      <c r="U426" s="2">
        <v>44472</v>
      </c>
      <c r="V426" t="s">
        <v>800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55.43</v>
      </c>
      <c r="D427">
        <v>45</v>
      </c>
      <c r="E427">
        <v>1.231777777777778</v>
      </c>
      <c r="F427">
        <v>0.01443261771603825</v>
      </c>
      <c r="G427">
        <v>-0.04083454924711116</v>
      </c>
      <c r="H427">
        <v>0.03</v>
      </c>
      <c r="I427">
        <v>0.002646368916584985</v>
      </c>
      <c r="J427" t="s">
        <v>349</v>
      </c>
      <c r="K427" t="s">
        <v>530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1.436634965510454</v>
      </c>
      <c r="R427" t="s">
        <v>784</v>
      </c>
      <c r="S427" t="s">
        <v>793</v>
      </c>
      <c r="T427">
        <v>8740.367591</v>
      </c>
      <c r="U427" s="2">
        <v>44515</v>
      </c>
      <c r="V427" t="s">
        <v>805</v>
      </c>
    </row>
    <row r="428" spans="1:22">
      <c r="A428" s="1" t="s">
        <v>448</v>
      </c>
      <c r="B428">
        <f>HYPERLINK("https://www.suredividend.com/sure-analysis-LOGI/","Logitech International SA")</f>
        <v>0</v>
      </c>
      <c r="C428">
        <v>83</v>
      </c>
      <c r="D428">
        <v>67</v>
      </c>
      <c r="E428">
        <v>1.238805970149254</v>
      </c>
      <c r="F428">
        <v>0.01132530120481928</v>
      </c>
      <c r="G428">
        <v>-0.04192536570262373</v>
      </c>
      <c r="H428">
        <v>0.03</v>
      </c>
      <c r="I428">
        <v>0.002335362987881062</v>
      </c>
      <c r="J428" t="s">
        <v>349</v>
      </c>
      <c r="K428" t="s">
        <v>782</v>
      </c>
      <c r="L428">
        <v>4.47</v>
      </c>
      <c r="M428">
        <v>0.9399999999999999</v>
      </c>
      <c r="N428">
        <v>0.2102908277404922</v>
      </c>
      <c r="O428">
        <v>7</v>
      </c>
      <c r="P428">
        <v>0.09943565902862628</v>
      </c>
      <c r="Q428">
        <v>-0.07869035070773001</v>
      </c>
      <c r="R428" t="s">
        <v>784</v>
      </c>
      <c r="S428" t="s">
        <v>791</v>
      </c>
      <c r="T428">
        <v>14116.844861</v>
      </c>
      <c r="U428" s="2">
        <v>44495</v>
      </c>
      <c r="V428" t="s">
        <v>800</v>
      </c>
    </row>
    <row r="429" spans="1:22">
      <c r="A429" s="1" t="s">
        <v>449</v>
      </c>
      <c r="B429">
        <f>HYPERLINK("https://www.suredividend.com/sure-analysis-OXY/","Occidental Petroleum Corp.")</f>
        <v>0</v>
      </c>
      <c r="C429">
        <v>28.52</v>
      </c>
      <c r="D429">
        <v>28</v>
      </c>
      <c r="E429">
        <v>1.018571428571428</v>
      </c>
      <c r="F429">
        <v>0.001402524544179523</v>
      </c>
      <c r="G429">
        <v>-0.003673453375159341</v>
      </c>
      <c r="H429">
        <v>0</v>
      </c>
      <c r="I429">
        <v>0.001568996351816176</v>
      </c>
      <c r="J429" t="s">
        <v>349</v>
      </c>
      <c r="K429" t="s">
        <v>782</v>
      </c>
      <c r="L429">
        <v>1.95</v>
      </c>
      <c r="M429">
        <v>0.04</v>
      </c>
      <c r="N429">
        <v>0.02051282051282051</v>
      </c>
      <c r="O429">
        <v>0</v>
      </c>
      <c r="P429">
        <v>0.4757731615945522</v>
      </c>
      <c r="Q429">
        <v>0.501324236931322</v>
      </c>
      <c r="R429" t="s">
        <v>784</v>
      </c>
      <c r="S429" t="s">
        <v>797</v>
      </c>
      <c r="T429">
        <v>26842.613394</v>
      </c>
      <c r="U429" s="2">
        <v>44515</v>
      </c>
      <c r="V429" t="s">
        <v>807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170.37</v>
      </c>
      <c r="D430">
        <v>104</v>
      </c>
      <c r="E430">
        <v>1.638173076923077</v>
      </c>
      <c r="F430">
        <v>0.02723484181487351</v>
      </c>
      <c r="G430">
        <v>-0.09400032230405919</v>
      </c>
      <c r="H430">
        <v>0.06</v>
      </c>
      <c r="I430">
        <v>-0.004103862286089166</v>
      </c>
      <c r="J430" t="s">
        <v>349</v>
      </c>
      <c r="K430" t="s">
        <v>349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0.3455855316567421</v>
      </c>
      <c r="R430" t="s">
        <v>786</v>
      </c>
      <c r="S430" t="s">
        <v>798</v>
      </c>
      <c r="T430">
        <v>47460.614141</v>
      </c>
      <c r="U430" s="2">
        <v>44497</v>
      </c>
      <c r="V430" t="s">
        <v>803</v>
      </c>
    </row>
    <row r="431" spans="1:22">
      <c r="A431" s="1" t="s">
        <v>451</v>
      </c>
      <c r="B431">
        <f>HYPERLINK("https://www.suredividend.com/sure-analysis-DEO/","Diageo plc")</f>
        <v>0</v>
      </c>
      <c r="C431">
        <v>209.99</v>
      </c>
      <c r="D431">
        <v>123</v>
      </c>
      <c r="E431">
        <v>1.707235772357724</v>
      </c>
      <c r="F431">
        <v>0.0191437687508929</v>
      </c>
      <c r="G431">
        <v>-0.1014519633553179</v>
      </c>
      <c r="H431">
        <v>0.08</v>
      </c>
      <c r="I431">
        <v>-0.005723306027390129</v>
      </c>
      <c r="J431" t="s">
        <v>349</v>
      </c>
      <c r="K431" t="s">
        <v>530</v>
      </c>
      <c r="L431">
        <v>6.15</v>
      </c>
      <c r="M431">
        <v>4.02</v>
      </c>
      <c r="N431">
        <v>0.6536585365853658</v>
      </c>
      <c r="O431">
        <v>8</v>
      </c>
      <c r="P431">
        <v>0.04997331683701267</v>
      </c>
      <c r="Q431">
        <v>0.336055938243727</v>
      </c>
      <c r="R431" t="s">
        <v>784</v>
      </c>
      <c r="S431" t="s">
        <v>795</v>
      </c>
      <c r="T431">
        <v>121345.485941</v>
      </c>
      <c r="U431" s="2">
        <v>44422</v>
      </c>
      <c r="V431" t="s">
        <v>800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58.6</v>
      </c>
      <c r="D432">
        <v>46</v>
      </c>
      <c r="E432">
        <v>1.273913043478261</v>
      </c>
      <c r="F432">
        <v>0.01160409556313993</v>
      </c>
      <c r="G432">
        <v>-0.04726516841250383</v>
      </c>
      <c r="H432">
        <v>0.03</v>
      </c>
      <c r="I432">
        <v>-0.005752267125930022</v>
      </c>
      <c r="J432" t="s">
        <v>349</v>
      </c>
      <c r="K432" t="s">
        <v>530</v>
      </c>
      <c r="L432">
        <v>5.79</v>
      </c>
      <c r="M432">
        <v>0.68</v>
      </c>
      <c r="N432">
        <v>0.1174438687392055</v>
      </c>
      <c r="O432">
        <v>2</v>
      </c>
      <c r="P432">
        <v>0.01978934521903875</v>
      </c>
      <c r="Q432">
        <v>0.668579366996859</v>
      </c>
      <c r="R432" t="s">
        <v>784</v>
      </c>
      <c r="S432" t="s">
        <v>791</v>
      </c>
      <c r="T432">
        <v>3448.768151</v>
      </c>
      <c r="U432" s="2">
        <v>44522</v>
      </c>
      <c r="V432" t="s">
        <v>800</v>
      </c>
    </row>
    <row r="433" spans="1:22">
      <c r="A433" s="1" t="s">
        <v>453</v>
      </c>
      <c r="B433">
        <f>HYPERLINK("https://www.suredividend.com/sure-analysis-ABB/","ABB Ltd.")</f>
        <v>0</v>
      </c>
      <c r="C433">
        <v>36.79</v>
      </c>
      <c r="D433">
        <v>21</v>
      </c>
      <c r="E433">
        <v>1.751904761904762</v>
      </c>
      <c r="F433">
        <v>0.02310410437618918</v>
      </c>
      <c r="G433">
        <v>-0.1060815491685911</v>
      </c>
      <c r="H433">
        <v>0.08</v>
      </c>
      <c r="I433">
        <v>-0.006855277753292865</v>
      </c>
      <c r="J433" t="s">
        <v>349</v>
      </c>
      <c r="K433" t="s">
        <v>530</v>
      </c>
      <c r="L433">
        <v>1.3</v>
      </c>
      <c r="M433">
        <v>0.85</v>
      </c>
      <c r="N433">
        <v>0.6538461538461539</v>
      </c>
      <c r="O433">
        <v>2</v>
      </c>
      <c r="P433">
        <v>0.03303780411393231</v>
      </c>
      <c r="Q433">
        <v>0.395720254146076</v>
      </c>
      <c r="R433" t="s">
        <v>784</v>
      </c>
      <c r="S433" t="s">
        <v>790</v>
      </c>
      <c r="T433">
        <v>74282.904192</v>
      </c>
      <c r="U433" s="2">
        <v>44494</v>
      </c>
      <c r="V433" t="s">
        <v>807</v>
      </c>
    </row>
    <row r="434" spans="1:22">
      <c r="A434" s="1" t="s">
        <v>454</v>
      </c>
      <c r="B434">
        <f>HYPERLINK("https://www.suredividend.com/sure-analysis-NSRGY/","Nestle SA")</f>
        <v>0</v>
      </c>
      <c r="C434">
        <v>136.33</v>
      </c>
      <c r="D434">
        <v>90</v>
      </c>
      <c r="E434">
        <v>1.514777777777778</v>
      </c>
      <c r="F434">
        <v>0.02200542800557471</v>
      </c>
      <c r="G434">
        <v>-0.07969831974806751</v>
      </c>
      <c r="H434">
        <v>0.05</v>
      </c>
      <c r="I434">
        <v>-0.007177748266606665</v>
      </c>
      <c r="J434" t="s">
        <v>349</v>
      </c>
      <c r="K434" t="s">
        <v>530</v>
      </c>
      <c r="L434">
        <v>5</v>
      </c>
      <c r="M434">
        <v>3</v>
      </c>
      <c r="N434">
        <v>0.6</v>
      </c>
      <c r="O434">
        <v>4</v>
      </c>
      <c r="P434">
        <v>0.034822227649</v>
      </c>
      <c r="Q434">
        <v>0.198537281484124</v>
      </c>
      <c r="R434" t="s">
        <v>784</v>
      </c>
      <c r="S434" t="s">
        <v>795</v>
      </c>
      <c r="T434">
        <v>378279.7</v>
      </c>
      <c r="U434" s="2">
        <v>44516</v>
      </c>
      <c r="V434" t="s">
        <v>807</v>
      </c>
    </row>
    <row r="435" spans="1:22">
      <c r="A435" s="1" t="s">
        <v>455</v>
      </c>
      <c r="B435">
        <f>HYPERLINK("https://www.suredividend.com/sure-analysis-PSA/","Public Storage")</f>
        <v>0</v>
      </c>
      <c r="C435">
        <v>361.5</v>
      </c>
      <c r="D435">
        <v>242</v>
      </c>
      <c r="E435">
        <v>1.493801652892562</v>
      </c>
      <c r="F435">
        <v>0.02213001383125865</v>
      </c>
      <c r="G435">
        <v>-0.07712812068326458</v>
      </c>
      <c r="H435">
        <v>0.04</v>
      </c>
      <c r="I435">
        <v>-0.01248804977559415</v>
      </c>
      <c r="J435" t="s">
        <v>349</v>
      </c>
      <c r="K435" t="s">
        <v>530</v>
      </c>
      <c r="L435">
        <v>12.1</v>
      </c>
      <c r="M435">
        <v>8</v>
      </c>
      <c r="N435">
        <v>0.6611570247933884</v>
      </c>
      <c r="O435">
        <v>0</v>
      </c>
      <c r="P435">
        <v>0.03993111034207586</v>
      </c>
      <c r="Q435">
        <v>0.61754435746587</v>
      </c>
      <c r="R435" t="s">
        <v>786</v>
      </c>
      <c r="S435" t="s">
        <v>798</v>
      </c>
      <c r="T435">
        <v>61775.657942</v>
      </c>
      <c r="U435" s="2">
        <v>44502</v>
      </c>
      <c r="V435" t="s">
        <v>800</v>
      </c>
    </row>
    <row r="436" spans="1:22">
      <c r="A436" s="1" t="s">
        <v>456</v>
      </c>
      <c r="B436">
        <f>HYPERLINK("https://www.suredividend.com/sure-analysis-STLD/","Steel Dynamics Inc.")</f>
        <v>0</v>
      </c>
      <c r="C436">
        <v>58.82</v>
      </c>
      <c r="D436">
        <v>49</v>
      </c>
      <c r="E436">
        <v>1.200408163265306</v>
      </c>
      <c r="F436">
        <v>0.01768106086365182</v>
      </c>
      <c r="G436">
        <v>-0.03587307394152861</v>
      </c>
      <c r="H436">
        <v>0</v>
      </c>
      <c r="I436">
        <v>-0.01329217203962563</v>
      </c>
      <c r="J436" t="s">
        <v>349</v>
      </c>
      <c r="K436" t="s">
        <v>530</v>
      </c>
      <c r="L436">
        <v>4.4</v>
      </c>
      <c r="M436">
        <v>1.04</v>
      </c>
      <c r="N436">
        <v>0.2363636363636364</v>
      </c>
      <c r="O436">
        <v>9</v>
      </c>
      <c r="P436">
        <v>0.0488372867840543</v>
      </c>
      <c r="Q436">
        <v>0.6518161096474341</v>
      </c>
      <c r="R436" t="s">
        <v>784</v>
      </c>
      <c r="S436" t="s">
        <v>793</v>
      </c>
      <c r="T436">
        <v>12180.936252</v>
      </c>
      <c r="U436" s="2">
        <v>44494</v>
      </c>
      <c r="V436" t="s">
        <v>807</v>
      </c>
    </row>
    <row r="437" spans="1:22">
      <c r="A437" s="1" t="s">
        <v>457</v>
      </c>
      <c r="B437">
        <f>HYPERLINK("https://www.suredividend.com/sure-analysis-FCX/","Freeport-McMoRan Inc")</f>
        <v>0</v>
      </c>
      <c r="C437">
        <v>37.25</v>
      </c>
      <c r="D437">
        <v>40</v>
      </c>
      <c r="E437">
        <v>0.93125</v>
      </c>
      <c r="F437">
        <v>0.008053691275167784</v>
      </c>
      <c r="G437">
        <v>0.0143474525569729</v>
      </c>
      <c r="H437">
        <v>-0.04</v>
      </c>
      <c r="I437">
        <v>-0.01577348498785902</v>
      </c>
      <c r="J437" t="s">
        <v>349</v>
      </c>
      <c r="K437" t="s">
        <v>782</v>
      </c>
      <c r="L437">
        <v>3.05</v>
      </c>
      <c r="M437">
        <v>0.3</v>
      </c>
      <c r="N437">
        <v>0.09836065573770492</v>
      </c>
      <c r="O437">
        <v>1</v>
      </c>
      <c r="P437">
        <v>0.05922384104881218</v>
      </c>
      <c r="Q437">
        <v>0.6052368950760331</v>
      </c>
      <c r="R437" t="s">
        <v>784</v>
      </c>
      <c r="S437" t="s">
        <v>793</v>
      </c>
      <c r="T437">
        <v>55743.254667</v>
      </c>
      <c r="U437" s="2">
        <v>44498</v>
      </c>
      <c r="V437" t="s">
        <v>804</v>
      </c>
    </row>
    <row r="438" spans="1:22">
      <c r="A438" s="1" t="s">
        <v>458</v>
      </c>
      <c r="B438">
        <f>HYPERLINK("https://www.suredividend.com/sure-analysis-AVB/","Avalonbay Communities Inc.")</f>
        <v>0</v>
      </c>
      <c r="C438">
        <v>248.9</v>
      </c>
      <c r="D438">
        <v>147</v>
      </c>
      <c r="E438">
        <v>1.693197278911565</v>
      </c>
      <c r="F438">
        <v>0.02555243069505826</v>
      </c>
      <c r="G438">
        <v>-0.09996688736590009</v>
      </c>
      <c r="H438">
        <v>0.054</v>
      </c>
      <c r="I438">
        <v>-0.02006632108808171</v>
      </c>
      <c r="J438" t="s">
        <v>349</v>
      </c>
      <c r="K438" t="s">
        <v>349</v>
      </c>
      <c r="L438">
        <v>8.140000000000001</v>
      </c>
      <c r="M438">
        <v>6.36</v>
      </c>
      <c r="N438">
        <v>0.7813267813267813</v>
      </c>
      <c r="O438">
        <v>10</v>
      </c>
      <c r="P438">
        <v>0.01936140157470034</v>
      </c>
      <c r="Q438">
        <v>0.581612267985626</v>
      </c>
      <c r="R438" t="s">
        <v>786</v>
      </c>
      <c r="S438" t="s">
        <v>798</v>
      </c>
      <c r="T438">
        <v>34130.322789</v>
      </c>
      <c r="U438" s="2">
        <v>44503</v>
      </c>
      <c r="V438" t="s">
        <v>808</v>
      </c>
    </row>
    <row r="439" spans="1:22">
      <c r="A439" s="1" t="s">
        <v>459</v>
      </c>
      <c r="B439">
        <f>HYPERLINK("https://www.suredividend.com/sure-analysis-APA/","APA Corporation")</f>
        <v>0</v>
      </c>
      <c r="C439">
        <v>25.1</v>
      </c>
      <c r="D439">
        <v>16</v>
      </c>
      <c r="E439">
        <v>1.56875</v>
      </c>
      <c r="F439">
        <v>0.0199203187250996</v>
      </c>
      <c r="G439">
        <v>-0.08611983331168749</v>
      </c>
      <c r="H439">
        <v>0.04</v>
      </c>
      <c r="I439">
        <v>-0.02274322400242412</v>
      </c>
      <c r="J439" t="s">
        <v>349</v>
      </c>
      <c r="K439" t="s">
        <v>530</v>
      </c>
      <c r="L439">
        <v>3.5</v>
      </c>
      <c r="M439">
        <v>0.5</v>
      </c>
      <c r="N439">
        <v>0.1428571428571428</v>
      </c>
      <c r="O439">
        <v>1</v>
      </c>
      <c r="P439">
        <v>0.05061112176150684</v>
      </c>
      <c r="Q439">
        <v>0.286128880939002</v>
      </c>
      <c r="R439" t="s">
        <v>784</v>
      </c>
      <c r="S439" t="s">
        <v>797</v>
      </c>
      <c r="T439">
        <v>9063.692762000001</v>
      </c>
      <c r="U439" s="2">
        <v>44508</v>
      </c>
      <c r="V439" t="s">
        <v>807</v>
      </c>
    </row>
    <row r="440" spans="1:22">
      <c r="A440" s="1" t="s">
        <v>460</v>
      </c>
      <c r="B440">
        <f>HYPERLINK("https://www.suredividend.com/sure-analysis-FAST/","Fastenal Co.")</f>
        <v>0</v>
      </c>
      <c r="C440">
        <v>63.65</v>
      </c>
      <c r="D440">
        <v>37</v>
      </c>
      <c r="E440">
        <v>1.72027027027027</v>
      </c>
      <c r="F440">
        <v>0.0175962293794187</v>
      </c>
      <c r="G440">
        <v>-0.1028177698890219</v>
      </c>
      <c r="H440">
        <v>0.06</v>
      </c>
      <c r="I440">
        <v>-0.02455441684689141</v>
      </c>
      <c r="J440" t="s">
        <v>349</v>
      </c>
      <c r="K440" t="s">
        <v>530</v>
      </c>
      <c r="L440">
        <v>1.55</v>
      </c>
      <c r="M440">
        <v>1.12</v>
      </c>
      <c r="N440">
        <v>0.7225806451612904</v>
      </c>
      <c r="O440">
        <v>22</v>
      </c>
      <c r="P440">
        <v>0.06016789231717423</v>
      </c>
      <c r="Q440">
        <v>0.30856682555764</v>
      </c>
      <c r="R440" t="s">
        <v>784</v>
      </c>
      <c r="S440" t="s">
        <v>790</v>
      </c>
      <c r="T440">
        <v>36252.546203</v>
      </c>
      <c r="U440" s="2">
        <v>44482</v>
      </c>
      <c r="V440" t="s">
        <v>803</v>
      </c>
    </row>
    <row r="441" spans="1:22">
      <c r="A441" s="1" t="s">
        <v>461</v>
      </c>
      <c r="B441">
        <f>HYPERLINK("https://www.suredividend.com/sure-analysis-HNI/","HNI Corp.")</f>
        <v>0</v>
      </c>
      <c r="C441">
        <v>42.4</v>
      </c>
      <c r="D441">
        <v>23</v>
      </c>
      <c r="E441">
        <v>1.843478260869565</v>
      </c>
      <c r="F441">
        <v>0.02924528301886792</v>
      </c>
      <c r="G441">
        <v>-0.1151444160451477</v>
      </c>
      <c r="H441">
        <v>0.055</v>
      </c>
      <c r="I441">
        <v>-0.02647203016553012</v>
      </c>
      <c r="J441" t="s">
        <v>349</v>
      </c>
      <c r="K441" t="s">
        <v>349</v>
      </c>
      <c r="L441">
        <v>1.66</v>
      </c>
      <c r="M441">
        <v>1.24</v>
      </c>
      <c r="N441">
        <v>0.746987951807229</v>
      </c>
      <c r="O441">
        <v>10</v>
      </c>
      <c r="P441">
        <v>0.04156021015686417</v>
      </c>
      <c r="Q441">
        <v>0.190967343606196</v>
      </c>
      <c r="R441" t="s">
        <v>784</v>
      </c>
      <c r="S441" t="s">
        <v>790</v>
      </c>
      <c r="T441">
        <v>1798.13034</v>
      </c>
      <c r="U441" s="2">
        <v>44494</v>
      </c>
      <c r="V441" t="s">
        <v>800</v>
      </c>
    </row>
    <row r="442" spans="1:22">
      <c r="A442" s="1" t="s">
        <v>462</v>
      </c>
      <c r="B442">
        <f>HYPERLINK("https://www.suredividend.com/sure-analysis-MT/","ArcelorMittal")</f>
        <v>0</v>
      </c>
      <c r="C442">
        <v>31.55</v>
      </c>
      <c r="D442">
        <v>25</v>
      </c>
      <c r="E442">
        <v>1.262</v>
      </c>
      <c r="F442">
        <v>0.009508716323296354</v>
      </c>
      <c r="G442">
        <v>-0.04547319440724085</v>
      </c>
      <c r="H442">
        <v>0</v>
      </c>
      <c r="I442">
        <v>-0.0283981333871508</v>
      </c>
      <c r="J442" t="s">
        <v>349</v>
      </c>
      <c r="K442" t="s">
        <v>530</v>
      </c>
      <c r="L442">
        <v>12.8</v>
      </c>
      <c r="M442">
        <v>0.3</v>
      </c>
      <c r="N442">
        <v>0.0234375</v>
      </c>
      <c r="O442">
        <v>0</v>
      </c>
      <c r="P442">
        <v>0.1486983549970351</v>
      </c>
      <c r="Q442">
        <v>0.490416706398398</v>
      </c>
      <c r="R442" t="s">
        <v>784</v>
      </c>
      <c r="S442" t="s">
        <v>793</v>
      </c>
      <c r="T442">
        <v>30722.633473</v>
      </c>
      <c r="U442" s="2">
        <v>44516</v>
      </c>
      <c r="V442" t="s">
        <v>807</v>
      </c>
    </row>
    <row r="443" spans="1:22">
      <c r="A443" s="1" t="s">
        <v>463</v>
      </c>
      <c r="B443">
        <f>HYPERLINK("https://www.suredividend.com/sure-analysis-INFY/","Infosys Ltd")</f>
        <v>0</v>
      </c>
      <c r="C443">
        <v>23.26</v>
      </c>
      <c r="D443">
        <v>13</v>
      </c>
      <c r="E443">
        <v>1.789230769230769</v>
      </c>
      <c r="F443">
        <v>0.01719690455717971</v>
      </c>
      <c r="G443">
        <v>-0.1098427601977103</v>
      </c>
      <c r="H443">
        <v>0.06</v>
      </c>
      <c r="I443">
        <v>-0.03035653661216897</v>
      </c>
      <c r="J443" t="s">
        <v>349</v>
      </c>
      <c r="K443" t="s">
        <v>530</v>
      </c>
      <c r="L443">
        <v>0.7</v>
      </c>
      <c r="M443">
        <v>0.4</v>
      </c>
      <c r="N443">
        <v>0.5714285714285715</v>
      </c>
      <c r="O443">
        <v>6</v>
      </c>
      <c r="P443">
        <v>0.08083252207959757</v>
      </c>
      <c r="Q443">
        <v>0.4899045784136321</v>
      </c>
      <c r="R443" t="s">
        <v>784</v>
      </c>
      <c r="S443" t="s">
        <v>791</v>
      </c>
      <c r="T443">
        <v>96263.080711</v>
      </c>
      <c r="U443" s="2">
        <v>44498</v>
      </c>
      <c r="V443" t="s">
        <v>801</v>
      </c>
    </row>
    <row r="444" spans="1:22">
      <c r="A444" s="1" t="s">
        <v>464</v>
      </c>
      <c r="B444">
        <f>HYPERLINK("https://www.suredividend.com/sure-analysis-CF/","CF Industries Holdings Inc")</f>
        <v>0</v>
      </c>
      <c r="C444">
        <v>63.56</v>
      </c>
      <c r="D444">
        <v>48</v>
      </c>
      <c r="E444">
        <v>1.324166666666667</v>
      </c>
      <c r="F444">
        <v>0.01887979861548143</v>
      </c>
      <c r="G444">
        <v>-0.05460898648452295</v>
      </c>
      <c r="H444">
        <v>0</v>
      </c>
      <c r="I444">
        <v>-0.03207440470151746</v>
      </c>
      <c r="J444" t="s">
        <v>349</v>
      </c>
      <c r="K444" t="s">
        <v>530</v>
      </c>
      <c r="L444">
        <v>4.6</v>
      </c>
      <c r="M444">
        <v>1.2</v>
      </c>
      <c r="N444">
        <v>0.2608695652173913</v>
      </c>
      <c r="O444">
        <v>0</v>
      </c>
      <c r="P444">
        <v>0</v>
      </c>
      <c r="Q444">
        <v>0.641302599344428</v>
      </c>
      <c r="R444" t="s">
        <v>784</v>
      </c>
      <c r="S444" t="s">
        <v>793</v>
      </c>
      <c r="T444">
        <v>13348.951386</v>
      </c>
      <c r="U444" s="2">
        <v>44526</v>
      </c>
      <c r="V444" t="s">
        <v>804</v>
      </c>
    </row>
    <row r="445" spans="1:22">
      <c r="A445" s="1" t="s">
        <v>465</v>
      </c>
      <c r="B445">
        <f>HYPERLINK("https://www.suredividend.com/sure-analysis-MRVL/","Marvell Technology Inc")</f>
        <v>0</v>
      </c>
      <c r="C445">
        <v>88.37</v>
      </c>
      <c r="D445">
        <v>29</v>
      </c>
      <c r="E445">
        <v>3.047241379310345</v>
      </c>
      <c r="F445">
        <v>0.002715853796537286</v>
      </c>
      <c r="G445">
        <v>-0.1997629983363965</v>
      </c>
      <c r="H445">
        <v>0.2</v>
      </c>
      <c r="I445">
        <v>-0.03654283893513022</v>
      </c>
      <c r="J445" t="s">
        <v>349</v>
      </c>
      <c r="K445" t="s">
        <v>782</v>
      </c>
      <c r="L445">
        <v>1.4</v>
      </c>
      <c r="M445">
        <v>0.24</v>
      </c>
      <c r="N445">
        <v>0.1714285714285714</v>
      </c>
      <c r="O445">
        <v>0</v>
      </c>
      <c r="P445">
        <v>0</v>
      </c>
      <c r="Q445">
        <v>0.798028050839775</v>
      </c>
      <c r="R445" t="s">
        <v>784</v>
      </c>
      <c r="S445" t="s">
        <v>791</v>
      </c>
      <c r="T445">
        <v>71967.702</v>
      </c>
      <c r="U445" s="2">
        <v>44461</v>
      </c>
      <c r="V445" t="s">
        <v>802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260.47</v>
      </c>
      <c r="D446">
        <v>146</v>
      </c>
      <c r="E446">
        <v>1.784041095890411</v>
      </c>
      <c r="F446">
        <v>0.003992782278189427</v>
      </c>
      <c r="G446">
        <v>-0.109325478462507</v>
      </c>
      <c r="H446">
        <v>0.075</v>
      </c>
      <c r="I446">
        <v>-0.03667172168057975</v>
      </c>
      <c r="J446" t="s">
        <v>349</v>
      </c>
      <c r="K446" t="s">
        <v>782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0.176321440247273</v>
      </c>
      <c r="R446" t="s">
        <v>784</v>
      </c>
      <c r="S446" t="s">
        <v>792</v>
      </c>
      <c r="T446">
        <v>46798.488016</v>
      </c>
      <c r="U446" s="2">
        <v>44502</v>
      </c>
      <c r="V446" t="s">
        <v>800</v>
      </c>
    </row>
    <row r="447" spans="1:22">
      <c r="A447" s="1" t="s">
        <v>467</v>
      </c>
      <c r="B447">
        <f>HYPERLINK("https://www.suredividend.com/sure-analysis-KKR/","KKR &amp; Co. Inc.")</f>
        <v>0</v>
      </c>
      <c r="C447">
        <v>73.94</v>
      </c>
      <c r="D447">
        <v>36</v>
      </c>
      <c r="E447">
        <v>2.053888888888889</v>
      </c>
      <c r="F447">
        <v>0.007844197998377062</v>
      </c>
      <c r="G447">
        <v>-0.1340663612808588</v>
      </c>
      <c r="H447">
        <v>0.1</v>
      </c>
      <c r="I447">
        <v>-0.03766097656557998</v>
      </c>
      <c r="J447" t="s">
        <v>349</v>
      </c>
      <c r="K447" t="s">
        <v>782</v>
      </c>
      <c r="L447">
        <v>2.4</v>
      </c>
      <c r="M447">
        <v>0.58</v>
      </c>
      <c r="N447">
        <v>0.2416666666666667</v>
      </c>
      <c r="O447">
        <v>2</v>
      </c>
      <c r="P447">
        <v>0.01667585861299536</v>
      </c>
      <c r="Q447">
        <v>0.880201509000718</v>
      </c>
      <c r="R447" t="s">
        <v>784</v>
      </c>
      <c r="S447" t="s">
        <v>794</v>
      </c>
      <c r="T447">
        <v>42729.074013</v>
      </c>
      <c r="U447" s="2">
        <v>44507</v>
      </c>
      <c r="V447" t="s">
        <v>810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2.58</v>
      </c>
      <c r="D448">
        <v>1.98</v>
      </c>
      <c r="E448">
        <v>1.303030303030303</v>
      </c>
      <c r="F448">
        <v>0.01550387596899225</v>
      </c>
      <c r="G448">
        <v>-0.05156167063960093</v>
      </c>
      <c r="H448">
        <v>-0.01</v>
      </c>
      <c r="I448">
        <v>-0.04189687368285966</v>
      </c>
      <c r="J448" t="s">
        <v>349</v>
      </c>
      <c r="K448" t="s">
        <v>530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-0.40960101211255</v>
      </c>
      <c r="R448" t="s">
        <v>786</v>
      </c>
      <c r="S448" t="s">
        <v>798</v>
      </c>
      <c r="T448">
        <v>602.2671329999999</v>
      </c>
      <c r="U448" s="2">
        <v>44453</v>
      </c>
      <c r="V448" t="s">
        <v>806</v>
      </c>
    </row>
    <row r="449" spans="1:22">
      <c r="A449" s="1" t="s">
        <v>469</v>
      </c>
      <c r="B449">
        <f>HYPERLINK("https://www.suredividend.com/sure-analysis-TER/","Teradyne, Inc.")</f>
        <v>0</v>
      </c>
      <c r="C449">
        <v>161.96</v>
      </c>
      <c r="D449">
        <v>87</v>
      </c>
      <c r="E449">
        <v>1.861609195402299</v>
      </c>
      <c r="F449">
        <v>0.002469745616201531</v>
      </c>
      <c r="G449">
        <v>-0.1168747606364695</v>
      </c>
      <c r="H449">
        <v>0.08</v>
      </c>
      <c r="I449">
        <v>-0.04226592886899061</v>
      </c>
      <c r="J449" t="s">
        <v>349</v>
      </c>
      <c r="K449" t="s">
        <v>782</v>
      </c>
      <c r="L449">
        <v>4.82</v>
      </c>
      <c r="M449">
        <v>0.4</v>
      </c>
      <c r="N449">
        <v>0.08298755186721991</v>
      </c>
      <c r="O449">
        <v>0</v>
      </c>
      <c r="P449">
        <v>0.09856054330611763</v>
      </c>
      <c r="Q449">
        <v>0.334749625313166</v>
      </c>
      <c r="R449" t="s">
        <v>784</v>
      </c>
      <c r="S449" t="s">
        <v>791</v>
      </c>
      <c r="T449">
        <v>25418.89678</v>
      </c>
      <c r="U449" s="2">
        <v>44502</v>
      </c>
      <c r="V449" t="s">
        <v>810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117.72</v>
      </c>
      <c r="D450">
        <v>66</v>
      </c>
      <c r="E450">
        <v>1.783636363636364</v>
      </c>
      <c r="F450">
        <v>0.01376146788990826</v>
      </c>
      <c r="G450">
        <v>-0.1092850608080005</v>
      </c>
      <c r="H450">
        <v>0.05</v>
      </c>
      <c r="I450">
        <v>-0.04692548857326673</v>
      </c>
      <c r="J450" t="s">
        <v>349</v>
      </c>
      <c r="K450" t="s">
        <v>530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0.4882580759292131</v>
      </c>
      <c r="R450" t="s">
        <v>784</v>
      </c>
      <c r="S450" t="s">
        <v>790</v>
      </c>
      <c r="T450">
        <v>57375.262632</v>
      </c>
      <c r="U450" s="2">
        <v>44502</v>
      </c>
      <c r="V450" t="s">
        <v>805</v>
      </c>
    </row>
    <row r="451" spans="1:22">
      <c r="A451" s="1" t="s">
        <v>471</v>
      </c>
      <c r="B451">
        <f>HYPERLINK("https://www.suredividend.com/sure-analysis-SONY/","Sony Group Corporation")</f>
        <v>0</v>
      </c>
      <c r="C451">
        <v>123.85</v>
      </c>
      <c r="D451">
        <v>86</v>
      </c>
      <c r="E451">
        <v>1.440116279069767</v>
      </c>
      <c r="F451">
        <v>0.004440855874041179</v>
      </c>
      <c r="G451">
        <v>-0.07034782850268617</v>
      </c>
      <c r="H451">
        <v>0.017</v>
      </c>
      <c r="I451">
        <v>-0.04875758917482842</v>
      </c>
      <c r="J451" t="s">
        <v>349</v>
      </c>
      <c r="K451" t="s">
        <v>782</v>
      </c>
      <c r="L451">
        <v>6.58</v>
      </c>
      <c r="M451">
        <v>0.55</v>
      </c>
      <c r="N451">
        <v>0.08358662613981764</v>
      </c>
      <c r="O451">
        <v>6</v>
      </c>
      <c r="P451">
        <v>0.01755457717558762</v>
      </c>
      <c r="Q451">
        <v>0.293542849880496</v>
      </c>
      <c r="R451" t="s">
        <v>784</v>
      </c>
      <c r="S451" t="s">
        <v>791</v>
      </c>
      <c r="T451">
        <v>152096.299576</v>
      </c>
      <c r="U451" s="2">
        <v>44501</v>
      </c>
      <c r="V451" t="s">
        <v>800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304.59</v>
      </c>
      <c r="D452">
        <v>109</v>
      </c>
      <c r="E452">
        <v>2.79440366972477</v>
      </c>
      <c r="F452">
        <v>0.0005252962999441873</v>
      </c>
      <c r="G452">
        <v>-0.1857792397825121</v>
      </c>
      <c r="H452">
        <v>0.15</v>
      </c>
      <c r="I452">
        <v>-0.0629637692683932</v>
      </c>
      <c r="J452" t="s">
        <v>349</v>
      </c>
      <c r="K452" t="s">
        <v>782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1.131059761723198</v>
      </c>
      <c r="R452" t="s">
        <v>784</v>
      </c>
      <c r="S452" t="s">
        <v>791</v>
      </c>
      <c r="T452">
        <v>708425</v>
      </c>
      <c r="U452" s="2">
        <v>44533</v>
      </c>
      <c r="V452" t="s">
        <v>801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206.26</v>
      </c>
      <c r="D453">
        <v>97</v>
      </c>
      <c r="E453">
        <v>2.126391752577319</v>
      </c>
      <c r="F453">
        <v>0.007175409677106565</v>
      </c>
      <c r="G453">
        <v>-0.1400536763792399</v>
      </c>
      <c r="H453">
        <v>0.05</v>
      </c>
      <c r="I453">
        <v>-0.08485999396779587</v>
      </c>
      <c r="J453" t="s">
        <v>349</v>
      </c>
      <c r="K453" t="s">
        <v>782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0.519369090432753</v>
      </c>
      <c r="R453" t="s">
        <v>784</v>
      </c>
      <c r="S453" t="s">
        <v>793</v>
      </c>
      <c r="T453">
        <v>27090.404416</v>
      </c>
      <c r="U453" s="2">
        <v>44506</v>
      </c>
      <c r="V453" t="s">
        <v>800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9.73</v>
      </c>
      <c r="D454">
        <v>2.45</v>
      </c>
      <c r="E454">
        <v>3.971428571428572</v>
      </c>
      <c r="F454">
        <v>0.01233299075025694</v>
      </c>
      <c r="G454">
        <v>-0.241054397661549</v>
      </c>
      <c r="H454">
        <v>0.1</v>
      </c>
      <c r="I454">
        <v>-0.1379126331524687</v>
      </c>
      <c r="J454" t="s">
        <v>349</v>
      </c>
      <c r="K454" t="s">
        <v>530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1.916439765232649</v>
      </c>
      <c r="R454" t="s">
        <v>784</v>
      </c>
      <c r="S454" t="s">
        <v>797</v>
      </c>
      <c r="T454">
        <v>2378.315383</v>
      </c>
      <c r="U454" s="2">
        <v>44528</v>
      </c>
      <c r="V454" t="s">
        <v>802</v>
      </c>
    </row>
    <row r="455" spans="1:22">
      <c r="A455" s="1" t="s">
        <v>475</v>
      </c>
      <c r="B455">
        <f>HYPERLINK("https://www.suredividend.com/sure-analysis-KSU","Kansas City Southern (KSU)")</f>
        <v>0</v>
      </c>
      <c r="D455">
        <v>164</v>
      </c>
      <c r="H455">
        <v>0.08</v>
      </c>
      <c r="J455" t="s">
        <v>349</v>
      </c>
      <c r="K455" t="s">
        <v>783</v>
      </c>
      <c r="L455">
        <v>8.199999999999999</v>
      </c>
      <c r="M455">
        <v>2.16</v>
      </c>
      <c r="N455">
        <v>0.2634146341463415</v>
      </c>
      <c r="O455">
        <v>3</v>
      </c>
      <c r="P455">
        <v>0.08977506465822516</v>
      </c>
      <c r="R455" t="s">
        <v>784</v>
      </c>
      <c r="S455" t="s">
        <v>790</v>
      </c>
      <c r="U455" s="2">
        <v>44498</v>
      </c>
      <c r="V455" t="s">
        <v>801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11.13</v>
      </c>
      <c r="D456">
        <v>19</v>
      </c>
      <c r="E456">
        <v>0.5857894736842105</v>
      </c>
      <c r="F456">
        <v>0.1078167115902965</v>
      </c>
      <c r="G456">
        <v>0.1128885836839095</v>
      </c>
      <c r="H456">
        <v>0.04</v>
      </c>
      <c r="I456">
        <v>0.2120722767485275</v>
      </c>
      <c r="J456" t="s">
        <v>530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0.224615655697986</v>
      </c>
      <c r="R456" t="s">
        <v>785</v>
      </c>
      <c r="S456" t="s">
        <v>797</v>
      </c>
      <c r="T456">
        <v>4373.379651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14.24</v>
      </c>
      <c r="D457">
        <v>23</v>
      </c>
      <c r="E457">
        <v>0.6191304347826087</v>
      </c>
      <c r="F457">
        <v>0.09269662921348315</v>
      </c>
      <c r="G457">
        <v>0.1006356339827501</v>
      </c>
      <c r="H457">
        <v>0.01</v>
      </c>
      <c r="I457">
        <v>0.1804981395271625</v>
      </c>
      <c r="J457" t="s">
        <v>530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0.017006971934587</v>
      </c>
      <c r="R457" t="s">
        <v>785</v>
      </c>
      <c r="S457" t="s">
        <v>796</v>
      </c>
      <c r="T457">
        <v>901.010719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16.13</v>
      </c>
      <c r="D458">
        <v>25</v>
      </c>
      <c r="E458">
        <v>0.6452</v>
      </c>
      <c r="F458">
        <v>0.08679479231246125</v>
      </c>
      <c r="G458">
        <v>0.09159397077600695</v>
      </c>
      <c r="H458">
        <v>0.02</v>
      </c>
      <c r="I458">
        <v>0.1707569799318762</v>
      </c>
      <c r="J458" t="s">
        <v>530</v>
      </c>
      <c r="K458" t="s">
        <v>781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0.229321250456149</v>
      </c>
      <c r="R458" t="s">
        <v>785</v>
      </c>
      <c r="S458" t="s">
        <v>797</v>
      </c>
      <c r="T458">
        <v>1704.96805</v>
      </c>
      <c r="U458" s="2">
        <v>44504</v>
      </c>
      <c r="V458" t="s">
        <v>807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9.130000000000001</v>
      </c>
      <c r="D459">
        <v>12.1</v>
      </c>
      <c r="E459">
        <v>0.7545454545454546</v>
      </c>
      <c r="F459">
        <v>0.07886089813800656</v>
      </c>
      <c r="G459">
        <v>0.0579445814679882</v>
      </c>
      <c r="H459">
        <v>0.05</v>
      </c>
      <c r="I459">
        <v>0.1683208631163768</v>
      </c>
      <c r="J459" t="s">
        <v>530</v>
      </c>
      <c r="K459" t="s">
        <v>781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0.128688010043942</v>
      </c>
      <c r="R459" t="s">
        <v>785</v>
      </c>
      <c r="S459" t="s">
        <v>797</v>
      </c>
      <c r="T459">
        <v>6392.985719</v>
      </c>
      <c r="U459" s="2">
        <v>44511</v>
      </c>
      <c r="V459" t="s">
        <v>799</v>
      </c>
    </row>
    <row r="460" spans="1:22">
      <c r="A460" s="1" t="s">
        <v>480</v>
      </c>
      <c r="B460">
        <f>HYPERLINK("https://www.suredividend.com/sure-analysis-PBR/","Petroleo Brasileiro S.A. Petrobras")</f>
        <v>0</v>
      </c>
      <c r="C460">
        <v>10.87</v>
      </c>
      <c r="D460">
        <v>18</v>
      </c>
      <c r="E460">
        <v>0.6038888888888888</v>
      </c>
      <c r="F460">
        <v>0.08371665133394665</v>
      </c>
      <c r="G460">
        <v>0.1061361661086415</v>
      </c>
      <c r="H460">
        <v>0.01</v>
      </c>
      <c r="I460">
        <v>0.1664066221346696</v>
      </c>
      <c r="J460" t="s">
        <v>530</v>
      </c>
      <c r="K460" t="s">
        <v>781</v>
      </c>
      <c r="L460">
        <v>2.21</v>
      </c>
      <c r="M460">
        <v>0.91</v>
      </c>
      <c r="N460">
        <v>0.411764705882353</v>
      </c>
      <c r="O460">
        <v>0</v>
      </c>
      <c r="P460">
        <v>0</v>
      </c>
      <c r="Q460">
        <v>0.183039836612312</v>
      </c>
      <c r="R460" t="s">
        <v>784</v>
      </c>
      <c r="S460" t="s">
        <v>797</v>
      </c>
      <c r="T460">
        <v>69065.35788</v>
      </c>
      <c r="U460" s="2">
        <v>44454</v>
      </c>
      <c r="V460" t="s">
        <v>806</v>
      </c>
    </row>
    <row r="461" spans="1:22">
      <c r="A461" s="1" t="s">
        <v>481</v>
      </c>
      <c r="B461">
        <f>HYPERLINK("https://www.suredividend.com/sure-analysis-GORO/","Gold Resource Corporation")</f>
        <v>0</v>
      </c>
      <c r="C461">
        <v>1.65</v>
      </c>
      <c r="D461">
        <v>1.35</v>
      </c>
      <c r="E461">
        <v>1.222222222222222</v>
      </c>
      <c r="F461">
        <v>0.02424242424242425</v>
      </c>
      <c r="G461">
        <v>-0.03933943162756326</v>
      </c>
      <c r="H461">
        <v>0.19</v>
      </c>
      <c r="I461">
        <v>0.1608542359838587</v>
      </c>
      <c r="J461" t="s">
        <v>530</v>
      </c>
      <c r="K461" t="s">
        <v>530</v>
      </c>
      <c r="L461">
        <v>0.09</v>
      </c>
      <c r="M461">
        <v>0.04</v>
      </c>
      <c r="N461">
        <v>0.4444444444444445</v>
      </c>
      <c r="O461">
        <v>0</v>
      </c>
      <c r="P461">
        <v>0.08447177119769855</v>
      </c>
      <c r="Q461">
        <v>-0.4725569798293001</v>
      </c>
      <c r="R461" t="s">
        <v>784</v>
      </c>
      <c r="S461" t="s">
        <v>793</v>
      </c>
      <c r="T461">
        <v>123.05977</v>
      </c>
      <c r="U461" s="2">
        <v>44512</v>
      </c>
      <c r="V461" t="s">
        <v>807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46.73</v>
      </c>
      <c r="D462">
        <v>97</v>
      </c>
      <c r="E462">
        <v>0.4817525773195876</v>
      </c>
      <c r="F462">
        <v>0.09608388615450461</v>
      </c>
      <c r="G462">
        <v>0.1572713207095715</v>
      </c>
      <c r="H462">
        <v>-0.05</v>
      </c>
      <c r="I462">
        <v>0.1606599351047191</v>
      </c>
      <c r="J462" t="s">
        <v>530</v>
      </c>
      <c r="K462" t="s">
        <v>781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0.155541701919223</v>
      </c>
      <c r="R462" t="s">
        <v>784</v>
      </c>
      <c r="S462" t="s">
        <v>797</v>
      </c>
      <c r="T462">
        <v>11917.32717</v>
      </c>
      <c r="U462" s="2">
        <v>44522</v>
      </c>
      <c r="V462" t="s">
        <v>807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84.81</v>
      </c>
      <c r="D463">
        <v>135</v>
      </c>
      <c r="E463">
        <v>0.6282222222222222</v>
      </c>
      <c r="F463">
        <v>0.03537318712415988</v>
      </c>
      <c r="G463">
        <v>0.09743129606677425</v>
      </c>
      <c r="H463">
        <v>0.03</v>
      </c>
      <c r="I463">
        <v>0.1565743812234699</v>
      </c>
      <c r="J463" t="s">
        <v>530</v>
      </c>
      <c r="K463" t="s">
        <v>349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0.712476586449953</v>
      </c>
      <c r="R463" t="s">
        <v>784</v>
      </c>
      <c r="S463" t="s">
        <v>797</v>
      </c>
      <c r="T463">
        <v>49908.175379</v>
      </c>
      <c r="U463" s="2">
        <v>44513</v>
      </c>
      <c r="V463" t="s">
        <v>810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34.43</v>
      </c>
      <c r="D464">
        <v>40</v>
      </c>
      <c r="E464">
        <v>0.86075</v>
      </c>
      <c r="F464">
        <v>0.02991577112982864</v>
      </c>
      <c r="G464">
        <v>0.03044447197756095</v>
      </c>
      <c r="H464">
        <v>0.1</v>
      </c>
      <c r="I464">
        <v>0.1536443285043954</v>
      </c>
      <c r="J464" t="s">
        <v>530</v>
      </c>
      <c r="K464" t="s">
        <v>530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-0.322454451378218</v>
      </c>
      <c r="R464" t="s">
        <v>784</v>
      </c>
      <c r="S464" t="s">
        <v>789</v>
      </c>
      <c r="T464">
        <v>31714.482358</v>
      </c>
      <c r="U464" s="2">
        <v>44491</v>
      </c>
      <c r="V464" t="s">
        <v>807</v>
      </c>
    </row>
    <row r="465" spans="1:22">
      <c r="A465" s="1" t="s">
        <v>485</v>
      </c>
      <c r="B465">
        <f>HYPERLINK("https://www.suredividend.com/sure-analysis-AVAL/","Grupo Aval Acciones y Valores S.A.")</f>
        <v>0</v>
      </c>
      <c r="C465">
        <v>5.16</v>
      </c>
      <c r="D465">
        <v>7.7</v>
      </c>
      <c r="E465">
        <v>0.6701298701298701</v>
      </c>
      <c r="F465">
        <v>0.04844961240310077</v>
      </c>
      <c r="G465">
        <v>0.08334854582314644</v>
      </c>
      <c r="H465">
        <v>0.03</v>
      </c>
      <c r="I465">
        <v>0.1481197848173796</v>
      </c>
      <c r="J465" t="s">
        <v>530</v>
      </c>
      <c r="K465" t="s">
        <v>781</v>
      </c>
      <c r="L465">
        <v>0.77</v>
      </c>
      <c r="M465">
        <v>0.25</v>
      </c>
      <c r="N465">
        <v>0.3246753246753247</v>
      </c>
      <c r="O465">
        <v>0</v>
      </c>
      <c r="P465">
        <v>0.03012896281839894</v>
      </c>
      <c r="Q465">
        <v>-0.181836776436899</v>
      </c>
      <c r="R465" t="s">
        <v>784</v>
      </c>
      <c r="S465" t="s">
        <v>794</v>
      </c>
      <c r="T465">
        <v>1858.953044</v>
      </c>
      <c r="U465" s="2">
        <v>44528</v>
      </c>
      <c r="V465" t="s">
        <v>802</v>
      </c>
    </row>
    <row r="466" spans="1:22">
      <c r="A466" s="1" t="s">
        <v>486</v>
      </c>
      <c r="B466">
        <f>HYPERLINK("https://www.suredividend.com/sure-analysis-LUMN/","Lumen Technologies Inc")</f>
        <v>0</v>
      </c>
      <c r="C466">
        <v>11.96</v>
      </c>
      <c r="D466">
        <v>17</v>
      </c>
      <c r="E466">
        <v>0.703529411764706</v>
      </c>
      <c r="F466">
        <v>0.08361204013377926</v>
      </c>
      <c r="G466">
        <v>0.07286122228189584</v>
      </c>
      <c r="H466">
        <v>0.013</v>
      </c>
      <c r="I466">
        <v>0.1410490349936577</v>
      </c>
      <c r="J466" t="s">
        <v>530</v>
      </c>
      <c r="K466" t="s">
        <v>781</v>
      </c>
      <c r="L466">
        <v>1.92</v>
      </c>
      <c r="M466">
        <v>1</v>
      </c>
      <c r="N466">
        <v>0.5208333333333334</v>
      </c>
      <c r="O466">
        <v>0</v>
      </c>
      <c r="P466">
        <v>0</v>
      </c>
      <c r="Q466">
        <v>0.200276439620302</v>
      </c>
      <c r="R466" t="s">
        <v>784</v>
      </c>
      <c r="S466" t="s">
        <v>788</v>
      </c>
      <c r="T466">
        <v>12092.1901</v>
      </c>
      <c r="U466" s="2">
        <v>44508</v>
      </c>
      <c r="V466" t="s">
        <v>805</v>
      </c>
    </row>
    <row r="467" spans="1:22">
      <c r="A467" s="1" t="s">
        <v>487</v>
      </c>
      <c r="B467">
        <f>HYPERLINK("https://www.suredividend.com/sure-analysis-ARLP/","Alliance Resource Partners, LP")</f>
        <v>0</v>
      </c>
      <c r="C467">
        <v>11.05</v>
      </c>
      <c r="D467">
        <v>11.02</v>
      </c>
      <c r="E467">
        <v>1.002722323049002</v>
      </c>
      <c r="F467">
        <v>0.07239819004524886</v>
      </c>
      <c r="G467">
        <v>-0.0005435770562308706</v>
      </c>
      <c r="H467">
        <v>0.08</v>
      </c>
      <c r="I467">
        <v>0.139970446742099</v>
      </c>
      <c r="J467" t="s">
        <v>530</v>
      </c>
      <c r="K467" t="s">
        <v>781</v>
      </c>
      <c r="L467">
        <v>1.5</v>
      </c>
      <c r="M467">
        <v>0.8</v>
      </c>
      <c r="N467">
        <v>0.5333333333333333</v>
      </c>
      <c r="O467">
        <v>1</v>
      </c>
      <c r="P467">
        <v>0.08083252207959757</v>
      </c>
      <c r="Q467">
        <v>1.220401646920426</v>
      </c>
      <c r="R467" t="s">
        <v>785</v>
      </c>
      <c r="S467" t="s">
        <v>797</v>
      </c>
      <c r="T467">
        <v>1344.453465</v>
      </c>
      <c r="U467" s="2">
        <v>44497</v>
      </c>
      <c r="V467" t="s">
        <v>799</v>
      </c>
    </row>
    <row r="468" spans="1:22">
      <c r="A468" s="1" t="s">
        <v>488</v>
      </c>
      <c r="B468">
        <f>HYPERLINK("https://www.suredividend.com/sure-analysis-ERIC/","Telefonaktiebolaget L M Ericsson")</f>
        <v>0</v>
      </c>
      <c r="C468">
        <v>10.55</v>
      </c>
      <c r="D468">
        <v>12</v>
      </c>
      <c r="E468">
        <v>0.8791666666666668</v>
      </c>
      <c r="F468">
        <v>0.02180094786729858</v>
      </c>
      <c r="G468">
        <v>0.02609071392645257</v>
      </c>
      <c r="H468">
        <v>0.09</v>
      </c>
      <c r="I468">
        <v>0.1374398510198784</v>
      </c>
      <c r="J468" t="s">
        <v>530</v>
      </c>
      <c r="K468" t="s">
        <v>530</v>
      </c>
      <c r="L468">
        <v>0.75</v>
      </c>
      <c r="M468">
        <v>0.23</v>
      </c>
      <c r="N468">
        <v>0.3066666666666667</v>
      </c>
      <c r="O468">
        <v>2</v>
      </c>
      <c r="P468">
        <v>0.1170340997937203</v>
      </c>
      <c r="Q468">
        <v>-0.09686297051087701</v>
      </c>
      <c r="R468" t="s">
        <v>784</v>
      </c>
      <c r="S468" t="s">
        <v>791</v>
      </c>
      <c r="T468">
        <v>31860.743948</v>
      </c>
      <c r="U468" s="2">
        <v>44494</v>
      </c>
      <c r="V468" t="s">
        <v>807</v>
      </c>
    </row>
    <row r="469" spans="1:22">
      <c r="A469" s="1" t="s">
        <v>489</v>
      </c>
      <c r="B469">
        <f>HYPERLINK("https://www.suredividend.com/sure-analysis-TPR/","Tapestry Inc")</f>
        <v>0</v>
      </c>
      <c r="C469">
        <v>41.76</v>
      </c>
      <c r="D469">
        <v>53</v>
      </c>
      <c r="E469">
        <v>0.7879245283018868</v>
      </c>
      <c r="F469">
        <v>0.02394636015325671</v>
      </c>
      <c r="G469">
        <v>0.04882510912653237</v>
      </c>
      <c r="H469">
        <v>0.07000000000000001</v>
      </c>
      <c r="I469">
        <v>0.1369493870442597</v>
      </c>
      <c r="J469" t="s">
        <v>530</v>
      </c>
      <c r="K469" t="s">
        <v>530</v>
      </c>
      <c r="L469">
        <v>3.33</v>
      </c>
      <c r="M469">
        <v>1</v>
      </c>
      <c r="N469">
        <v>0.3003003003003003</v>
      </c>
      <c r="O469">
        <v>0</v>
      </c>
      <c r="P469">
        <v>0</v>
      </c>
      <c r="Q469">
        <v>0.481207571391693</v>
      </c>
      <c r="R469" t="s">
        <v>784</v>
      </c>
      <c r="S469" t="s">
        <v>792</v>
      </c>
      <c r="T469">
        <v>11682.557216</v>
      </c>
      <c r="U469" s="2">
        <v>44513</v>
      </c>
      <c r="V469" t="s">
        <v>802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8.359999999999999</v>
      </c>
      <c r="D470">
        <v>11.1</v>
      </c>
      <c r="E470">
        <v>0.7531531531531531</v>
      </c>
      <c r="F470">
        <v>0.0729665071770335</v>
      </c>
      <c r="G470">
        <v>0.05833544213634578</v>
      </c>
      <c r="H470">
        <v>0.02</v>
      </c>
      <c r="I470">
        <v>0.1357492328591487</v>
      </c>
      <c r="J470" t="s">
        <v>530</v>
      </c>
      <c r="K470" t="s">
        <v>781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0.274308398078497</v>
      </c>
      <c r="R470" t="s">
        <v>785</v>
      </c>
      <c r="S470" t="s">
        <v>797</v>
      </c>
      <c r="T470">
        <v>25423.01228</v>
      </c>
      <c r="U470" s="2">
        <v>44509</v>
      </c>
      <c r="V470" t="s">
        <v>807</v>
      </c>
    </row>
    <row r="471" spans="1:22">
      <c r="A471" s="1" t="s">
        <v>491</v>
      </c>
      <c r="B471">
        <f>HYPERLINK("https://www.suredividend.com/sure-analysis-PSX/","Phillips 66")</f>
        <v>0</v>
      </c>
      <c r="C471">
        <v>70.52</v>
      </c>
      <c r="D471">
        <v>84</v>
      </c>
      <c r="E471">
        <v>0.8395238095238095</v>
      </c>
      <c r="F471">
        <v>0.05218377765173001</v>
      </c>
      <c r="G471">
        <v>0.0356032304220042</v>
      </c>
      <c r="H471">
        <v>0.06</v>
      </c>
      <c r="I471">
        <v>0.1336710575730338</v>
      </c>
      <c r="J471" t="s">
        <v>530</v>
      </c>
      <c r="K471" t="s">
        <v>781</v>
      </c>
      <c r="L471">
        <v>4</v>
      </c>
      <c r="M471">
        <v>3.68</v>
      </c>
      <c r="N471">
        <v>0.92</v>
      </c>
      <c r="O471">
        <v>9</v>
      </c>
      <c r="P471">
        <v>0.02185013726867213</v>
      </c>
      <c r="Q471">
        <v>0.10253944154421</v>
      </c>
      <c r="R471" t="s">
        <v>784</v>
      </c>
      <c r="S471" t="s">
        <v>797</v>
      </c>
      <c r="T471">
        <v>30986.832309</v>
      </c>
      <c r="U471" s="2">
        <v>44501</v>
      </c>
      <c r="V471" t="s">
        <v>807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12.79</v>
      </c>
      <c r="D472">
        <v>16.3</v>
      </c>
      <c r="E472">
        <v>0.7846625766871165</v>
      </c>
      <c r="F472">
        <v>0.04691164972634871</v>
      </c>
      <c r="G472">
        <v>0.04969568509606992</v>
      </c>
      <c r="H472">
        <v>0.042</v>
      </c>
      <c r="I472">
        <v>0.1329537707328512</v>
      </c>
      <c r="J472" t="s">
        <v>530</v>
      </c>
      <c r="K472" t="s">
        <v>781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0.207848177831544</v>
      </c>
      <c r="R472" t="s">
        <v>786</v>
      </c>
      <c r="S472" t="s">
        <v>798</v>
      </c>
      <c r="T472">
        <v>3016.986984</v>
      </c>
      <c r="U472" s="2">
        <v>44509</v>
      </c>
      <c r="V472" t="s">
        <v>808</v>
      </c>
    </row>
    <row r="473" spans="1:22">
      <c r="A473" s="1" t="s">
        <v>493</v>
      </c>
      <c r="B473">
        <f>HYPERLINK("https://www.suredividend.com/sure-analysis-OPI/","Office Properties Income Trust")</f>
        <v>0</v>
      </c>
      <c r="C473">
        <v>23.46</v>
      </c>
      <c r="D473">
        <v>28</v>
      </c>
      <c r="E473">
        <v>0.8378571428571429</v>
      </c>
      <c r="F473">
        <v>0.0937766410912191</v>
      </c>
      <c r="G473">
        <v>0.03601490768383742</v>
      </c>
      <c r="H473">
        <v>0.03</v>
      </c>
      <c r="I473">
        <v>0.1312320250586756</v>
      </c>
      <c r="J473" t="s">
        <v>530</v>
      </c>
      <c r="K473" t="s">
        <v>781</v>
      </c>
      <c r="L473">
        <v>4.7</v>
      </c>
      <c r="M473">
        <v>2.2</v>
      </c>
      <c r="N473">
        <v>0.4680851063829787</v>
      </c>
      <c r="O473">
        <v>0</v>
      </c>
      <c r="P473">
        <v>0</v>
      </c>
      <c r="Q473">
        <v>0.05746480405399201</v>
      </c>
      <c r="R473" t="s">
        <v>786</v>
      </c>
      <c r="S473" t="s">
        <v>798</v>
      </c>
      <c r="T473">
        <v>1129.770764</v>
      </c>
      <c r="U473" s="2">
        <v>44510</v>
      </c>
      <c r="V473" t="s">
        <v>807</v>
      </c>
    </row>
    <row r="474" spans="1:22">
      <c r="A474" s="1" t="s">
        <v>494</v>
      </c>
      <c r="B474">
        <f>HYPERLINK("https://www.suredividend.com/sure-analysis-KRC/","Kilroy Realty Corp.")</f>
        <v>0</v>
      </c>
      <c r="C474">
        <v>67.14</v>
      </c>
      <c r="D474">
        <v>75</v>
      </c>
      <c r="E474">
        <v>0.8952</v>
      </c>
      <c r="F474">
        <v>0.03098004170390229</v>
      </c>
      <c r="G474">
        <v>0.02238856938217859</v>
      </c>
      <c r="H474">
        <v>0.07000000000000001</v>
      </c>
      <c r="I474">
        <v>0.1306195181534757</v>
      </c>
      <c r="J474" t="s">
        <v>530</v>
      </c>
      <c r="K474" t="s">
        <v>530</v>
      </c>
      <c r="L474">
        <v>3.77</v>
      </c>
      <c r="M474">
        <v>2.08</v>
      </c>
      <c r="N474">
        <v>0.5517241379310345</v>
      </c>
      <c r="O474">
        <v>6</v>
      </c>
      <c r="P474">
        <v>0.2052536834036616</v>
      </c>
      <c r="Q474">
        <v>0.163410209177046</v>
      </c>
      <c r="R474" t="s">
        <v>786</v>
      </c>
      <c r="S474" t="s">
        <v>798</v>
      </c>
      <c r="T474">
        <v>7781.969658</v>
      </c>
      <c r="U474" s="2">
        <v>44498</v>
      </c>
      <c r="V474" t="s">
        <v>802</v>
      </c>
    </row>
    <row r="475" spans="1:22">
      <c r="A475" s="1" t="s">
        <v>495</v>
      </c>
      <c r="B475">
        <f>HYPERLINK("https://www.suredividend.com/sure-analysis-AZN/","Astrazeneca plc")</f>
        <v>0</v>
      </c>
      <c r="C475">
        <v>55.72</v>
      </c>
      <c r="D475">
        <v>78</v>
      </c>
      <c r="E475">
        <v>0.7143589743589743</v>
      </c>
      <c r="F475">
        <v>0.02512562814070352</v>
      </c>
      <c r="G475">
        <v>0.06958843634950984</v>
      </c>
      <c r="H475">
        <v>0.04</v>
      </c>
      <c r="I475">
        <v>0.1283184770804346</v>
      </c>
      <c r="J475" t="s">
        <v>530</v>
      </c>
      <c r="K475" t="s">
        <v>530</v>
      </c>
      <c r="L475">
        <v>5.23</v>
      </c>
      <c r="M475">
        <v>1.4</v>
      </c>
      <c r="N475">
        <v>0.2676864244741873</v>
      </c>
      <c r="O475">
        <v>0</v>
      </c>
      <c r="P475">
        <v>0</v>
      </c>
      <c r="Q475">
        <v>0.119298764458464</v>
      </c>
      <c r="R475" t="s">
        <v>784</v>
      </c>
      <c r="S475" t="s">
        <v>789</v>
      </c>
      <c r="T475">
        <v>168853.658061</v>
      </c>
      <c r="U475" s="2">
        <v>44514</v>
      </c>
      <c r="V475" t="s">
        <v>800</v>
      </c>
    </row>
    <row r="476" spans="1:22">
      <c r="A476" s="1" t="s">
        <v>496</v>
      </c>
      <c r="B476">
        <f>HYPERLINK("https://www.suredividend.com/sure-analysis-SLG/","SL Green Realty Corp.")</f>
        <v>0</v>
      </c>
      <c r="C476">
        <v>71.56999999999999</v>
      </c>
      <c r="D476">
        <v>86</v>
      </c>
      <c r="E476">
        <v>0.8322093023255813</v>
      </c>
      <c r="F476">
        <v>0.0521168087187369</v>
      </c>
      <c r="G476">
        <v>0.03741730186562453</v>
      </c>
      <c r="H476">
        <v>0.05</v>
      </c>
      <c r="I476">
        <v>0.12743964509737</v>
      </c>
      <c r="J476" t="s">
        <v>530</v>
      </c>
      <c r="K476" t="s">
        <v>781</v>
      </c>
      <c r="L476">
        <v>6.6</v>
      </c>
      <c r="M476">
        <v>3.73</v>
      </c>
      <c r="N476">
        <v>0.5651515151515152</v>
      </c>
      <c r="O476">
        <v>11</v>
      </c>
      <c r="P476">
        <v>0.03359111873454657</v>
      </c>
      <c r="Q476">
        <v>0.243561596829031</v>
      </c>
      <c r="R476" t="s">
        <v>786</v>
      </c>
      <c r="S476" t="s">
        <v>798</v>
      </c>
      <c r="T476">
        <v>4739.595796</v>
      </c>
      <c r="U476" s="2">
        <v>44494</v>
      </c>
      <c r="V476" t="s">
        <v>807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44.18</v>
      </c>
      <c r="D477">
        <v>90</v>
      </c>
      <c r="E477">
        <v>0.4908888888888889</v>
      </c>
      <c r="F477">
        <v>0.07650520597555455</v>
      </c>
      <c r="G477">
        <v>0.1529311139752705</v>
      </c>
      <c r="H477">
        <v>-0.06</v>
      </c>
      <c r="I477">
        <v>0.1264834538111532</v>
      </c>
      <c r="J477" t="s">
        <v>530</v>
      </c>
      <c r="K477" t="s">
        <v>781</v>
      </c>
      <c r="L477">
        <v>7.5</v>
      </c>
      <c r="M477">
        <v>3.38</v>
      </c>
      <c r="N477">
        <v>0.4506666666666667</v>
      </c>
      <c r="O477">
        <v>0</v>
      </c>
      <c r="P477">
        <v>-0.06004514349274603</v>
      </c>
      <c r="Q477">
        <v>0.548331638589833</v>
      </c>
      <c r="R477" t="s">
        <v>784</v>
      </c>
      <c r="S477" t="s">
        <v>797</v>
      </c>
      <c r="T477">
        <v>9348.92259</v>
      </c>
      <c r="U477" s="2">
        <v>44522</v>
      </c>
      <c r="V477" t="s">
        <v>807</v>
      </c>
    </row>
    <row r="478" spans="1:22">
      <c r="A478" s="1" t="s">
        <v>498</v>
      </c>
      <c r="B478">
        <f>HYPERLINK("https://www.suredividend.com/sure-analysis-BAYRY/","Bayer AG")</f>
        <v>0</v>
      </c>
      <c r="C478">
        <v>13</v>
      </c>
      <c r="D478">
        <v>17</v>
      </c>
      <c r="E478">
        <v>0.7647058823529411</v>
      </c>
      <c r="F478">
        <v>0.04615384615384615</v>
      </c>
      <c r="G478">
        <v>0.05511819868320456</v>
      </c>
      <c r="H478">
        <v>0.035</v>
      </c>
      <c r="I478">
        <v>0.1263801807063927</v>
      </c>
      <c r="J478" t="s">
        <v>530</v>
      </c>
      <c r="K478" t="s">
        <v>781</v>
      </c>
      <c r="L478">
        <v>1.86</v>
      </c>
      <c r="M478">
        <v>0.6</v>
      </c>
      <c r="N478">
        <v>0.3225806451612903</v>
      </c>
      <c r="O478">
        <v>0</v>
      </c>
      <c r="P478">
        <v>0.04000235313991807</v>
      </c>
      <c r="Q478">
        <v>-0.08695652173913</v>
      </c>
      <c r="R478" t="s">
        <v>784</v>
      </c>
      <c r="S478" t="s">
        <v>789</v>
      </c>
      <c r="T478">
        <v>51164.646191</v>
      </c>
      <c r="U478" s="2">
        <v>44519</v>
      </c>
      <c r="V478" t="s">
        <v>801</v>
      </c>
    </row>
    <row r="479" spans="1:22">
      <c r="A479" s="1" t="s">
        <v>499</v>
      </c>
      <c r="B479">
        <f>HYPERLINK("https://www.suredividend.com/sure-analysis-NYCB/","New York Community Bancorp Inc.")</f>
        <v>0</v>
      </c>
      <c r="C479">
        <v>11.74</v>
      </c>
      <c r="D479">
        <v>14</v>
      </c>
      <c r="E479">
        <v>0.8385714285714286</v>
      </c>
      <c r="F479">
        <v>0.05792163543441227</v>
      </c>
      <c r="G479">
        <v>0.03583835434916383</v>
      </c>
      <c r="H479">
        <v>0.05</v>
      </c>
      <c r="I479">
        <v>0.1261894991500923</v>
      </c>
      <c r="J479" t="s">
        <v>530</v>
      </c>
      <c r="K479" t="s">
        <v>349</v>
      </c>
      <c r="L479">
        <v>1.25</v>
      </c>
      <c r="M479">
        <v>0.68</v>
      </c>
      <c r="N479">
        <v>0.544</v>
      </c>
      <c r="O479">
        <v>0</v>
      </c>
      <c r="P479">
        <v>0</v>
      </c>
      <c r="Q479">
        <v>0.241807519834425</v>
      </c>
      <c r="R479" t="s">
        <v>784</v>
      </c>
      <c r="S479" t="s">
        <v>794</v>
      </c>
      <c r="T479">
        <v>5524.447092</v>
      </c>
      <c r="U479" s="2">
        <v>44512</v>
      </c>
      <c r="V479" t="s">
        <v>804</v>
      </c>
    </row>
    <row r="480" spans="1:22">
      <c r="A480" s="1" t="s">
        <v>500</v>
      </c>
      <c r="B480">
        <f>HYPERLINK("https://www.suredividend.com/sure-analysis-TS/","Tenaris S.A.")</f>
        <v>0</v>
      </c>
      <c r="C480">
        <v>20.36</v>
      </c>
      <c r="D480">
        <v>25</v>
      </c>
      <c r="E480">
        <v>0.8144</v>
      </c>
      <c r="F480">
        <v>0.02554027504911591</v>
      </c>
      <c r="G480">
        <v>0.04191537564135439</v>
      </c>
      <c r="H480">
        <v>0.06</v>
      </c>
      <c r="I480">
        <v>0.1210864040025013</v>
      </c>
      <c r="J480" t="s">
        <v>530</v>
      </c>
      <c r="K480" t="s">
        <v>530</v>
      </c>
      <c r="L480">
        <v>1.45</v>
      </c>
      <c r="M480">
        <v>0.52</v>
      </c>
      <c r="N480">
        <v>0.3586206896551725</v>
      </c>
      <c r="O480">
        <v>0</v>
      </c>
      <c r="P480">
        <v>0</v>
      </c>
      <c r="Q480">
        <v>0.282561585069214</v>
      </c>
      <c r="R480" t="s">
        <v>784</v>
      </c>
      <c r="S480" t="s">
        <v>797</v>
      </c>
      <c r="T480">
        <v>11982.448825</v>
      </c>
      <c r="U480" s="2">
        <v>44522</v>
      </c>
      <c r="V480" t="s">
        <v>804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18.59</v>
      </c>
      <c r="D481">
        <v>19.95</v>
      </c>
      <c r="E481">
        <v>0.9318295739348371</v>
      </c>
      <c r="F481">
        <v>0.04841312533620226</v>
      </c>
      <c r="G481">
        <v>0.01422124156813509</v>
      </c>
      <c r="H481">
        <v>0.065</v>
      </c>
      <c r="I481">
        <v>0.1207029379199089</v>
      </c>
      <c r="J481" t="s">
        <v>530</v>
      </c>
      <c r="K481" t="s">
        <v>781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0.108458186593445</v>
      </c>
      <c r="R481" t="s">
        <v>784</v>
      </c>
      <c r="S481" t="s">
        <v>794</v>
      </c>
      <c r="T481">
        <v>36074.777595</v>
      </c>
      <c r="U481" s="2">
        <v>44511</v>
      </c>
      <c r="V481" t="s">
        <v>799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99.43000000000001</v>
      </c>
      <c r="D482">
        <v>98</v>
      </c>
      <c r="E482">
        <v>1.014591836734694</v>
      </c>
      <c r="F482">
        <v>0.02816051493513024</v>
      </c>
      <c r="G482">
        <v>-0.002893086998869032</v>
      </c>
      <c r="H482">
        <v>0.1</v>
      </c>
      <c r="I482">
        <v>0.1204212036211096</v>
      </c>
      <c r="J482" t="s">
        <v>530</v>
      </c>
      <c r="K482" t="s">
        <v>530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0.6350586218649791</v>
      </c>
      <c r="R482" t="s">
        <v>784</v>
      </c>
      <c r="S482" t="s">
        <v>794</v>
      </c>
      <c r="T482">
        <v>177323.789294</v>
      </c>
      <c r="U482" s="2">
        <v>44483</v>
      </c>
      <c r="V482" t="s">
        <v>799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54.04</v>
      </c>
      <c r="D483">
        <v>117</v>
      </c>
      <c r="E483">
        <v>0.4618803418803419</v>
      </c>
      <c r="F483">
        <v>0.05181347150259067</v>
      </c>
      <c r="G483">
        <v>0.167062472391958</v>
      </c>
      <c r="H483">
        <v>-0.07000000000000001</v>
      </c>
      <c r="I483">
        <v>0.1203727708967508</v>
      </c>
      <c r="J483" t="s">
        <v>530</v>
      </c>
      <c r="K483" t="s">
        <v>781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0.061296365237225</v>
      </c>
      <c r="R483" t="s">
        <v>784</v>
      </c>
      <c r="S483" t="s">
        <v>793</v>
      </c>
      <c r="T483">
        <v>39850.424519</v>
      </c>
      <c r="U483" s="2">
        <v>44498</v>
      </c>
      <c r="V483" t="s">
        <v>804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28.78</v>
      </c>
      <c r="D484">
        <v>39</v>
      </c>
      <c r="E484">
        <v>0.737948717948718</v>
      </c>
      <c r="F484">
        <v>0.03822098679638638</v>
      </c>
      <c r="G484">
        <v>0.06266105226730878</v>
      </c>
      <c r="H484">
        <v>0.03</v>
      </c>
      <c r="I484">
        <v>0.1199624372367996</v>
      </c>
      <c r="J484" t="s">
        <v>530</v>
      </c>
      <c r="K484" t="s">
        <v>349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0.117546609823363</v>
      </c>
      <c r="R484" t="s">
        <v>784</v>
      </c>
      <c r="S484" t="s">
        <v>794</v>
      </c>
      <c r="T484">
        <v>116956.054332</v>
      </c>
      <c r="U484" s="2">
        <v>44495</v>
      </c>
      <c r="V484" t="s">
        <v>802</v>
      </c>
    </row>
    <row r="485" spans="1:22">
      <c r="A485" s="1" t="s">
        <v>505</v>
      </c>
      <c r="B485">
        <f>HYPERLINK("https://www.suredividend.com/sure-analysis-SMFG/","Sumitomo Mitsui Financial Group Inc")</f>
        <v>0</v>
      </c>
      <c r="C485">
        <v>6.87</v>
      </c>
      <c r="D485">
        <v>9.35</v>
      </c>
      <c r="E485">
        <v>0.7347593582887701</v>
      </c>
      <c r="F485">
        <v>0.04949053857350801</v>
      </c>
      <c r="G485">
        <v>0.06358199024190769</v>
      </c>
      <c r="H485">
        <v>0.02</v>
      </c>
      <c r="I485">
        <v>0.1195447008804724</v>
      </c>
      <c r="J485" t="s">
        <v>530</v>
      </c>
      <c r="K485" t="s">
        <v>781</v>
      </c>
      <c r="L485">
        <v>0.85</v>
      </c>
      <c r="M485">
        <v>0.34</v>
      </c>
      <c r="N485">
        <v>0.4</v>
      </c>
      <c r="O485">
        <v>0</v>
      </c>
      <c r="P485">
        <v>0.01149727415513624</v>
      </c>
      <c r="Q485">
        <v>0.169790669038172</v>
      </c>
      <c r="R485" t="s">
        <v>784</v>
      </c>
      <c r="S485" t="s">
        <v>794</v>
      </c>
      <c r="T485">
        <v>47003.183888</v>
      </c>
      <c r="U485" s="2">
        <v>44528</v>
      </c>
      <c r="V485" t="s">
        <v>804</v>
      </c>
    </row>
    <row r="486" spans="1:22">
      <c r="A486" s="1" t="s">
        <v>506</v>
      </c>
      <c r="B486">
        <f>HYPERLINK("https://www.suredividend.com/sure-analysis-TAP/","Molson Coors Beverage Company")</f>
        <v>0</v>
      </c>
      <c r="C486">
        <v>44.92</v>
      </c>
      <c r="D486">
        <v>58</v>
      </c>
      <c r="E486">
        <v>0.7744827586206897</v>
      </c>
      <c r="F486">
        <v>0.03027604630454141</v>
      </c>
      <c r="G486">
        <v>0.05244073493141643</v>
      </c>
      <c r="H486">
        <v>0.04</v>
      </c>
      <c r="I486">
        <v>0.1172962765657217</v>
      </c>
      <c r="J486" t="s">
        <v>530</v>
      </c>
      <c r="K486" t="s">
        <v>530</v>
      </c>
      <c r="L486">
        <v>4.15</v>
      </c>
      <c r="M486">
        <v>1.36</v>
      </c>
      <c r="N486">
        <v>0.327710843373494</v>
      </c>
      <c r="O486">
        <v>0</v>
      </c>
      <c r="P486">
        <v>0.03941506521508265</v>
      </c>
      <c r="Q486">
        <v>0.014001936485058</v>
      </c>
      <c r="R486" t="s">
        <v>784</v>
      </c>
      <c r="S486" t="s">
        <v>795</v>
      </c>
      <c r="T486">
        <v>9954.661897</v>
      </c>
      <c r="U486" s="2">
        <v>44500</v>
      </c>
      <c r="V486" t="s">
        <v>803</v>
      </c>
    </row>
    <row r="487" spans="1:22">
      <c r="A487" s="1" t="s">
        <v>507</v>
      </c>
      <c r="B487">
        <f>HYPERLINK("https://www.suredividend.com/sure-analysis-NTR/","Nutrien Ltd")</f>
        <v>0</v>
      </c>
      <c r="C487">
        <v>70.94</v>
      </c>
      <c r="D487">
        <v>102</v>
      </c>
      <c r="E487">
        <v>0.6954901960784313</v>
      </c>
      <c r="F487">
        <v>0.02593741189737807</v>
      </c>
      <c r="G487">
        <v>0.07533008771646443</v>
      </c>
      <c r="H487">
        <v>0.02</v>
      </c>
      <c r="I487">
        <v>0.115226250057465</v>
      </c>
      <c r="J487" t="s">
        <v>530</v>
      </c>
      <c r="K487" t="s">
        <v>530</v>
      </c>
      <c r="L487">
        <v>5.98</v>
      </c>
      <c r="M487">
        <v>1.84</v>
      </c>
      <c r="N487">
        <v>0.3076923076923077</v>
      </c>
      <c r="O487">
        <v>3</v>
      </c>
      <c r="P487">
        <v>0.01984845658885503</v>
      </c>
      <c r="Q487">
        <v>0.466753585397653</v>
      </c>
      <c r="R487" t="s">
        <v>784</v>
      </c>
      <c r="S487" t="s">
        <v>793</v>
      </c>
      <c r="T487">
        <v>39406.362811</v>
      </c>
      <c r="U487" s="2">
        <v>44522</v>
      </c>
      <c r="V487" t="s">
        <v>802</v>
      </c>
    </row>
    <row r="488" spans="1:22">
      <c r="A488" s="1" t="s">
        <v>508</v>
      </c>
      <c r="B488">
        <f>HYPERLINK("https://www.suredividend.com/sure-analysis-TGP/","Teekay LNG Partners LP")</f>
        <v>0</v>
      </c>
      <c r="C488">
        <v>16.92</v>
      </c>
      <c r="D488">
        <v>18.5</v>
      </c>
      <c r="E488">
        <v>0.9145945945945947</v>
      </c>
      <c r="F488">
        <v>0.06796690307328604</v>
      </c>
      <c r="G488">
        <v>0.01801522680093859</v>
      </c>
      <c r="H488">
        <v>0.04</v>
      </c>
      <c r="I488">
        <v>0.113691332737367</v>
      </c>
      <c r="J488" t="s">
        <v>530</v>
      </c>
      <c r="K488" t="s">
        <v>781</v>
      </c>
      <c r="L488">
        <v>3.7</v>
      </c>
      <c r="M488">
        <v>1.15</v>
      </c>
      <c r="N488">
        <v>0.3108108108108107</v>
      </c>
      <c r="O488">
        <v>3</v>
      </c>
      <c r="P488">
        <v>0.04012620718096094</v>
      </c>
      <c r="Q488">
        <v>0.5074033818577051</v>
      </c>
      <c r="R488" t="s">
        <v>785</v>
      </c>
      <c r="S488" t="s">
        <v>797</v>
      </c>
      <c r="T488">
        <v>1471.214879</v>
      </c>
      <c r="U488" s="2">
        <v>44515</v>
      </c>
      <c r="V488" t="s">
        <v>799</v>
      </c>
    </row>
    <row r="489" spans="1:22">
      <c r="A489" s="1" t="s">
        <v>509</v>
      </c>
      <c r="B489">
        <f>HYPERLINK("https://www.suredividend.com/sure-analysis-HAS/","Hasbro, Inc.")</f>
        <v>0</v>
      </c>
      <c r="C489">
        <v>101.4</v>
      </c>
      <c r="D489">
        <v>102</v>
      </c>
      <c r="E489">
        <v>0.9941176470588236</v>
      </c>
      <c r="F489">
        <v>0.02682445759368836</v>
      </c>
      <c r="G489">
        <v>0.00118064083374203</v>
      </c>
      <c r="H489">
        <v>0.09</v>
      </c>
      <c r="I489">
        <v>0.1123955836574235</v>
      </c>
      <c r="J489" t="s">
        <v>530</v>
      </c>
      <c r="K489" t="s">
        <v>530</v>
      </c>
      <c r="L489">
        <v>4.85</v>
      </c>
      <c r="M489">
        <v>2.72</v>
      </c>
      <c r="N489">
        <v>0.5608247422680414</v>
      </c>
      <c r="O489">
        <v>0</v>
      </c>
      <c r="P489">
        <v>0.04991010133745877</v>
      </c>
      <c r="Q489">
        <v>0.145849263757609</v>
      </c>
      <c r="R489" t="s">
        <v>784</v>
      </c>
      <c r="S489" t="s">
        <v>792</v>
      </c>
      <c r="T489">
        <v>13849.869362</v>
      </c>
      <c r="U489" s="2">
        <v>44512</v>
      </c>
      <c r="V489" t="s">
        <v>804</v>
      </c>
    </row>
    <row r="490" spans="1:22">
      <c r="A490" s="1" t="s">
        <v>510</v>
      </c>
      <c r="B490">
        <f>HYPERLINK("https://www.suredividend.com/sure-analysis-TRST/","Trustco Bank Corp.")</f>
        <v>0</v>
      </c>
      <c r="C490">
        <v>32</v>
      </c>
      <c r="D490">
        <v>39</v>
      </c>
      <c r="E490">
        <v>0.8205128205128205</v>
      </c>
      <c r="F490">
        <v>0.0425</v>
      </c>
      <c r="G490">
        <v>0.0403582746309219</v>
      </c>
      <c r="H490">
        <v>0.04</v>
      </c>
      <c r="I490">
        <v>0.1121988310096826</v>
      </c>
      <c r="J490" t="s">
        <v>530</v>
      </c>
      <c r="K490" t="s">
        <v>349</v>
      </c>
      <c r="L490">
        <v>3.09</v>
      </c>
      <c r="M490">
        <v>1.36</v>
      </c>
      <c r="N490">
        <v>0.4401294498381877</v>
      </c>
      <c r="O490">
        <v>0</v>
      </c>
      <c r="P490">
        <v>0.0100884981090783</v>
      </c>
      <c r="Q490">
        <v>0.05322562652159901</v>
      </c>
      <c r="R490" t="s">
        <v>784</v>
      </c>
      <c r="S490" t="s">
        <v>794</v>
      </c>
      <c r="T490">
        <v>616.9138819999999</v>
      </c>
      <c r="U490" s="2">
        <v>44493</v>
      </c>
      <c r="V490" t="s">
        <v>805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33.9</v>
      </c>
      <c r="D491">
        <v>41</v>
      </c>
      <c r="E491">
        <v>0.8268292682926829</v>
      </c>
      <c r="F491">
        <v>0.03893805309734514</v>
      </c>
      <c r="G491">
        <v>0.03876386042047852</v>
      </c>
      <c r="H491">
        <v>0.04</v>
      </c>
      <c r="I491">
        <v>0.1115679883576151</v>
      </c>
      <c r="J491" t="s">
        <v>530</v>
      </c>
      <c r="K491" t="s">
        <v>349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0.202939417848083</v>
      </c>
      <c r="R491" t="s">
        <v>784</v>
      </c>
      <c r="S491" t="s">
        <v>794</v>
      </c>
      <c r="T491">
        <v>2149.836524</v>
      </c>
      <c r="U491" s="2">
        <v>44498</v>
      </c>
      <c r="V491" t="s">
        <v>805</v>
      </c>
    </row>
    <row r="492" spans="1:22">
      <c r="A492" s="1" t="s">
        <v>512</v>
      </c>
      <c r="B492">
        <f>HYPERLINK("https://www.suredividend.com/sure-analysis-BP/","BP plc")</f>
        <v>0</v>
      </c>
      <c r="C492">
        <v>26.62</v>
      </c>
      <c r="D492">
        <v>42</v>
      </c>
      <c r="E492">
        <v>0.6338095238095238</v>
      </c>
      <c r="F492">
        <v>0.04921111945905334</v>
      </c>
      <c r="G492">
        <v>0.09548957199597363</v>
      </c>
      <c r="H492">
        <v>-0.02</v>
      </c>
      <c r="I492">
        <v>0.1113623223116034</v>
      </c>
      <c r="J492" t="s">
        <v>530</v>
      </c>
      <c r="K492" t="s">
        <v>781</v>
      </c>
      <c r="L492">
        <v>3.5</v>
      </c>
      <c r="M492">
        <v>1.31</v>
      </c>
      <c r="N492">
        <v>0.3742857142857143</v>
      </c>
      <c r="O492">
        <v>0</v>
      </c>
      <c r="P492">
        <v>0.03018318869451253</v>
      </c>
      <c r="Q492">
        <v>0.30620237035142</v>
      </c>
      <c r="R492" t="s">
        <v>784</v>
      </c>
      <c r="S492" t="s">
        <v>797</v>
      </c>
      <c r="T492">
        <v>87417.814451</v>
      </c>
      <c r="U492" s="2">
        <v>44512</v>
      </c>
      <c r="V492" t="s">
        <v>807</v>
      </c>
    </row>
    <row r="493" spans="1:22">
      <c r="A493" s="1" t="s">
        <v>513</v>
      </c>
      <c r="B493">
        <f>HYPERLINK("https://www.suredividend.com/sure-analysis-PGRE/","Paramount Group Inc")</f>
        <v>0</v>
      </c>
      <c r="C493">
        <v>8.449999999999999</v>
      </c>
      <c r="D493">
        <v>11</v>
      </c>
      <c r="E493">
        <v>0.7681818181818181</v>
      </c>
      <c r="F493">
        <v>0.03313609467455622</v>
      </c>
      <c r="G493">
        <v>0.05416160762790256</v>
      </c>
      <c r="H493">
        <v>0.03</v>
      </c>
      <c r="I493">
        <v>0.1091119523722446</v>
      </c>
      <c r="J493" t="s">
        <v>530</v>
      </c>
      <c r="K493" t="s">
        <v>349</v>
      </c>
      <c r="L493">
        <v>0.91</v>
      </c>
      <c r="M493">
        <v>0.28</v>
      </c>
      <c r="N493">
        <v>0.3076923076923077</v>
      </c>
      <c r="O493">
        <v>0</v>
      </c>
      <c r="P493">
        <v>0.007042949693310208</v>
      </c>
      <c r="Q493">
        <v>-0.055313998834551</v>
      </c>
      <c r="R493" t="s">
        <v>786</v>
      </c>
      <c r="S493" t="s">
        <v>798</v>
      </c>
      <c r="T493">
        <v>1845.802503</v>
      </c>
      <c r="U493" s="2">
        <v>44498</v>
      </c>
      <c r="V493" t="s">
        <v>805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42.75</v>
      </c>
      <c r="D494">
        <v>56</v>
      </c>
      <c r="E494">
        <v>0.7633928571428571</v>
      </c>
      <c r="F494">
        <v>0.04491228070175438</v>
      </c>
      <c r="G494">
        <v>0.05548090698434249</v>
      </c>
      <c r="H494">
        <v>0.01</v>
      </c>
      <c r="I494">
        <v>0.1067609369354772</v>
      </c>
      <c r="J494" t="s">
        <v>530</v>
      </c>
      <c r="K494" t="s">
        <v>349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0.281680552794394</v>
      </c>
      <c r="R494" t="s">
        <v>784</v>
      </c>
      <c r="S494" t="s">
        <v>797</v>
      </c>
      <c r="T494">
        <v>166369.511998</v>
      </c>
      <c r="U494" s="2">
        <v>44502</v>
      </c>
      <c r="V494" t="s">
        <v>807</v>
      </c>
    </row>
    <row r="495" spans="1:22">
      <c r="A495" s="1" t="s">
        <v>515</v>
      </c>
      <c r="B495">
        <f>HYPERLINK("https://www.suredividend.com/sure-analysis-IMBBY/","Imperial Brands Plc")</f>
        <v>0</v>
      </c>
      <c r="C495">
        <v>21.135</v>
      </c>
      <c r="D495">
        <v>22</v>
      </c>
      <c r="E495">
        <v>0.9606818181818183</v>
      </c>
      <c r="F495">
        <v>0.08942512420156137</v>
      </c>
      <c r="G495">
        <v>0.008054669574953044</v>
      </c>
      <c r="H495">
        <v>0.03</v>
      </c>
      <c r="I495">
        <v>0.1058570719287668</v>
      </c>
      <c r="J495" t="s">
        <v>530</v>
      </c>
      <c r="K495" t="s">
        <v>781</v>
      </c>
      <c r="L495">
        <v>3.32</v>
      </c>
      <c r="M495">
        <v>1.89</v>
      </c>
      <c r="N495">
        <v>0.5692771084337349</v>
      </c>
      <c r="O495">
        <v>0</v>
      </c>
      <c r="P495">
        <v>0</v>
      </c>
      <c r="Q495">
        <v>0.106047016123985</v>
      </c>
      <c r="R495" t="s">
        <v>784</v>
      </c>
      <c r="S495" t="s">
        <v>795</v>
      </c>
      <c r="T495">
        <v>20073.315822</v>
      </c>
      <c r="U495" s="2">
        <v>44516</v>
      </c>
      <c r="V495" t="s">
        <v>800</v>
      </c>
    </row>
    <row r="496" spans="1:22">
      <c r="A496" s="1" t="s">
        <v>516</v>
      </c>
      <c r="B496">
        <f>HYPERLINK("https://www.suredividend.com/sure-analysis-ITUB/","Itau Unibanco Holding S.A.")</f>
        <v>0</v>
      </c>
      <c r="C496">
        <v>3.75</v>
      </c>
      <c r="D496">
        <v>4.9</v>
      </c>
      <c r="E496">
        <v>0.7653061224489796</v>
      </c>
      <c r="F496">
        <v>0.048</v>
      </c>
      <c r="G496">
        <v>0.05495263799739813</v>
      </c>
      <c r="H496">
        <v>0.015</v>
      </c>
      <c r="I496">
        <v>0.1050274092227097</v>
      </c>
      <c r="J496" t="s">
        <v>530</v>
      </c>
      <c r="K496" t="s">
        <v>781</v>
      </c>
      <c r="L496">
        <v>0.49</v>
      </c>
      <c r="M496">
        <v>0.18</v>
      </c>
      <c r="N496">
        <v>0.3673469387755102</v>
      </c>
      <c r="O496">
        <v>0</v>
      </c>
      <c r="P496">
        <v>0</v>
      </c>
      <c r="Q496">
        <v>-0.228823493121105</v>
      </c>
      <c r="R496" t="s">
        <v>784</v>
      </c>
      <c r="S496" t="s">
        <v>794</v>
      </c>
      <c r="T496">
        <v>18171.918709</v>
      </c>
      <c r="U496" s="2">
        <v>44529</v>
      </c>
      <c r="V496" t="s">
        <v>802</v>
      </c>
    </row>
    <row r="497" spans="1:22">
      <c r="A497" s="1" t="s">
        <v>517</v>
      </c>
      <c r="B497">
        <f>HYPERLINK("https://www.suredividend.com/sure-analysis-DRI/","Darden Restaurants, Inc.")</f>
        <v>0</v>
      </c>
      <c r="C497">
        <v>149.03</v>
      </c>
      <c r="D497">
        <v>148</v>
      </c>
      <c r="E497">
        <v>1.00695945945946</v>
      </c>
      <c r="F497">
        <v>0.02952425686103469</v>
      </c>
      <c r="G497">
        <v>-0.001386109301185878</v>
      </c>
      <c r="H497">
        <v>0.08</v>
      </c>
      <c r="I497">
        <v>0.1048497540951132</v>
      </c>
      <c r="J497" t="s">
        <v>530</v>
      </c>
      <c r="K497" t="s">
        <v>530</v>
      </c>
      <c r="L497">
        <v>7.42</v>
      </c>
      <c r="M497">
        <v>4.4</v>
      </c>
      <c r="N497">
        <v>0.5929919137466307</v>
      </c>
      <c r="O497">
        <v>1</v>
      </c>
      <c r="P497">
        <v>0.08016554685867416</v>
      </c>
      <c r="Q497">
        <v>0.347044955694658</v>
      </c>
      <c r="R497" t="s">
        <v>784</v>
      </c>
      <c r="S497" t="s">
        <v>792</v>
      </c>
      <c r="T497">
        <v>19354.837497</v>
      </c>
      <c r="U497" s="2">
        <v>44464</v>
      </c>
      <c r="V497" t="s">
        <v>802</v>
      </c>
    </row>
    <row r="498" spans="1:22">
      <c r="A498" s="1" t="s">
        <v>518</v>
      </c>
      <c r="B498">
        <f>HYPERLINK("https://www.suredividend.com/sure-analysis-WEN/","Wendy`s Co")</f>
        <v>0</v>
      </c>
      <c r="C498">
        <v>22.31</v>
      </c>
      <c r="D498">
        <v>24</v>
      </c>
      <c r="E498">
        <v>0.9295833333333333</v>
      </c>
      <c r="F498">
        <v>0.02151501568803227</v>
      </c>
      <c r="G498">
        <v>0.01471092033910715</v>
      </c>
      <c r="H498">
        <v>0.07000000000000001</v>
      </c>
      <c r="I498">
        <v>0.1041050856190999</v>
      </c>
      <c r="J498" t="s">
        <v>530</v>
      </c>
      <c r="K498" t="s">
        <v>782</v>
      </c>
      <c r="L498">
        <v>0.8</v>
      </c>
      <c r="M498">
        <v>0.48</v>
      </c>
      <c r="N498">
        <v>0.6</v>
      </c>
      <c r="O498">
        <v>1</v>
      </c>
      <c r="P498">
        <v>0.06897294358221773</v>
      </c>
      <c r="Q498">
        <v>0.00226155984051</v>
      </c>
      <c r="R498" t="s">
        <v>784</v>
      </c>
      <c r="S498" t="s">
        <v>792</v>
      </c>
      <c r="T498">
        <v>4869.401914</v>
      </c>
      <c r="U498" s="2">
        <v>44513</v>
      </c>
      <c r="V498" t="s">
        <v>805</v>
      </c>
    </row>
    <row r="499" spans="1:22">
      <c r="A499" s="1" t="s">
        <v>519</v>
      </c>
      <c r="B499">
        <f>HYPERLINK("https://www.suredividend.com/sure-analysis-RF/","Regions Financial Corp.")</f>
        <v>0</v>
      </c>
      <c r="C499">
        <v>21.87</v>
      </c>
      <c r="D499">
        <v>26</v>
      </c>
      <c r="E499">
        <v>0.8411538461538461</v>
      </c>
      <c r="F499">
        <v>0.03109282121627801</v>
      </c>
      <c r="G499">
        <v>0.03520154855897295</v>
      </c>
      <c r="H499">
        <v>0.04</v>
      </c>
      <c r="I499">
        <v>0.1022544286386247</v>
      </c>
      <c r="J499" t="s">
        <v>530</v>
      </c>
      <c r="K499" t="s">
        <v>349</v>
      </c>
      <c r="L499">
        <v>2.4</v>
      </c>
      <c r="M499">
        <v>0.68</v>
      </c>
      <c r="N499">
        <v>0.2833333333333334</v>
      </c>
      <c r="O499">
        <v>0</v>
      </c>
      <c r="P499">
        <v>0.0505145404837426</v>
      </c>
      <c r="Q499">
        <v>0.485236086542386</v>
      </c>
      <c r="R499" t="s">
        <v>784</v>
      </c>
      <c r="S499" t="s">
        <v>794</v>
      </c>
      <c r="T499">
        <v>20810.15966</v>
      </c>
      <c r="U499" s="2">
        <v>44491</v>
      </c>
      <c r="V499" t="s">
        <v>801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73.42</v>
      </c>
      <c r="D500">
        <v>65</v>
      </c>
      <c r="E500">
        <v>1.129538461538462</v>
      </c>
      <c r="F500">
        <v>0.009261781530918006</v>
      </c>
      <c r="G500">
        <v>-0.02406746763597789</v>
      </c>
      <c r="H500">
        <v>0.12</v>
      </c>
      <c r="I500">
        <v>0.1006391649724012</v>
      </c>
      <c r="J500" t="s">
        <v>530</v>
      </c>
      <c r="K500" t="s">
        <v>782</v>
      </c>
      <c r="L500">
        <v>1.48</v>
      </c>
      <c r="M500">
        <v>0.68</v>
      </c>
      <c r="N500">
        <v>0.4594594594594595</v>
      </c>
      <c r="O500">
        <v>3</v>
      </c>
      <c r="P500">
        <v>0.0576615571948691</v>
      </c>
      <c r="Q500">
        <v>0.032524447453411</v>
      </c>
      <c r="R500" t="s">
        <v>786</v>
      </c>
      <c r="S500" t="s">
        <v>798</v>
      </c>
      <c r="T500">
        <v>4019.710032</v>
      </c>
      <c r="U500" s="2">
        <v>44492</v>
      </c>
      <c r="V500" t="s">
        <v>808</v>
      </c>
    </row>
    <row r="501" spans="1:22">
      <c r="A501" s="1" t="s">
        <v>521</v>
      </c>
      <c r="B501">
        <f>HYPERLINK("https://www.suredividend.com/sure-analysis-MED/","Medifast Inc")</f>
        <v>0</v>
      </c>
      <c r="C501">
        <v>213.6</v>
      </c>
      <c r="D501">
        <v>208</v>
      </c>
      <c r="E501">
        <v>1.026923076923077</v>
      </c>
      <c r="F501">
        <v>0.02659176029962547</v>
      </c>
      <c r="G501">
        <v>-0.005299314306477343</v>
      </c>
      <c r="H501">
        <v>0.08</v>
      </c>
      <c r="I501">
        <v>0.09985037150037912</v>
      </c>
      <c r="J501" t="s">
        <v>530</v>
      </c>
      <c r="K501" t="s">
        <v>530</v>
      </c>
      <c r="L501">
        <v>13.9</v>
      </c>
      <c r="M501">
        <v>5.68</v>
      </c>
      <c r="N501">
        <v>0.4086330935251798</v>
      </c>
      <c r="O501">
        <v>6</v>
      </c>
      <c r="P501">
        <v>0.1000553858515176</v>
      </c>
      <c r="Q501">
        <v>0.057207785791917</v>
      </c>
      <c r="R501" t="s">
        <v>784</v>
      </c>
      <c r="S501" t="s">
        <v>792</v>
      </c>
      <c r="T501">
        <v>2324.292061</v>
      </c>
      <c r="U501" s="2">
        <v>44518</v>
      </c>
      <c r="V501" t="s">
        <v>810</v>
      </c>
    </row>
    <row r="502" spans="1:22">
      <c r="A502" s="1" t="s">
        <v>522</v>
      </c>
      <c r="B502">
        <f>HYPERLINK("https://www.suredividend.com/sure-analysis-DD/","DuPont de Nemours Inc")</f>
        <v>0</v>
      </c>
      <c r="C502">
        <v>78.34</v>
      </c>
      <c r="D502">
        <v>77</v>
      </c>
      <c r="E502">
        <v>1.017402597402598</v>
      </c>
      <c r="F502">
        <v>0.01531784528976257</v>
      </c>
      <c r="G502">
        <v>-0.003444634862720952</v>
      </c>
      <c r="H502">
        <v>0.09</v>
      </c>
      <c r="I502">
        <v>0.09910674705647127</v>
      </c>
      <c r="J502" t="s">
        <v>530</v>
      </c>
      <c r="K502" t="s">
        <v>782</v>
      </c>
      <c r="L502">
        <v>4.25</v>
      </c>
      <c r="M502">
        <v>1.2</v>
      </c>
      <c r="N502">
        <v>0.2823529411764706</v>
      </c>
      <c r="O502">
        <v>0</v>
      </c>
      <c r="P502">
        <v>0.06054457313435013</v>
      </c>
      <c r="Q502">
        <v>0.199532794027673</v>
      </c>
      <c r="R502" t="s">
        <v>784</v>
      </c>
      <c r="S502" t="s">
        <v>793</v>
      </c>
      <c r="T502">
        <v>40610.121567</v>
      </c>
      <c r="U502" s="2">
        <v>44520</v>
      </c>
      <c r="V502" t="s">
        <v>804</v>
      </c>
    </row>
    <row r="503" spans="1:22">
      <c r="A503" s="1" t="s">
        <v>523</v>
      </c>
      <c r="B503">
        <f>HYPERLINK("https://www.suredividend.com/sure-analysis-PETS/","Petmed Express, Inc.")</f>
        <v>0</v>
      </c>
      <c r="C503">
        <v>25.89</v>
      </c>
      <c r="D503">
        <v>23</v>
      </c>
      <c r="E503">
        <v>1.125652173913043</v>
      </c>
      <c r="F503">
        <v>0.04634994206257242</v>
      </c>
      <c r="G503">
        <v>-0.02339451951273708</v>
      </c>
      <c r="H503">
        <v>0.08</v>
      </c>
      <c r="I503">
        <v>0.09837469717325042</v>
      </c>
      <c r="J503" t="s">
        <v>530</v>
      </c>
      <c r="K503" t="s">
        <v>781</v>
      </c>
      <c r="L503">
        <v>1.25</v>
      </c>
      <c r="M503">
        <v>1.2</v>
      </c>
      <c r="N503">
        <v>0.96</v>
      </c>
      <c r="O503">
        <v>13</v>
      </c>
      <c r="P503">
        <v>0.0796084730466029</v>
      </c>
      <c r="Q503">
        <v>-0.111192965941569</v>
      </c>
      <c r="R503" t="s">
        <v>784</v>
      </c>
      <c r="S503" t="s">
        <v>789</v>
      </c>
      <c r="T503">
        <v>530.296999</v>
      </c>
      <c r="U503" s="2">
        <v>44499</v>
      </c>
      <c r="V503" t="s">
        <v>802</v>
      </c>
    </row>
    <row r="504" spans="1:22">
      <c r="A504" s="1" t="s">
        <v>524</v>
      </c>
      <c r="B504">
        <f>HYPERLINK("https://www.suredividend.com/sure-analysis-BDN/","Brandywine Realty Trust")</f>
        <v>0</v>
      </c>
      <c r="C504">
        <v>13.56</v>
      </c>
      <c r="D504">
        <v>15</v>
      </c>
      <c r="E504">
        <v>0.904</v>
      </c>
      <c r="F504">
        <v>0.05604719764011799</v>
      </c>
      <c r="G504">
        <v>0.02039028219796934</v>
      </c>
      <c r="H504">
        <v>0.03</v>
      </c>
      <c r="I504">
        <v>0.09699734363626633</v>
      </c>
      <c r="J504" t="s">
        <v>530</v>
      </c>
      <c r="K504" t="s">
        <v>349</v>
      </c>
      <c r="L504">
        <v>1.37</v>
      </c>
      <c r="M504">
        <v>0.76</v>
      </c>
      <c r="N504">
        <v>0.5547445255474452</v>
      </c>
      <c r="O504">
        <v>0</v>
      </c>
      <c r="P504">
        <v>0.02975477857041309</v>
      </c>
      <c r="Q504">
        <v>0.17129917414084</v>
      </c>
      <c r="R504" t="s">
        <v>786</v>
      </c>
      <c r="S504" t="s">
        <v>798</v>
      </c>
      <c r="T504">
        <v>2257.15533</v>
      </c>
      <c r="U504" s="2">
        <v>44537</v>
      </c>
      <c r="V504" t="s">
        <v>807</v>
      </c>
    </row>
    <row r="505" spans="1:22">
      <c r="A505" s="1" t="s">
        <v>525</v>
      </c>
      <c r="B505">
        <f>HYPERLINK("https://www.suredividend.com/sure-analysis-WMB/","Williams Cos Inc")</f>
        <v>0</v>
      </c>
      <c r="C505">
        <v>25.98</v>
      </c>
      <c r="D505">
        <v>25</v>
      </c>
      <c r="E505">
        <v>1.0392</v>
      </c>
      <c r="F505">
        <v>0.06312548113933794</v>
      </c>
      <c r="G505">
        <v>-0.007660743054457186</v>
      </c>
      <c r="H505">
        <v>0.05</v>
      </c>
      <c r="I505">
        <v>0.09638740945980873</v>
      </c>
      <c r="J505" t="s">
        <v>530</v>
      </c>
      <c r="K505" t="s">
        <v>781</v>
      </c>
      <c r="L505">
        <v>3.35</v>
      </c>
      <c r="M505">
        <v>1.64</v>
      </c>
      <c r="N505">
        <v>0.4895522388059701</v>
      </c>
      <c r="O505">
        <v>4</v>
      </c>
      <c r="P505">
        <v>0.04048836820440749</v>
      </c>
      <c r="Q505">
        <v>0.28175285150388</v>
      </c>
      <c r="R505" t="s">
        <v>784</v>
      </c>
      <c r="S505" t="s">
        <v>797</v>
      </c>
      <c r="T505">
        <v>31444.971198</v>
      </c>
      <c r="U505" s="2">
        <v>44504</v>
      </c>
      <c r="V505" t="s">
        <v>807</v>
      </c>
    </row>
    <row r="506" spans="1:22">
      <c r="A506" s="1" t="s">
        <v>526</v>
      </c>
      <c r="B506">
        <f>HYPERLINK("https://www.suredividend.com/sure-analysis-WASH/","Washington Trust Bancorp, Inc.")</f>
        <v>0</v>
      </c>
      <c r="C506">
        <v>54.83</v>
      </c>
      <c r="D506">
        <v>58</v>
      </c>
      <c r="E506">
        <v>0.9453448275862069</v>
      </c>
      <c r="F506">
        <v>0.03793543680466898</v>
      </c>
      <c r="G506">
        <v>0.01130452284720973</v>
      </c>
      <c r="H506">
        <v>0.05</v>
      </c>
      <c r="I506">
        <v>0.09439969141042748</v>
      </c>
      <c r="J506" t="s">
        <v>530</v>
      </c>
      <c r="K506" t="s">
        <v>349</v>
      </c>
      <c r="L506">
        <v>4.14</v>
      </c>
      <c r="M506">
        <v>2.08</v>
      </c>
      <c r="N506">
        <v>0.5024154589371981</v>
      </c>
      <c r="O506">
        <v>10</v>
      </c>
      <c r="P506">
        <v>0.04963065931551602</v>
      </c>
      <c r="Q506">
        <v>0.240270411679424</v>
      </c>
      <c r="R506" t="s">
        <v>784</v>
      </c>
      <c r="S506" t="s">
        <v>794</v>
      </c>
      <c r="T506">
        <v>934.327621</v>
      </c>
      <c r="U506" s="2">
        <v>44495</v>
      </c>
      <c r="V506" t="s">
        <v>800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152.04</v>
      </c>
      <c r="D507">
        <v>157</v>
      </c>
      <c r="E507">
        <v>0.9684076433121018</v>
      </c>
      <c r="F507">
        <v>0.04340962904498816</v>
      </c>
      <c r="G507">
        <v>0.006441087401910739</v>
      </c>
      <c r="H507">
        <v>0.05</v>
      </c>
      <c r="I507">
        <v>0.0943696086619692</v>
      </c>
      <c r="J507" t="s">
        <v>530</v>
      </c>
      <c r="K507" t="s">
        <v>349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0.8341655719356741</v>
      </c>
      <c r="R507" t="s">
        <v>786</v>
      </c>
      <c r="S507" t="s">
        <v>798</v>
      </c>
      <c r="T507">
        <v>49597.282832</v>
      </c>
      <c r="U507" s="2">
        <v>44502</v>
      </c>
      <c r="V507" t="s">
        <v>799</v>
      </c>
    </row>
    <row r="508" spans="1:22">
      <c r="A508" s="1" t="s">
        <v>528</v>
      </c>
      <c r="B508">
        <f>HYPERLINK("https://www.suredividend.com/sure-analysis-KMI/","Kinder Morgan Inc")</f>
        <v>0</v>
      </c>
      <c r="C508">
        <v>15.87</v>
      </c>
      <c r="D508">
        <v>20.3</v>
      </c>
      <c r="E508">
        <v>0.7817733990147783</v>
      </c>
      <c r="F508">
        <v>0.06805293005671079</v>
      </c>
      <c r="G508">
        <v>0.05047040678025194</v>
      </c>
      <c r="H508">
        <v>-0.012</v>
      </c>
      <c r="I508">
        <v>0.09267557043853558</v>
      </c>
      <c r="J508" t="s">
        <v>530</v>
      </c>
      <c r="K508" t="s">
        <v>781</v>
      </c>
      <c r="L508">
        <v>2.39</v>
      </c>
      <c r="M508">
        <v>1.08</v>
      </c>
      <c r="N508">
        <v>0.4518828451882845</v>
      </c>
      <c r="O508">
        <v>4</v>
      </c>
      <c r="P508">
        <v>0.01263939059641661</v>
      </c>
      <c r="Q508">
        <v>0.179197817515038</v>
      </c>
      <c r="R508" t="s">
        <v>784</v>
      </c>
      <c r="S508" t="s">
        <v>797</v>
      </c>
      <c r="T508">
        <v>35856.359009</v>
      </c>
      <c r="U508" s="2">
        <v>44491</v>
      </c>
      <c r="V508" t="s">
        <v>808</v>
      </c>
    </row>
    <row r="509" spans="1:22">
      <c r="A509" s="1" t="s">
        <v>529</v>
      </c>
      <c r="B509">
        <f>HYPERLINK("https://www.suredividend.com/sure-analysis-VALE/","Vale S.A.")</f>
        <v>0</v>
      </c>
      <c r="C509">
        <v>13.63</v>
      </c>
      <c r="D509">
        <v>21</v>
      </c>
      <c r="E509">
        <v>0.6490476190476191</v>
      </c>
      <c r="F509">
        <v>0.1665443873807777</v>
      </c>
      <c r="G509">
        <v>0.09029667532361985</v>
      </c>
      <c r="H509">
        <v>-0.07000000000000001</v>
      </c>
      <c r="I509">
        <v>0.09143990409352298</v>
      </c>
      <c r="J509" t="s">
        <v>530</v>
      </c>
      <c r="K509" t="s">
        <v>781</v>
      </c>
      <c r="L509">
        <v>4.2</v>
      </c>
      <c r="M509">
        <v>2.27</v>
      </c>
      <c r="N509">
        <v>0.5404761904761904</v>
      </c>
      <c r="O509">
        <v>1</v>
      </c>
      <c r="P509">
        <v>-0.1803080202371039</v>
      </c>
      <c r="Q509">
        <v>-0.032146070838972</v>
      </c>
      <c r="R509" t="s">
        <v>784</v>
      </c>
      <c r="S509" t="s">
        <v>793</v>
      </c>
      <c r="T509">
        <v>70109.381717</v>
      </c>
      <c r="U509" s="2">
        <v>44503</v>
      </c>
      <c r="V509" t="s">
        <v>801</v>
      </c>
    </row>
    <row r="510" spans="1:22">
      <c r="A510" s="1" t="s">
        <v>530</v>
      </c>
      <c r="B510">
        <f>HYPERLINK("https://www.suredividend.com/sure-analysis-D/","Dominion Energy Inc")</f>
        <v>0</v>
      </c>
      <c r="C510">
        <v>78.2</v>
      </c>
      <c r="D510">
        <v>77</v>
      </c>
      <c r="E510">
        <v>1.015584415584416</v>
      </c>
      <c r="F510">
        <v>0.03222506393861892</v>
      </c>
      <c r="G510">
        <v>-0.003088067221044377</v>
      </c>
      <c r="H510">
        <v>0.065</v>
      </c>
      <c r="I510">
        <v>0.09041206412805236</v>
      </c>
      <c r="J510" t="s">
        <v>530</v>
      </c>
      <c r="K510" t="s">
        <v>530</v>
      </c>
      <c r="L510">
        <v>3.85</v>
      </c>
      <c r="M510">
        <v>2.52</v>
      </c>
      <c r="N510">
        <v>0.6545454545454545</v>
      </c>
      <c r="O510">
        <v>16</v>
      </c>
      <c r="P510">
        <v>0.05985358218414349</v>
      </c>
      <c r="Q510">
        <v>0.06451429103487101</v>
      </c>
      <c r="R510" t="s">
        <v>784</v>
      </c>
      <c r="S510" t="s">
        <v>796</v>
      </c>
      <c r="T510">
        <v>61930.129018</v>
      </c>
      <c r="U510" s="2">
        <v>44517</v>
      </c>
      <c r="V510" t="s">
        <v>809</v>
      </c>
    </row>
    <row r="511" spans="1:22">
      <c r="A511" s="1" t="s">
        <v>531</v>
      </c>
      <c r="B511">
        <f>HYPERLINK("https://www.suredividend.com/sure-analysis-SUUIF/","Superior Plus Corp.")</f>
        <v>0</v>
      </c>
      <c r="C511">
        <v>10.09</v>
      </c>
      <c r="D511">
        <v>12.6</v>
      </c>
      <c r="E511">
        <v>0.8007936507936508</v>
      </c>
      <c r="F511">
        <v>0.05748265609514371</v>
      </c>
      <c r="G511">
        <v>0.04543220782926061</v>
      </c>
      <c r="H511">
        <v>0</v>
      </c>
      <c r="I511">
        <v>0.08965271775639239</v>
      </c>
      <c r="J511" t="s">
        <v>530</v>
      </c>
      <c r="K511" t="s">
        <v>781</v>
      </c>
      <c r="L511">
        <v>1.75</v>
      </c>
      <c r="M511">
        <v>0.58</v>
      </c>
      <c r="N511">
        <v>0.3314285714285714</v>
      </c>
      <c r="O511">
        <v>0</v>
      </c>
      <c r="P511">
        <v>0</v>
      </c>
      <c r="Q511">
        <v>0.027383367139959</v>
      </c>
      <c r="R511" t="s">
        <v>784</v>
      </c>
      <c r="S511" t="s">
        <v>796</v>
      </c>
      <c r="T511">
        <v>1783.302289</v>
      </c>
      <c r="U511" s="2">
        <v>44516</v>
      </c>
      <c r="V511" t="s">
        <v>799</v>
      </c>
    </row>
    <row r="512" spans="1:22">
      <c r="A512" s="1" t="s">
        <v>532</v>
      </c>
      <c r="B512">
        <f>HYPERLINK("https://www.suredividend.com/sure-analysis-HASI/","Hannon Armstrong Sustainable Infrastructure capital Inc")</f>
        <v>0</v>
      </c>
      <c r="C512">
        <v>54.24</v>
      </c>
      <c r="D512">
        <v>50</v>
      </c>
      <c r="E512">
        <v>1.0848</v>
      </c>
      <c r="F512">
        <v>0.02581120943952802</v>
      </c>
      <c r="G512">
        <v>-0.01614733874759244</v>
      </c>
      <c r="H512">
        <v>0.08500000000000001</v>
      </c>
      <c r="I512">
        <v>0.08896514581369219</v>
      </c>
      <c r="J512" t="s">
        <v>530</v>
      </c>
      <c r="K512" t="s">
        <v>530</v>
      </c>
      <c r="L512">
        <v>1.68</v>
      </c>
      <c r="M512">
        <v>1.4</v>
      </c>
      <c r="N512">
        <v>0.8333333333333333</v>
      </c>
      <c r="O512">
        <v>3</v>
      </c>
      <c r="P512">
        <v>0.03959498820755258</v>
      </c>
      <c r="Q512">
        <v>-0.007701098389174</v>
      </c>
      <c r="R512" t="s">
        <v>786</v>
      </c>
      <c r="S512" t="s">
        <v>798</v>
      </c>
      <c r="T512">
        <v>4286.995643</v>
      </c>
      <c r="U512" s="2">
        <v>44513</v>
      </c>
      <c r="V512" t="s">
        <v>799</v>
      </c>
    </row>
    <row r="513" spans="1:22">
      <c r="A513" s="1" t="s">
        <v>533</v>
      </c>
      <c r="B513">
        <f>HYPERLINK("https://www.suredividend.com/sure-analysis-GEL/","Genesis Energy L.P.")</f>
        <v>0</v>
      </c>
      <c r="C513">
        <v>9.92</v>
      </c>
      <c r="D513">
        <v>10</v>
      </c>
      <c r="E513">
        <v>0.992</v>
      </c>
      <c r="F513">
        <v>0.06048387096774193</v>
      </c>
      <c r="G513">
        <v>0.001607725346309596</v>
      </c>
      <c r="H513">
        <v>0.04</v>
      </c>
      <c r="I513">
        <v>0.08861648273067591</v>
      </c>
      <c r="J513" t="s">
        <v>530</v>
      </c>
      <c r="K513" t="s">
        <v>781</v>
      </c>
      <c r="L513">
        <v>2</v>
      </c>
      <c r="M513">
        <v>0.6</v>
      </c>
      <c r="N513">
        <v>0.3</v>
      </c>
      <c r="O513">
        <v>0</v>
      </c>
      <c r="P513">
        <v>0</v>
      </c>
      <c r="Q513">
        <v>0.5300755474801561</v>
      </c>
      <c r="R513" t="s">
        <v>785</v>
      </c>
      <c r="S513" t="s">
        <v>797</v>
      </c>
      <c r="T513">
        <v>1176.376522</v>
      </c>
      <c r="U513" s="2">
        <v>44522</v>
      </c>
      <c r="V513" t="s">
        <v>807</v>
      </c>
    </row>
    <row r="514" spans="1:22">
      <c r="A514" s="1" t="s">
        <v>534</v>
      </c>
      <c r="B514">
        <f>HYPERLINK("https://www.suredividend.com/sure-analysis-CAG/","Conagra Brands Inc")</f>
        <v>0</v>
      </c>
      <c r="C514">
        <v>32.93</v>
      </c>
      <c r="D514">
        <v>35</v>
      </c>
      <c r="E514">
        <v>0.9408571428571428</v>
      </c>
      <c r="F514">
        <v>0.03795930762222897</v>
      </c>
      <c r="G514">
        <v>0.01226742814947901</v>
      </c>
      <c r="H514">
        <v>0.04</v>
      </c>
      <c r="I514">
        <v>0.08546558671383941</v>
      </c>
      <c r="J514" t="s">
        <v>530</v>
      </c>
      <c r="K514" t="s">
        <v>349</v>
      </c>
      <c r="L514">
        <v>2.5</v>
      </c>
      <c r="M514">
        <v>1.25</v>
      </c>
      <c r="N514">
        <v>0.5</v>
      </c>
      <c r="O514">
        <v>2</v>
      </c>
      <c r="P514">
        <v>0.03988835529073098</v>
      </c>
      <c r="Q514">
        <v>-0.05617364081744</v>
      </c>
      <c r="R514" t="s">
        <v>784</v>
      </c>
      <c r="S514" t="s">
        <v>795</v>
      </c>
      <c r="T514">
        <v>15589.917883</v>
      </c>
      <c r="U514" s="2">
        <v>44476</v>
      </c>
      <c r="V514" t="s">
        <v>803</v>
      </c>
    </row>
    <row r="515" spans="1:22">
      <c r="A515" s="1" t="s">
        <v>535</v>
      </c>
      <c r="B515">
        <f>HYPERLINK("https://www.suredividend.com/sure-analysis-IP/","International Paper Co.")</f>
        <v>0</v>
      </c>
      <c r="C515">
        <v>46.2</v>
      </c>
      <c r="D515">
        <v>46</v>
      </c>
      <c r="E515">
        <v>1.004347826086956</v>
      </c>
      <c r="F515">
        <v>0.04004329004329004</v>
      </c>
      <c r="G515">
        <v>-0.0008673039940023664</v>
      </c>
      <c r="H515">
        <v>0.05</v>
      </c>
      <c r="I515">
        <v>0.08437721572775048</v>
      </c>
      <c r="J515" t="s">
        <v>530</v>
      </c>
      <c r="K515" t="s">
        <v>349</v>
      </c>
      <c r="L515">
        <v>4.6</v>
      </c>
      <c r="M515">
        <v>1.85</v>
      </c>
      <c r="N515">
        <v>0.4021739130434783</v>
      </c>
      <c r="O515">
        <v>0</v>
      </c>
      <c r="P515">
        <v>0.04450667934242181</v>
      </c>
      <c r="Q515">
        <v>0.036920659858601</v>
      </c>
      <c r="R515" t="s">
        <v>784</v>
      </c>
      <c r="S515" t="s">
        <v>792</v>
      </c>
      <c r="T515">
        <v>17635.964716</v>
      </c>
      <c r="U515" s="2">
        <v>44498</v>
      </c>
      <c r="V515" t="s">
        <v>807</v>
      </c>
    </row>
    <row r="516" spans="1:22">
      <c r="A516" s="1" t="s">
        <v>536</v>
      </c>
      <c r="B516">
        <f>HYPERLINK("https://www.suredividend.com/sure-analysis-RIO/","Rio Tinto plc")</f>
        <v>0</v>
      </c>
      <c r="C516">
        <v>64.55</v>
      </c>
      <c r="D516">
        <v>73</v>
      </c>
      <c r="E516">
        <v>0.8842465753424658</v>
      </c>
      <c r="F516">
        <v>0.08690937257939582</v>
      </c>
      <c r="G516">
        <v>0.02490903752171625</v>
      </c>
      <c r="H516">
        <v>0</v>
      </c>
      <c r="I516">
        <v>0.0835097935421496</v>
      </c>
      <c r="J516" t="s">
        <v>530</v>
      </c>
      <c r="K516" t="s">
        <v>781</v>
      </c>
      <c r="L516">
        <v>14</v>
      </c>
      <c r="M516">
        <v>5.61</v>
      </c>
      <c r="N516">
        <v>0.4007142857142857</v>
      </c>
      <c r="O516">
        <v>5</v>
      </c>
      <c r="P516">
        <v>-0.05987225238578009</v>
      </c>
      <c r="Q516">
        <v>-0.05852565408457201</v>
      </c>
      <c r="R516" t="s">
        <v>784</v>
      </c>
      <c r="S516" t="s">
        <v>793</v>
      </c>
      <c r="T516">
        <v>105467.46793</v>
      </c>
      <c r="U516" s="2">
        <v>44524</v>
      </c>
      <c r="V516" t="s">
        <v>807</v>
      </c>
    </row>
    <row r="517" spans="1:22">
      <c r="A517" s="1" t="s">
        <v>537</v>
      </c>
      <c r="B517">
        <f>HYPERLINK("https://www.suredividend.com/sure-analysis-HIW/","Highwoods Properties, Inc.")</f>
        <v>0</v>
      </c>
      <c r="C517">
        <v>44.28</v>
      </c>
      <c r="D517">
        <v>49</v>
      </c>
      <c r="E517">
        <v>0.9036734693877552</v>
      </c>
      <c r="F517">
        <v>0.04516711833785005</v>
      </c>
      <c r="G517">
        <v>0.02046401248395169</v>
      </c>
      <c r="H517">
        <v>0.025</v>
      </c>
      <c r="I517">
        <v>0.083295658206054</v>
      </c>
      <c r="J517" t="s">
        <v>530</v>
      </c>
      <c r="K517" t="s">
        <v>349</v>
      </c>
      <c r="L517">
        <v>3.75</v>
      </c>
      <c r="M517">
        <v>2</v>
      </c>
      <c r="N517">
        <v>0.5333333333333333</v>
      </c>
      <c r="O517">
        <v>4</v>
      </c>
      <c r="P517">
        <v>0.02016978262061087</v>
      </c>
      <c r="Q517">
        <v>0.17120495288852</v>
      </c>
      <c r="R517" t="s">
        <v>786</v>
      </c>
      <c r="S517" t="s">
        <v>798</v>
      </c>
      <c r="T517">
        <v>4597.03005</v>
      </c>
      <c r="U517" s="2">
        <v>44496</v>
      </c>
      <c r="V517" t="s">
        <v>805</v>
      </c>
    </row>
    <row r="518" spans="1:22">
      <c r="A518" s="1" t="s">
        <v>538</v>
      </c>
      <c r="B518">
        <f>HYPERLINK("https://www.suredividend.com/sure-analysis-AMCR/","Amcor Plc")</f>
        <v>0</v>
      </c>
      <c r="C518">
        <v>11.95</v>
      </c>
      <c r="D518">
        <v>12</v>
      </c>
      <c r="E518">
        <v>0.9958333333333332</v>
      </c>
      <c r="F518">
        <v>0.03933054393305439</v>
      </c>
      <c r="G518">
        <v>0.0008354230537011009</v>
      </c>
      <c r="H518">
        <v>0.05</v>
      </c>
      <c r="I518">
        <v>0.08311750345018787</v>
      </c>
      <c r="J518" t="s">
        <v>530</v>
      </c>
      <c r="K518" t="s">
        <v>349</v>
      </c>
      <c r="L518">
        <v>0.8</v>
      </c>
      <c r="M518">
        <v>0.47</v>
      </c>
      <c r="N518">
        <v>0.5874999999999999</v>
      </c>
      <c r="O518">
        <v>1</v>
      </c>
      <c r="P518">
        <v>0.0204250165236175</v>
      </c>
      <c r="Q518">
        <v>0.06736177802167601</v>
      </c>
      <c r="R518" t="s">
        <v>784</v>
      </c>
      <c r="S518" t="s">
        <v>793</v>
      </c>
      <c r="T518">
        <v>17892.08104</v>
      </c>
      <c r="U518" s="2">
        <v>44522</v>
      </c>
      <c r="V518" t="s">
        <v>802</v>
      </c>
    </row>
    <row r="519" spans="1:22">
      <c r="A519" s="1" t="s">
        <v>539</v>
      </c>
      <c r="B519">
        <f>HYPERLINK("https://www.suredividend.com/sure-analysis-PDM/","Piedmont Office Realty Trust Inc")</f>
        <v>0</v>
      </c>
      <c r="C519">
        <v>17.86</v>
      </c>
      <c r="D519">
        <v>20</v>
      </c>
      <c r="E519">
        <v>0.893</v>
      </c>
      <c r="F519">
        <v>0.04703247480403135</v>
      </c>
      <c r="G519">
        <v>0.02289182618227392</v>
      </c>
      <c r="H519">
        <v>0.022</v>
      </c>
      <c r="I519">
        <v>0.08234963888835045</v>
      </c>
      <c r="J519" t="s">
        <v>530</v>
      </c>
      <c r="K519" t="s">
        <v>349</v>
      </c>
      <c r="L519">
        <v>1.97</v>
      </c>
      <c r="M519">
        <v>0.84</v>
      </c>
      <c r="N519">
        <v>0.4263959390862944</v>
      </c>
      <c r="O519">
        <v>0</v>
      </c>
      <c r="P519">
        <v>0.002369694828421753</v>
      </c>
      <c r="Q519">
        <v>0.154661085588767</v>
      </c>
      <c r="R519" t="s">
        <v>786</v>
      </c>
      <c r="S519" t="s">
        <v>798</v>
      </c>
      <c r="T519">
        <v>2212.118168</v>
      </c>
      <c r="U519" s="2">
        <v>44498</v>
      </c>
      <c r="V519" t="s">
        <v>805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18.235</v>
      </c>
      <c r="D520">
        <v>18</v>
      </c>
      <c r="E520">
        <v>1.013055555555556</v>
      </c>
      <c r="F520">
        <v>0.03948450781464217</v>
      </c>
      <c r="G520">
        <v>-0.002590851209574696</v>
      </c>
      <c r="H520">
        <v>0.05</v>
      </c>
      <c r="I520">
        <v>0.07918457833458303</v>
      </c>
      <c r="J520" t="s">
        <v>530</v>
      </c>
      <c r="K520" t="s">
        <v>530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0.039135840490937</v>
      </c>
      <c r="R520" t="s">
        <v>784</v>
      </c>
      <c r="S520" t="s">
        <v>788</v>
      </c>
      <c r="T520">
        <v>90853.27561899999</v>
      </c>
      <c r="U520" s="2">
        <v>44517</v>
      </c>
      <c r="V520" t="s">
        <v>807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71.81999999999999</v>
      </c>
      <c r="D521">
        <v>75</v>
      </c>
      <c r="E521">
        <v>0.9575999999999999</v>
      </c>
      <c r="F521">
        <v>0.03480924533556113</v>
      </c>
      <c r="G521">
        <v>0.00870267494382948</v>
      </c>
      <c r="H521">
        <v>0.04</v>
      </c>
      <c r="I521">
        <v>0.07917888986396182</v>
      </c>
      <c r="J521" t="s">
        <v>530</v>
      </c>
      <c r="K521" t="s">
        <v>530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0.596133385752966</v>
      </c>
      <c r="R521" t="s">
        <v>786</v>
      </c>
      <c r="S521" t="s">
        <v>798</v>
      </c>
      <c r="T521">
        <v>12303.366396</v>
      </c>
      <c r="U521" s="2">
        <v>44513</v>
      </c>
      <c r="V521" t="s">
        <v>799</v>
      </c>
    </row>
    <row r="522" spans="1:22">
      <c r="A522" s="1" t="s">
        <v>542</v>
      </c>
      <c r="B522">
        <f>HYPERLINK("https://www.suredividend.com/sure-analysis-CNA/","CNA Financial Corp.")</f>
        <v>0</v>
      </c>
      <c r="C522">
        <v>44.17</v>
      </c>
      <c r="D522">
        <v>48</v>
      </c>
      <c r="E522">
        <v>0.9202083333333334</v>
      </c>
      <c r="F522">
        <v>0.0344124971700249</v>
      </c>
      <c r="G522">
        <v>0.0167701026219369</v>
      </c>
      <c r="H522">
        <v>0.03</v>
      </c>
      <c r="I522">
        <v>0.07682246193835063</v>
      </c>
      <c r="J522" t="s">
        <v>530</v>
      </c>
      <c r="K522" t="s">
        <v>349</v>
      </c>
      <c r="L522">
        <v>4</v>
      </c>
      <c r="M522">
        <v>1.52</v>
      </c>
      <c r="N522">
        <v>0.38</v>
      </c>
      <c r="O522">
        <v>5</v>
      </c>
      <c r="P522">
        <v>0.02975477857041309</v>
      </c>
      <c r="Q522">
        <v>0.233641418213367</v>
      </c>
      <c r="R522" t="s">
        <v>784</v>
      </c>
      <c r="S522" t="s">
        <v>794</v>
      </c>
      <c r="T522">
        <v>11999.534026</v>
      </c>
      <c r="U522" s="2">
        <v>44509</v>
      </c>
      <c r="V522" t="s">
        <v>803</v>
      </c>
    </row>
    <row r="523" spans="1:22">
      <c r="A523" s="1" t="s">
        <v>543</v>
      </c>
      <c r="B523">
        <f>HYPERLINK("https://www.suredividend.com/sure-analysis-BHP/","BHP Group Limited")</f>
        <v>0</v>
      </c>
      <c r="C523">
        <v>58.26</v>
      </c>
      <c r="D523">
        <v>87</v>
      </c>
      <c r="E523">
        <v>0.6696551724137931</v>
      </c>
      <c r="F523">
        <v>0.06179196704428425</v>
      </c>
      <c r="G523">
        <v>0.08350209270684017</v>
      </c>
      <c r="H523">
        <v>-0.05</v>
      </c>
      <c r="I523">
        <v>0.07618071977763274</v>
      </c>
      <c r="J523" t="s">
        <v>530</v>
      </c>
      <c r="K523" t="s">
        <v>349</v>
      </c>
      <c r="L523">
        <v>6.2</v>
      </c>
      <c r="M523">
        <v>3.6</v>
      </c>
      <c r="N523">
        <v>0.5806451612903226</v>
      </c>
      <c r="O523">
        <v>1</v>
      </c>
      <c r="P523">
        <v>-0.02328131613882611</v>
      </c>
      <c r="Q523">
        <v>0.027190118600842</v>
      </c>
      <c r="R523" t="s">
        <v>784</v>
      </c>
      <c r="S523" t="s">
        <v>793</v>
      </c>
      <c r="T523">
        <v>85675.30048200001</v>
      </c>
      <c r="U523" s="2">
        <v>44524</v>
      </c>
      <c r="V523" t="s">
        <v>807</v>
      </c>
    </row>
    <row r="524" spans="1:22">
      <c r="A524" s="1" t="s">
        <v>544</v>
      </c>
      <c r="B524">
        <f>HYPERLINK("https://www.suredividend.com/sure-analysis-WSR/","Whitestone REIT")</f>
        <v>0</v>
      </c>
      <c r="C524">
        <v>9.49</v>
      </c>
      <c r="D524">
        <v>10</v>
      </c>
      <c r="E524">
        <v>0.9490000000000001</v>
      </c>
      <c r="F524">
        <v>0.04531085353003161</v>
      </c>
      <c r="G524">
        <v>0.01052429090609253</v>
      </c>
      <c r="H524">
        <v>0.02</v>
      </c>
      <c r="I524">
        <v>0.07585200277967097</v>
      </c>
      <c r="J524" t="s">
        <v>530</v>
      </c>
      <c r="K524" t="s">
        <v>349</v>
      </c>
      <c r="L524">
        <v>0.92</v>
      </c>
      <c r="M524">
        <v>0.43</v>
      </c>
      <c r="N524">
        <v>0.4673913043478261</v>
      </c>
      <c r="O524">
        <v>0</v>
      </c>
      <c r="P524">
        <v>0.06889872481155268</v>
      </c>
      <c r="Q524">
        <v>0.241362846646596</v>
      </c>
      <c r="R524" t="s">
        <v>786</v>
      </c>
      <c r="S524" t="s">
        <v>798</v>
      </c>
      <c r="T524">
        <v>459.698204</v>
      </c>
      <c r="U524" s="2">
        <v>44498</v>
      </c>
      <c r="V524" t="s">
        <v>809</v>
      </c>
    </row>
    <row r="525" spans="1:22">
      <c r="A525" s="1" t="s">
        <v>545</v>
      </c>
      <c r="B525">
        <f>HYPERLINK("https://www.suredividend.com/sure-analysis-AKR/","Acadia Realty Trust")</f>
        <v>0</v>
      </c>
      <c r="C525">
        <v>20.58</v>
      </c>
      <c r="D525">
        <v>20</v>
      </c>
      <c r="E525">
        <v>1.029</v>
      </c>
      <c r="F525">
        <v>0.02915451895043732</v>
      </c>
      <c r="G525">
        <v>-0.005701177622642661</v>
      </c>
      <c r="H525">
        <v>0.05</v>
      </c>
      <c r="I525">
        <v>0.0751423601922534</v>
      </c>
      <c r="J525" t="s">
        <v>530</v>
      </c>
      <c r="K525" t="s">
        <v>530</v>
      </c>
      <c r="L525">
        <v>1.1</v>
      </c>
      <c r="M525">
        <v>0.6</v>
      </c>
      <c r="N525">
        <v>0.5454545454545454</v>
      </c>
      <c r="O525">
        <v>1</v>
      </c>
      <c r="P525">
        <v>0.1008397341583922</v>
      </c>
      <c r="Q525">
        <v>0.452779427692952</v>
      </c>
      <c r="R525" t="s">
        <v>786</v>
      </c>
      <c r="S525" t="s">
        <v>798</v>
      </c>
      <c r="T525">
        <v>1838.9497</v>
      </c>
      <c r="U525" s="2">
        <v>44531</v>
      </c>
      <c r="V525" t="s">
        <v>799</v>
      </c>
    </row>
    <row r="526" spans="1:22">
      <c r="A526" s="1" t="s">
        <v>546</v>
      </c>
      <c r="B526">
        <f>HYPERLINK("https://www.suredividend.com/sure-analysis-DEI/","Douglas Emmett Inc")</f>
        <v>0</v>
      </c>
      <c r="C526">
        <v>33.06</v>
      </c>
      <c r="D526">
        <v>29</v>
      </c>
      <c r="E526">
        <v>1.14</v>
      </c>
      <c r="F526">
        <v>0.0338777979431337</v>
      </c>
      <c r="G526">
        <v>-0.02586526421769075</v>
      </c>
      <c r="H526">
        <v>0.07000000000000001</v>
      </c>
      <c r="I526">
        <v>0.07458181183928336</v>
      </c>
      <c r="J526" t="s">
        <v>530</v>
      </c>
      <c r="K526" t="s">
        <v>530</v>
      </c>
      <c r="L526">
        <v>1.86</v>
      </c>
      <c r="M526">
        <v>1.12</v>
      </c>
      <c r="N526">
        <v>0.6021505376344086</v>
      </c>
      <c r="O526">
        <v>10</v>
      </c>
      <c r="P526">
        <v>0.06016789231717423</v>
      </c>
      <c r="Q526">
        <v>0.103126703134777</v>
      </c>
      <c r="R526" t="s">
        <v>786</v>
      </c>
      <c r="S526" t="s">
        <v>798</v>
      </c>
      <c r="T526">
        <v>5754.178726</v>
      </c>
      <c r="U526" s="2">
        <v>44524</v>
      </c>
      <c r="V526" t="s">
        <v>807</v>
      </c>
    </row>
    <row r="527" spans="1:22">
      <c r="A527" s="1" t="s">
        <v>547</v>
      </c>
      <c r="B527">
        <f>HYPERLINK("https://www.suredividend.com/sure-analysis-ABEV/","Ambev S.A.")</f>
        <v>0</v>
      </c>
      <c r="C527">
        <v>2.8</v>
      </c>
      <c r="D527">
        <v>3.08</v>
      </c>
      <c r="E527">
        <v>0.9090909090909091</v>
      </c>
      <c r="F527">
        <v>0.02857142857142857</v>
      </c>
      <c r="G527">
        <v>0.01924487649145656</v>
      </c>
      <c r="H527">
        <v>0.03</v>
      </c>
      <c r="I527">
        <v>0.07394592454262661</v>
      </c>
      <c r="J527" t="s">
        <v>530</v>
      </c>
      <c r="K527" t="s">
        <v>530</v>
      </c>
      <c r="L527">
        <v>0.14</v>
      </c>
      <c r="M527">
        <v>0.08</v>
      </c>
      <c r="N527">
        <v>0.5714285714285714</v>
      </c>
      <c r="O527">
        <v>0</v>
      </c>
      <c r="P527">
        <v>0.02383625553960966</v>
      </c>
      <c r="Q527">
        <v>-0.033601966944406</v>
      </c>
      <c r="R527" t="s">
        <v>784</v>
      </c>
      <c r="S527" t="s">
        <v>795</v>
      </c>
      <c r="T527">
        <v>44548.318202</v>
      </c>
      <c r="U527" s="2">
        <v>44530</v>
      </c>
      <c r="V527" t="s">
        <v>806</v>
      </c>
    </row>
    <row r="528" spans="1:22">
      <c r="A528" s="1" t="s">
        <v>548</v>
      </c>
      <c r="B528">
        <f>HYPERLINK("https://www.suredividend.com/sure-analysis-OFC/","Corporate Office Properties Trust")</f>
        <v>0</v>
      </c>
      <c r="C528">
        <v>27.44</v>
      </c>
      <c r="D528">
        <v>29</v>
      </c>
      <c r="E528">
        <v>0.9462068965517242</v>
      </c>
      <c r="F528">
        <v>0.04008746355685131</v>
      </c>
      <c r="G528">
        <v>0.01112018004916782</v>
      </c>
      <c r="H528">
        <v>0.03</v>
      </c>
      <c r="I528">
        <v>0.07349644942671785</v>
      </c>
      <c r="J528" t="s">
        <v>530</v>
      </c>
      <c r="K528" t="s">
        <v>349</v>
      </c>
      <c r="L528">
        <v>2.28</v>
      </c>
      <c r="M528">
        <v>1.1</v>
      </c>
      <c r="N528">
        <v>0.4824561403508772</v>
      </c>
      <c r="O528">
        <v>0</v>
      </c>
      <c r="P528">
        <v>0</v>
      </c>
      <c r="Q528">
        <v>0.085513066434835</v>
      </c>
      <c r="R528" t="s">
        <v>786</v>
      </c>
      <c r="S528" t="s">
        <v>798</v>
      </c>
      <c r="T528">
        <v>3057.482444</v>
      </c>
      <c r="U528" s="2">
        <v>44535</v>
      </c>
      <c r="V528" t="s">
        <v>802</v>
      </c>
    </row>
    <row r="529" spans="1:22">
      <c r="A529" s="1" t="s">
        <v>549</v>
      </c>
      <c r="B529">
        <f>HYPERLINK("https://www.suredividend.com/sure-analysis-CUZ/","Cousins Properties Inc.")</f>
        <v>0</v>
      </c>
      <c r="C529">
        <v>38.97</v>
      </c>
      <c r="D529">
        <v>40</v>
      </c>
      <c r="E529">
        <v>0.9742499999999999</v>
      </c>
      <c r="F529">
        <v>0.03181934821657686</v>
      </c>
      <c r="G529">
        <v>0.00523110163588747</v>
      </c>
      <c r="H529">
        <v>0.04</v>
      </c>
      <c r="I529">
        <v>0.07310135249325778</v>
      </c>
      <c r="J529" t="s">
        <v>530</v>
      </c>
      <c r="K529" t="s">
        <v>530</v>
      </c>
      <c r="L529">
        <v>2.75</v>
      </c>
      <c r="M529">
        <v>1.24</v>
      </c>
      <c r="N529">
        <v>0.4509090909090909</v>
      </c>
      <c r="O529">
        <v>3</v>
      </c>
      <c r="P529">
        <v>0.03035803310185115</v>
      </c>
      <c r="Q529">
        <v>0.165912817832879</v>
      </c>
      <c r="R529" t="s">
        <v>786</v>
      </c>
      <c r="S529" t="s">
        <v>798</v>
      </c>
      <c r="T529">
        <v>5772.069558</v>
      </c>
      <c r="U529" s="2">
        <v>44533</v>
      </c>
      <c r="V529" t="s">
        <v>807</v>
      </c>
    </row>
    <row r="530" spans="1:22">
      <c r="A530" s="1" t="s">
        <v>550</v>
      </c>
      <c r="B530">
        <f>HYPERLINK("https://www.suredividend.com/sure-analysis-ING/","ING Groep N.V.")</f>
        <v>0</v>
      </c>
      <c r="C530">
        <v>13.74</v>
      </c>
      <c r="D530">
        <v>14.7</v>
      </c>
      <c r="E530">
        <v>0.9346938775510205</v>
      </c>
      <c r="F530">
        <v>0.05094614264919942</v>
      </c>
      <c r="G530">
        <v>0.01359887629660506</v>
      </c>
      <c r="H530">
        <v>0.01</v>
      </c>
      <c r="I530">
        <v>0.07254808092768905</v>
      </c>
      <c r="J530" t="s">
        <v>530</v>
      </c>
      <c r="K530" t="s">
        <v>349</v>
      </c>
      <c r="L530">
        <v>1.47</v>
      </c>
      <c r="M530">
        <v>0.7</v>
      </c>
      <c r="N530">
        <v>0.4761904761904762</v>
      </c>
      <c r="O530">
        <v>0</v>
      </c>
      <c r="P530">
        <v>0.04920026914708719</v>
      </c>
      <c r="Q530">
        <v>0.504248979141375</v>
      </c>
      <c r="R530" t="s">
        <v>784</v>
      </c>
      <c r="S530" t="s">
        <v>794</v>
      </c>
      <c r="T530">
        <v>53211.909123</v>
      </c>
      <c r="U530" s="2">
        <v>44515</v>
      </c>
      <c r="V530" t="s">
        <v>799</v>
      </c>
    </row>
    <row r="531" spans="1:22">
      <c r="A531" s="1" t="s">
        <v>551</v>
      </c>
      <c r="B531">
        <f>HYPERLINK("https://www.suredividend.com/sure-analysis-NXRT/","NexPoint Residential Trust Inc")</f>
        <v>0</v>
      </c>
      <c r="C531">
        <v>77.87</v>
      </c>
      <c r="D531">
        <v>65.04000000000001</v>
      </c>
      <c r="E531">
        <v>1.197263222632226</v>
      </c>
      <c r="F531">
        <v>0.01951971234108129</v>
      </c>
      <c r="G531">
        <v>-0.03536709647232794</v>
      </c>
      <c r="H531">
        <v>0.09</v>
      </c>
      <c r="I531">
        <v>0.07208550459126095</v>
      </c>
      <c r="J531" t="s">
        <v>530</v>
      </c>
      <c r="K531" t="s">
        <v>782</v>
      </c>
      <c r="L531">
        <v>2.71</v>
      </c>
      <c r="M531">
        <v>1.52</v>
      </c>
      <c r="N531">
        <v>0.5608856088560886</v>
      </c>
      <c r="O531">
        <v>6</v>
      </c>
      <c r="P531">
        <v>0.1001819089885529</v>
      </c>
      <c r="Q531">
        <v>0.813518263430389</v>
      </c>
      <c r="R531" t="s">
        <v>786</v>
      </c>
      <c r="S531" t="s">
        <v>798</v>
      </c>
      <c r="T531">
        <v>1928.215307</v>
      </c>
      <c r="U531" s="2">
        <v>44541</v>
      </c>
      <c r="V531" t="s">
        <v>799</v>
      </c>
    </row>
    <row r="532" spans="1:22">
      <c r="A532" s="1" t="s">
        <v>552</v>
      </c>
      <c r="B532">
        <f>HYPERLINK("https://www.suredividend.com/sure-analysis-FRFHF/","Fairfax Financial Holdings Ltd.")</f>
        <v>0</v>
      </c>
      <c r="C532">
        <v>454.68</v>
      </c>
      <c r="D532">
        <v>565</v>
      </c>
      <c r="E532">
        <v>0.8047433628318584</v>
      </c>
      <c r="F532">
        <v>0.02199348992698161</v>
      </c>
      <c r="G532">
        <v>0.04440398274631363</v>
      </c>
      <c r="H532">
        <v>0.01</v>
      </c>
      <c r="I532">
        <v>0.0720420338226746</v>
      </c>
      <c r="J532" t="s">
        <v>530</v>
      </c>
      <c r="K532" t="s">
        <v>530</v>
      </c>
      <c r="L532">
        <v>32</v>
      </c>
      <c r="M532">
        <v>10</v>
      </c>
      <c r="N532">
        <v>0.3125</v>
      </c>
      <c r="O532">
        <v>0</v>
      </c>
      <c r="P532">
        <v>0</v>
      </c>
      <c r="Q532">
        <v>0.27160733088591</v>
      </c>
      <c r="R532" t="s">
        <v>784</v>
      </c>
      <c r="S532" t="s">
        <v>794</v>
      </c>
      <c r="T532">
        <v>12086.835681</v>
      </c>
      <c r="U532" s="2">
        <v>44515</v>
      </c>
      <c r="V532" t="s">
        <v>807</v>
      </c>
    </row>
    <row r="533" spans="1:22">
      <c r="A533" s="1" t="s">
        <v>553</v>
      </c>
      <c r="B533">
        <f>HYPERLINK("https://www.suredividend.com/sure-analysis-AGNC/","AGNC Investment Corp")</f>
        <v>0</v>
      </c>
      <c r="C533">
        <v>15.17</v>
      </c>
      <c r="D533">
        <v>23.5</v>
      </c>
      <c r="E533">
        <v>0.6455319148936171</v>
      </c>
      <c r="F533">
        <v>0.09492419248516809</v>
      </c>
      <c r="G533">
        <v>0.09148169411591311</v>
      </c>
      <c r="H533">
        <v>-0.099</v>
      </c>
      <c r="I533">
        <v>0.07056354421512157</v>
      </c>
      <c r="J533" t="s">
        <v>530</v>
      </c>
      <c r="K533" t="s">
        <v>781</v>
      </c>
      <c r="L533">
        <v>2.94</v>
      </c>
      <c r="M533">
        <v>1.44</v>
      </c>
      <c r="N533">
        <v>0.4897959183673469</v>
      </c>
      <c r="O533">
        <v>0</v>
      </c>
      <c r="P533">
        <v>0.008197818497166498</v>
      </c>
      <c r="Q533">
        <v>0.08321269904657301</v>
      </c>
      <c r="R533" t="s">
        <v>786</v>
      </c>
      <c r="S533" t="s">
        <v>798</v>
      </c>
      <c r="T533">
        <v>7973.358323</v>
      </c>
      <c r="U533" s="2">
        <v>44503</v>
      </c>
      <c r="V533" t="s">
        <v>808</v>
      </c>
    </row>
    <row r="534" spans="1:22">
      <c r="A534" s="1" t="s">
        <v>554</v>
      </c>
      <c r="B534">
        <f>HYPERLINK("https://www.suredividend.com/sure-analysis-KRG/","Kite Realty Group Trust")</f>
        <v>0</v>
      </c>
      <c r="C534">
        <v>20.49</v>
      </c>
      <c r="D534">
        <v>19</v>
      </c>
      <c r="E534">
        <v>1.078421052631579</v>
      </c>
      <c r="F534">
        <v>0.03709126403123475</v>
      </c>
      <c r="G534">
        <v>-0.01498616932762364</v>
      </c>
      <c r="H534">
        <v>0.055</v>
      </c>
      <c r="I534">
        <v>0.0700977883767977</v>
      </c>
      <c r="J534" t="s">
        <v>530</v>
      </c>
      <c r="K534" t="s">
        <v>530</v>
      </c>
      <c r="L534">
        <v>1.37</v>
      </c>
      <c r="M534">
        <v>0.76</v>
      </c>
      <c r="N534">
        <v>0.5547445255474452</v>
      </c>
      <c r="O534">
        <v>2</v>
      </c>
      <c r="P534">
        <v>0.01031145931793609</v>
      </c>
      <c r="Q534">
        <v>0.402772635649348</v>
      </c>
      <c r="R534" t="s">
        <v>786</v>
      </c>
      <c r="S534" t="s">
        <v>798</v>
      </c>
      <c r="T534">
        <v>4481.106971</v>
      </c>
      <c r="U534" s="2">
        <v>44512</v>
      </c>
      <c r="V534" t="s">
        <v>805</v>
      </c>
    </row>
    <row r="535" spans="1:22">
      <c r="A535" s="1" t="s">
        <v>555</v>
      </c>
      <c r="B535">
        <f>HYPERLINK("https://www.suredividend.com/sure-analysis-ADC/","Agree Realty Corp.")</f>
        <v>0</v>
      </c>
      <c r="C535">
        <v>67.22</v>
      </c>
      <c r="D535">
        <v>63</v>
      </c>
      <c r="E535">
        <v>1.066984126984127</v>
      </c>
      <c r="F535">
        <v>0.03540612912823565</v>
      </c>
      <c r="G535">
        <v>-0.01288350702307162</v>
      </c>
      <c r="H535">
        <v>0.05</v>
      </c>
      <c r="I535">
        <v>0.06980357329220754</v>
      </c>
      <c r="J535" t="s">
        <v>530</v>
      </c>
      <c r="K535" t="s">
        <v>530</v>
      </c>
      <c r="L535">
        <v>3.5</v>
      </c>
      <c r="M535">
        <v>2.38</v>
      </c>
      <c r="N535">
        <v>0.6799999999999999</v>
      </c>
      <c r="O535">
        <v>11</v>
      </c>
      <c r="P535">
        <v>0.04947750535151019</v>
      </c>
      <c r="Q535">
        <v>0.064531841679367</v>
      </c>
      <c r="R535" t="s">
        <v>786</v>
      </c>
      <c r="S535" t="s">
        <v>798</v>
      </c>
      <c r="T535">
        <v>4727.577927</v>
      </c>
      <c r="U535" s="2">
        <v>44507</v>
      </c>
      <c r="V535" t="s">
        <v>802</v>
      </c>
    </row>
    <row r="536" spans="1:22">
      <c r="A536" s="1" t="s">
        <v>556</v>
      </c>
      <c r="B536">
        <f>HYPERLINK("https://www.suredividend.com/sure-analysis-PCAR/","Paccar Inc.")</f>
        <v>0</v>
      </c>
      <c r="C536">
        <v>86.59</v>
      </c>
      <c r="D536">
        <v>83</v>
      </c>
      <c r="E536">
        <v>1.043253012048193</v>
      </c>
      <c r="F536">
        <v>0.02725487931631828</v>
      </c>
      <c r="G536">
        <v>-0.008432986722461067</v>
      </c>
      <c r="H536">
        <v>0.05</v>
      </c>
      <c r="I536">
        <v>0.06920997142794194</v>
      </c>
      <c r="J536" t="s">
        <v>530</v>
      </c>
      <c r="K536" t="s">
        <v>530</v>
      </c>
      <c r="L536">
        <v>5.5</v>
      </c>
      <c r="M536">
        <v>2.36</v>
      </c>
      <c r="N536">
        <v>0.4290909090909091</v>
      </c>
      <c r="O536">
        <v>11</v>
      </c>
      <c r="P536">
        <v>0.08262742077275398</v>
      </c>
      <c r="Q536">
        <v>0.06816664708098601</v>
      </c>
      <c r="R536" t="s">
        <v>784</v>
      </c>
      <c r="S536" t="s">
        <v>790</v>
      </c>
      <c r="T536">
        <v>30610.624569</v>
      </c>
      <c r="U536" s="2">
        <v>44497</v>
      </c>
      <c r="V536" t="s">
        <v>803</v>
      </c>
    </row>
    <row r="537" spans="1:22">
      <c r="A537" s="1" t="s">
        <v>557</v>
      </c>
      <c r="B537">
        <f>HYPERLINK("https://www.suredividend.com/sure-analysis-FE/","Firstenergy Corp.")</f>
        <v>0</v>
      </c>
      <c r="C537">
        <v>39.94</v>
      </c>
      <c r="D537">
        <v>39</v>
      </c>
      <c r="E537">
        <v>1.024102564102564</v>
      </c>
      <c r="F537">
        <v>0.03905858788182274</v>
      </c>
      <c r="G537">
        <v>-0.004752009676333047</v>
      </c>
      <c r="H537">
        <v>0.04</v>
      </c>
      <c r="I537">
        <v>0.06796737954991472</v>
      </c>
      <c r="J537" t="s">
        <v>530</v>
      </c>
      <c r="K537" t="s">
        <v>530</v>
      </c>
      <c r="L537">
        <v>2.6</v>
      </c>
      <c r="M537">
        <v>1.56</v>
      </c>
      <c r="N537">
        <v>0.6</v>
      </c>
      <c r="O537">
        <v>0</v>
      </c>
      <c r="P537">
        <v>0.01005227214699711</v>
      </c>
      <c r="Q537">
        <v>0.374832788283316</v>
      </c>
      <c r="R537" t="s">
        <v>784</v>
      </c>
      <c r="S537" t="s">
        <v>796</v>
      </c>
      <c r="T537">
        <v>21765.896368</v>
      </c>
      <c r="U537" s="2">
        <v>44498</v>
      </c>
      <c r="V537" t="s">
        <v>799</v>
      </c>
    </row>
    <row r="538" spans="1:22">
      <c r="A538" s="1" t="s">
        <v>558</v>
      </c>
      <c r="B538">
        <f>HYPERLINK("https://www.suredividend.com/sure-analysis-NWL/","Newell Brands Inc")</f>
        <v>0</v>
      </c>
      <c r="C538">
        <v>22.53</v>
      </c>
      <c r="D538">
        <v>23</v>
      </c>
      <c r="E538">
        <v>0.9795652173913044</v>
      </c>
      <c r="F538">
        <v>0.04083444296493564</v>
      </c>
      <c r="G538">
        <v>0.004137829571358775</v>
      </c>
      <c r="H538">
        <v>0.03</v>
      </c>
      <c r="I538">
        <v>0.06771350410301458</v>
      </c>
      <c r="J538" t="s">
        <v>530</v>
      </c>
      <c r="K538" t="s">
        <v>349</v>
      </c>
      <c r="L538">
        <v>1.75</v>
      </c>
      <c r="M538">
        <v>0.92</v>
      </c>
      <c r="N538">
        <v>0.5257142857142857</v>
      </c>
      <c r="O538">
        <v>0</v>
      </c>
      <c r="P538">
        <v>0</v>
      </c>
      <c r="Q538">
        <v>0.143901828710914</v>
      </c>
      <c r="R538" t="s">
        <v>784</v>
      </c>
      <c r="S538" t="s">
        <v>795</v>
      </c>
      <c r="T538">
        <v>9528.959999999999</v>
      </c>
      <c r="U538" s="2">
        <v>44519</v>
      </c>
      <c r="V538" t="s">
        <v>804</v>
      </c>
    </row>
    <row r="539" spans="1:22">
      <c r="A539" s="1" t="s">
        <v>559</v>
      </c>
      <c r="B539">
        <f>HYPERLINK("https://www.suredividend.com/sure-analysis-EMRAF/","Emera, Inc.")</f>
        <v>0</v>
      </c>
      <c r="C539">
        <v>48.27</v>
      </c>
      <c r="D539">
        <v>42</v>
      </c>
      <c r="E539">
        <v>1.149285714285714</v>
      </c>
      <c r="F539">
        <v>0.04371245079759684</v>
      </c>
      <c r="G539">
        <v>-0.02744449082745415</v>
      </c>
      <c r="H539">
        <v>0.055</v>
      </c>
      <c r="I539">
        <v>0.06709159821464517</v>
      </c>
      <c r="J539" t="s">
        <v>530</v>
      </c>
      <c r="K539" t="s">
        <v>781</v>
      </c>
      <c r="L539">
        <v>2.26</v>
      </c>
      <c r="M539">
        <v>2.11</v>
      </c>
      <c r="N539">
        <v>0.9336283185840708</v>
      </c>
      <c r="O539">
        <v>14</v>
      </c>
      <c r="P539">
        <v>0.04023181804828235</v>
      </c>
      <c r="Q539">
        <v>0.111968931311997</v>
      </c>
      <c r="R539" t="s">
        <v>784</v>
      </c>
      <c r="S539" t="s">
        <v>796</v>
      </c>
      <c r="T539">
        <v>12297.285945</v>
      </c>
      <c r="U539" s="2">
        <v>44516</v>
      </c>
      <c r="V539" t="s">
        <v>805</v>
      </c>
    </row>
    <row r="540" spans="1:22">
      <c r="A540" s="1" t="s">
        <v>560</v>
      </c>
      <c r="B540">
        <f>HYPERLINK("https://www.suredividend.com/sure-analysis-KHC/","Kraft Heinz Co")</f>
        <v>0</v>
      </c>
      <c r="C540">
        <v>34.88</v>
      </c>
      <c r="D540">
        <v>36</v>
      </c>
      <c r="E540">
        <v>0.9688888888888889</v>
      </c>
      <c r="F540">
        <v>0.04587155963302753</v>
      </c>
      <c r="G540">
        <v>0.006341087993253058</v>
      </c>
      <c r="H540">
        <v>0.02</v>
      </c>
      <c r="I540">
        <v>0.06481401084483984</v>
      </c>
      <c r="J540" t="s">
        <v>530</v>
      </c>
      <c r="K540" t="s">
        <v>349</v>
      </c>
      <c r="L540">
        <v>2.8</v>
      </c>
      <c r="M540">
        <v>1.6</v>
      </c>
      <c r="N540">
        <v>0.5714285714285715</v>
      </c>
      <c r="O540">
        <v>0</v>
      </c>
      <c r="P540">
        <v>0</v>
      </c>
      <c r="Q540">
        <v>0.05341906876300401</v>
      </c>
      <c r="R540" t="s">
        <v>784</v>
      </c>
      <c r="S540" t="s">
        <v>795</v>
      </c>
      <c r="T540">
        <v>42572.196794</v>
      </c>
      <c r="U540" s="2">
        <v>44508</v>
      </c>
      <c r="V540" t="s">
        <v>801</v>
      </c>
    </row>
    <row r="541" spans="1:22">
      <c r="A541" s="1" t="s">
        <v>561</v>
      </c>
      <c r="B541">
        <f>HYPERLINK("https://www.suredividend.com/sure-analysis-NGG/","National Grid Plc")</f>
        <v>0</v>
      </c>
      <c r="C541">
        <v>70.23999999999999</v>
      </c>
      <c r="D541">
        <v>62</v>
      </c>
      <c r="E541">
        <v>1.132903225806452</v>
      </c>
      <c r="F541">
        <v>0.05111047835990889</v>
      </c>
      <c r="G541">
        <v>-0.02464786867763613</v>
      </c>
      <c r="H541">
        <v>0.04</v>
      </c>
      <c r="I541">
        <v>0.06372715161409492</v>
      </c>
      <c r="J541" t="s">
        <v>530</v>
      </c>
      <c r="K541" t="s">
        <v>781</v>
      </c>
      <c r="L541">
        <v>4.16</v>
      </c>
      <c r="M541">
        <v>3.59</v>
      </c>
      <c r="N541">
        <v>0.8629807692307692</v>
      </c>
      <c r="O541">
        <v>0</v>
      </c>
      <c r="P541">
        <v>0.0401055114467892</v>
      </c>
      <c r="Q541">
        <v>0.257641163896302</v>
      </c>
      <c r="R541" t="s">
        <v>784</v>
      </c>
      <c r="S541" t="s">
        <v>796</v>
      </c>
      <c r="T541">
        <v>50349.793411</v>
      </c>
      <c r="U541" s="2">
        <v>44528</v>
      </c>
      <c r="V541" t="s">
        <v>806</v>
      </c>
    </row>
    <row r="542" spans="1:22">
      <c r="A542" s="1" t="s">
        <v>562</v>
      </c>
      <c r="B542">
        <f>HYPERLINK("https://www.suredividend.com/sure-analysis-INVH/","Invitation Homes Inc")</f>
        <v>0</v>
      </c>
      <c r="C542">
        <v>42.86</v>
      </c>
      <c r="D542">
        <v>35</v>
      </c>
      <c r="E542">
        <v>1.224571428571429</v>
      </c>
      <c r="F542">
        <v>0.01586560895940271</v>
      </c>
      <c r="G542">
        <v>-0.03970829923492303</v>
      </c>
      <c r="H542">
        <v>0.09</v>
      </c>
      <c r="I542">
        <v>0.06316166779290344</v>
      </c>
      <c r="J542" t="s">
        <v>530</v>
      </c>
      <c r="K542" t="s">
        <v>782</v>
      </c>
      <c r="L542">
        <v>1.28</v>
      </c>
      <c r="M542">
        <v>0.68</v>
      </c>
      <c r="N542">
        <v>0.53125</v>
      </c>
      <c r="O542">
        <v>4</v>
      </c>
      <c r="P542">
        <v>0.08447177119769855</v>
      </c>
      <c r="Q542">
        <v>0.49222548398177</v>
      </c>
      <c r="R542" t="s">
        <v>786</v>
      </c>
      <c r="S542" t="s">
        <v>798</v>
      </c>
      <c r="T542">
        <v>25147.831922</v>
      </c>
      <c r="U542" s="2">
        <v>44500</v>
      </c>
      <c r="V542" t="s">
        <v>799</v>
      </c>
    </row>
    <row r="543" spans="1:22">
      <c r="A543" s="1" t="s">
        <v>563</v>
      </c>
      <c r="B543">
        <f>HYPERLINK("https://www.suredividend.com/sure-analysis-MPW/","Medical Properties Trust Inc")</f>
        <v>0</v>
      </c>
      <c r="C543">
        <v>22.02</v>
      </c>
      <c r="D543">
        <v>21.9</v>
      </c>
      <c r="E543">
        <v>1.005479452054794</v>
      </c>
      <c r="F543">
        <v>0.05086285195277022</v>
      </c>
      <c r="G543">
        <v>-0.001092301897924419</v>
      </c>
      <c r="H543">
        <v>0.014</v>
      </c>
      <c r="I543">
        <v>0.06242535800156213</v>
      </c>
      <c r="J543" t="s">
        <v>530</v>
      </c>
      <c r="K543" t="s">
        <v>349</v>
      </c>
      <c r="L543">
        <v>1.75</v>
      </c>
      <c r="M543">
        <v>1.12</v>
      </c>
      <c r="N543">
        <v>0.64</v>
      </c>
      <c r="O543">
        <v>9</v>
      </c>
      <c r="P543">
        <v>0.04111932758460823</v>
      </c>
      <c r="Q543">
        <v>0.099641729630023</v>
      </c>
      <c r="R543" t="s">
        <v>786</v>
      </c>
      <c r="S543" t="s">
        <v>798</v>
      </c>
      <c r="T543">
        <v>12939.71</v>
      </c>
      <c r="U543" s="2">
        <v>44503</v>
      </c>
      <c r="V543" t="s">
        <v>808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111.97</v>
      </c>
      <c r="D544">
        <v>96</v>
      </c>
      <c r="E544">
        <v>1.166354166666667</v>
      </c>
      <c r="F544">
        <v>0.01607573457176029</v>
      </c>
      <c r="G544">
        <v>-0.03030778054021976</v>
      </c>
      <c r="H544">
        <v>0.08</v>
      </c>
      <c r="I544">
        <v>0.06234586055550428</v>
      </c>
      <c r="J544" t="s">
        <v>530</v>
      </c>
      <c r="K544" t="s">
        <v>782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0.322254570834807</v>
      </c>
      <c r="R544" t="s">
        <v>784</v>
      </c>
      <c r="S544" t="s">
        <v>794</v>
      </c>
      <c r="T544">
        <v>4215.941187</v>
      </c>
      <c r="U544" s="2">
        <v>44502</v>
      </c>
      <c r="V544" t="s">
        <v>805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135.43</v>
      </c>
      <c r="D545">
        <v>114</v>
      </c>
      <c r="E545">
        <v>1.187982456140351</v>
      </c>
      <c r="F545">
        <v>0.01978882079302961</v>
      </c>
      <c r="G545">
        <v>-0.03386460163675276</v>
      </c>
      <c r="H545">
        <v>0.08</v>
      </c>
      <c r="I545">
        <v>0.06211511494851729</v>
      </c>
      <c r="J545" t="s">
        <v>530</v>
      </c>
      <c r="K545" t="s">
        <v>782</v>
      </c>
      <c r="L545">
        <v>5.7</v>
      </c>
      <c r="M545">
        <v>2.68</v>
      </c>
      <c r="N545">
        <v>0.4701754385964912</v>
      </c>
      <c r="O545">
        <v>4</v>
      </c>
      <c r="P545">
        <v>0.04997331683701267</v>
      </c>
      <c r="Q545">
        <v>0.159732309607802</v>
      </c>
      <c r="R545" t="s">
        <v>784</v>
      </c>
      <c r="S545" t="s">
        <v>791</v>
      </c>
      <c r="T545">
        <v>25796.156432</v>
      </c>
      <c r="U545" s="2">
        <v>44514</v>
      </c>
      <c r="V545" t="s">
        <v>804</v>
      </c>
    </row>
    <row r="546" spans="1:22">
      <c r="A546" s="1" t="s">
        <v>566</v>
      </c>
      <c r="B546">
        <f>HYPERLINK("https://www.suredividend.com/sure-analysis-LMRK/","Landmark Infrastructure Partners LP")</f>
        <v>0</v>
      </c>
      <c r="C546">
        <v>16.46</v>
      </c>
      <c r="D546">
        <v>16.4</v>
      </c>
      <c r="E546">
        <v>1.003658536585366</v>
      </c>
      <c r="F546">
        <v>0.04860267314702309</v>
      </c>
      <c r="G546">
        <v>-0.0007301054269873708</v>
      </c>
      <c r="H546">
        <v>0.018</v>
      </c>
      <c r="I546">
        <v>0.06190072040908712</v>
      </c>
      <c r="J546" t="s">
        <v>530</v>
      </c>
      <c r="K546" t="s">
        <v>349</v>
      </c>
      <c r="L546">
        <v>1.49</v>
      </c>
      <c r="M546">
        <v>0.8</v>
      </c>
      <c r="N546">
        <v>0.5369127516778524</v>
      </c>
      <c r="O546">
        <v>0</v>
      </c>
      <c r="P546">
        <v>0.02383625553960966</v>
      </c>
      <c r="Q546">
        <v>0.5374687877002491</v>
      </c>
      <c r="R546" t="s">
        <v>785</v>
      </c>
      <c r="S546" t="s">
        <v>798</v>
      </c>
      <c r="T546">
        <v>419.039028</v>
      </c>
      <c r="U546" s="2">
        <v>44509</v>
      </c>
      <c r="V546" t="s">
        <v>808</v>
      </c>
    </row>
    <row r="547" spans="1:22">
      <c r="A547" s="1" t="s">
        <v>567</v>
      </c>
      <c r="B547">
        <f>HYPERLINK("https://www.suredividend.com/sure-analysis-TJX/","TJX Companies, Inc.")</f>
        <v>0</v>
      </c>
      <c r="C547">
        <v>73.06</v>
      </c>
      <c r="D547">
        <v>55</v>
      </c>
      <c r="E547">
        <v>1.328363636363636</v>
      </c>
      <c r="F547">
        <v>0.01423487544483986</v>
      </c>
      <c r="G547">
        <v>-0.05520713616833561</v>
      </c>
      <c r="H547">
        <v>0.09</v>
      </c>
      <c r="I547">
        <v>0.06149923455348727</v>
      </c>
      <c r="J547" t="s">
        <v>530</v>
      </c>
      <c r="K547" t="s">
        <v>782</v>
      </c>
      <c r="L547">
        <v>2.88</v>
      </c>
      <c r="M547">
        <v>1.04</v>
      </c>
      <c r="N547">
        <v>0.3611111111111112</v>
      </c>
      <c r="O547">
        <v>0</v>
      </c>
      <c r="P547">
        <v>0.3463094632638744</v>
      </c>
      <c r="Q547">
        <v>0.132920072752914</v>
      </c>
      <c r="R547" t="s">
        <v>784</v>
      </c>
      <c r="S547" t="s">
        <v>792</v>
      </c>
      <c r="T547">
        <v>87008.55005799999</v>
      </c>
      <c r="U547" s="2">
        <v>44526</v>
      </c>
      <c r="V547" t="s">
        <v>809</v>
      </c>
    </row>
    <row r="548" spans="1:22">
      <c r="A548" s="1" t="s">
        <v>568</v>
      </c>
      <c r="B548">
        <f>HYPERLINK("https://www.suredividend.com/sure-analysis-HBAN/","Huntington Bancshares, Inc.")</f>
        <v>0</v>
      </c>
      <c r="C548">
        <v>15.225</v>
      </c>
      <c r="D548">
        <v>14</v>
      </c>
      <c r="E548">
        <v>1.0875</v>
      </c>
      <c r="F548">
        <v>0.04072249589490969</v>
      </c>
      <c r="G548">
        <v>-0.01663635837135835</v>
      </c>
      <c r="H548">
        <v>0.04</v>
      </c>
      <c r="I548">
        <v>0.06143994604434955</v>
      </c>
      <c r="J548" t="s">
        <v>530</v>
      </c>
      <c r="K548" t="s">
        <v>349</v>
      </c>
      <c r="L548">
        <v>1.25</v>
      </c>
      <c r="M548">
        <v>0.62</v>
      </c>
      <c r="N548">
        <v>0.496</v>
      </c>
      <c r="O548">
        <v>1</v>
      </c>
      <c r="P548">
        <v>0.03880472124431766</v>
      </c>
      <c r="Q548">
        <v>0.267690153523028</v>
      </c>
      <c r="R548" t="s">
        <v>784</v>
      </c>
      <c r="S548" t="s">
        <v>794</v>
      </c>
      <c r="T548">
        <v>22000.675597</v>
      </c>
      <c r="U548" s="2">
        <v>44499</v>
      </c>
      <c r="V548" t="s">
        <v>803</v>
      </c>
    </row>
    <row r="549" spans="1:22">
      <c r="A549" s="1" t="s">
        <v>569</v>
      </c>
      <c r="B549">
        <f>HYPERLINK("https://www.suredividend.com/sure-analysis-UE/","Urban Edge Properties")</f>
        <v>0</v>
      </c>
      <c r="C549">
        <v>17.8</v>
      </c>
      <c r="D549">
        <v>18</v>
      </c>
      <c r="E549">
        <v>0.9888888888888889</v>
      </c>
      <c r="F549">
        <v>0.03370786516853932</v>
      </c>
      <c r="G549">
        <v>0.002237158833462205</v>
      </c>
      <c r="H549">
        <v>0.03</v>
      </c>
      <c r="I549">
        <v>0.06120703836807828</v>
      </c>
      <c r="J549" t="s">
        <v>530</v>
      </c>
      <c r="K549" t="s">
        <v>530</v>
      </c>
      <c r="L549">
        <v>1.08</v>
      </c>
      <c r="M549">
        <v>0.6</v>
      </c>
      <c r="N549">
        <v>0.5555555555555555</v>
      </c>
      <c r="O549">
        <v>0</v>
      </c>
      <c r="P549">
        <v>0.009805797673485328</v>
      </c>
      <c r="Q549">
        <v>0.366445143989739</v>
      </c>
      <c r="R549" t="s">
        <v>786</v>
      </c>
      <c r="S549" t="s">
        <v>798</v>
      </c>
      <c r="T549">
        <v>2059.282313</v>
      </c>
      <c r="U549" s="2">
        <v>44512</v>
      </c>
      <c r="V549" t="s">
        <v>805</v>
      </c>
    </row>
    <row r="550" spans="1:22">
      <c r="A550" s="1" t="s">
        <v>570</v>
      </c>
      <c r="B550">
        <f>HYPERLINK("https://www.suredividend.com/sure-analysis-CNP/","Centerpoint Energy Inc.")</f>
        <v>0</v>
      </c>
      <c r="C550">
        <v>28.09</v>
      </c>
      <c r="D550">
        <v>21.9</v>
      </c>
      <c r="E550">
        <v>1.282648401826484</v>
      </c>
      <c r="F550">
        <v>0.02420790316838733</v>
      </c>
      <c r="G550">
        <v>-0.04856642057669436</v>
      </c>
      <c r="H550">
        <v>0.083</v>
      </c>
      <c r="I550">
        <v>0.06077368572376818</v>
      </c>
      <c r="J550" t="s">
        <v>530</v>
      </c>
      <c r="K550" t="s">
        <v>530</v>
      </c>
      <c r="L550">
        <v>1.37</v>
      </c>
      <c r="M550">
        <v>0.68</v>
      </c>
      <c r="N550">
        <v>0.4963503649635037</v>
      </c>
      <c r="O550">
        <v>1</v>
      </c>
      <c r="P550">
        <v>0.1383790323022041</v>
      </c>
      <c r="Q550">
        <v>0.319840784123957</v>
      </c>
      <c r="R550" t="s">
        <v>784</v>
      </c>
      <c r="S550" t="s">
        <v>796</v>
      </c>
      <c r="T550">
        <v>17495.04472</v>
      </c>
      <c r="U550" s="2">
        <v>44509</v>
      </c>
      <c r="V550" t="s">
        <v>808</v>
      </c>
    </row>
    <row r="551" spans="1:22">
      <c r="A551" s="1" t="s">
        <v>571</v>
      </c>
      <c r="B551">
        <f>HYPERLINK("https://www.suredividend.com/sure-analysis-BBD/","Banco Bradesco S.A.")</f>
        <v>0</v>
      </c>
      <c r="C551">
        <v>3.51</v>
      </c>
      <c r="D551">
        <v>3.5</v>
      </c>
      <c r="E551">
        <v>1.002857142857143</v>
      </c>
      <c r="F551">
        <v>0.06837606837606838</v>
      </c>
      <c r="G551">
        <v>-0.00057045102738984</v>
      </c>
      <c r="H551">
        <v>0</v>
      </c>
      <c r="I551">
        <v>0.06012761697259439</v>
      </c>
      <c r="J551" t="s">
        <v>530</v>
      </c>
      <c r="K551" t="s">
        <v>781</v>
      </c>
      <c r="L551">
        <v>0.5</v>
      </c>
      <c r="M551">
        <v>0.24</v>
      </c>
      <c r="N551">
        <v>0.48</v>
      </c>
      <c r="O551">
        <v>0</v>
      </c>
      <c r="P551">
        <v>0</v>
      </c>
      <c r="Q551">
        <v>-0.229104081993284</v>
      </c>
      <c r="R551" t="s">
        <v>784</v>
      </c>
      <c r="S551" t="s">
        <v>794</v>
      </c>
      <c r="T551">
        <v>31484.298083</v>
      </c>
      <c r="U551" s="2">
        <v>44506</v>
      </c>
      <c r="V551" t="s">
        <v>799</v>
      </c>
    </row>
    <row r="552" spans="1:22">
      <c r="A552" s="1" t="s">
        <v>572</v>
      </c>
      <c r="B552">
        <f>HYPERLINK("https://www.suredividend.com/sure-analysis-SBS/","Companhia de Saneamento Basico do Estado de Sao Paulo.")</f>
        <v>0</v>
      </c>
      <c r="C552">
        <v>7.03</v>
      </c>
      <c r="D552">
        <v>6.6</v>
      </c>
      <c r="E552">
        <v>1.065151515151515</v>
      </c>
      <c r="F552">
        <v>0.02275960170697013</v>
      </c>
      <c r="G552">
        <v>-0.01254407030337146</v>
      </c>
      <c r="H552">
        <v>0.05</v>
      </c>
      <c r="I552">
        <v>0.05846693893752231</v>
      </c>
      <c r="J552" t="s">
        <v>530</v>
      </c>
      <c r="K552" t="s">
        <v>530</v>
      </c>
      <c r="L552">
        <v>0.57</v>
      </c>
      <c r="M552">
        <v>0.16</v>
      </c>
      <c r="N552">
        <v>0.280701754385965</v>
      </c>
      <c r="O552">
        <v>0</v>
      </c>
      <c r="P552">
        <v>0.04563955259127317</v>
      </c>
      <c r="Q552">
        <v>-0.210025453461441</v>
      </c>
      <c r="R552" t="s">
        <v>784</v>
      </c>
      <c r="S552" t="s">
        <v>796</v>
      </c>
      <c r="T552">
        <v>4709.382997</v>
      </c>
      <c r="U552" s="2">
        <v>44513</v>
      </c>
      <c r="V552" t="s">
        <v>799</v>
      </c>
    </row>
    <row r="553" spans="1:22">
      <c r="A553" s="1" t="s">
        <v>573</v>
      </c>
      <c r="B553">
        <f>HYPERLINK("https://www.suredividend.com/sure-analysis-NTAP/","Netapp Inc")</f>
        <v>0</v>
      </c>
      <c r="C553">
        <v>88.7</v>
      </c>
      <c r="D553">
        <v>79</v>
      </c>
      <c r="E553">
        <v>1.122784810126582</v>
      </c>
      <c r="F553">
        <v>0.02254791431792559</v>
      </c>
      <c r="G553">
        <v>-0.02289621796870633</v>
      </c>
      <c r="H553">
        <v>0.06</v>
      </c>
      <c r="I553">
        <v>0.05817148285273599</v>
      </c>
      <c r="J553" t="s">
        <v>530</v>
      </c>
      <c r="K553" t="s">
        <v>530</v>
      </c>
      <c r="L553">
        <v>4.95</v>
      </c>
      <c r="M553">
        <v>2</v>
      </c>
      <c r="N553">
        <v>0.404040404040404</v>
      </c>
      <c r="O553">
        <v>7</v>
      </c>
      <c r="P553">
        <v>0.0602809527753625</v>
      </c>
      <c r="Q553">
        <v>0.435844186765564</v>
      </c>
      <c r="R553" t="s">
        <v>784</v>
      </c>
      <c r="S553" t="s">
        <v>791</v>
      </c>
      <c r="T553">
        <v>19302.599028</v>
      </c>
      <c r="U553" s="2">
        <v>44435</v>
      </c>
      <c r="V553" t="s">
        <v>803</v>
      </c>
    </row>
    <row r="554" spans="1:22">
      <c r="A554" s="1" t="s">
        <v>574</v>
      </c>
      <c r="B554">
        <f>HYPERLINK("https://www.suredividend.com/sure-analysis-MCY/","Mercury General Corp.")</f>
        <v>0</v>
      </c>
      <c r="C554">
        <v>52.76</v>
      </c>
      <c r="D554">
        <v>53</v>
      </c>
      <c r="E554">
        <v>0.9954716981132075</v>
      </c>
      <c r="F554">
        <v>0.04814253222137983</v>
      </c>
      <c r="G554">
        <v>0.0009081292404859997</v>
      </c>
      <c r="H554">
        <v>0.015</v>
      </c>
      <c r="I554">
        <v>0.05810370381693297</v>
      </c>
      <c r="J554" t="s">
        <v>530</v>
      </c>
      <c r="K554" t="s">
        <v>781</v>
      </c>
      <c r="L554">
        <v>3.5</v>
      </c>
      <c r="M554">
        <v>2.54</v>
      </c>
      <c r="N554">
        <v>0.7257142857142858</v>
      </c>
      <c r="O554">
        <v>33</v>
      </c>
      <c r="P554">
        <v>0.004680391776183512</v>
      </c>
      <c r="Q554">
        <v>0.102566439882989</v>
      </c>
      <c r="R554" t="s">
        <v>784</v>
      </c>
      <c r="S554" t="s">
        <v>794</v>
      </c>
      <c r="T554">
        <v>2946.833337</v>
      </c>
      <c r="U554" s="2">
        <v>44510</v>
      </c>
      <c r="V554" t="s">
        <v>801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37.2</v>
      </c>
      <c r="D555">
        <v>34</v>
      </c>
      <c r="E555">
        <v>1.094117647058824</v>
      </c>
      <c r="F555">
        <v>0.02580645161290322</v>
      </c>
      <c r="G555">
        <v>-0.01782879960255312</v>
      </c>
      <c r="H555">
        <v>0.05</v>
      </c>
      <c r="I555">
        <v>0.05667002138406629</v>
      </c>
      <c r="J555" t="s">
        <v>530</v>
      </c>
      <c r="K555" t="s">
        <v>530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0.023389372109718</v>
      </c>
      <c r="R555" t="s">
        <v>784</v>
      </c>
      <c r="S555" t="s">
        <v>791</v>
      </c>
      <c r="T555">
        <v>31388.363122</v>
      </c>
      <c r="U555" s="2">
        <v>44497</v>
      </c>
      <c r="V555" t="s">
        <v>803</v>
      </c>
    </row>
    <row r="556" spans="1:22">
      <c r="A556" s="1" t="s">
        <v>576</v>
      </c>
      <c r="B556">
        <f>HYPERLINK("https://www.suredividend.com/sure-analysis-ALV/","Autoliv Inc.")</f>
        <v>0</v>
      </c>
      <c r="C556">
        <v>100.13</v>
      </c>
      <c r="D556">
        <v>71</v>
      </c>
      <c r="E556">
        <v>1.410281690140845</v>
      </c>
      <c r="F556">
        <v>0.02556676320782982</v>
      </c>
      <c r="G556">
        <v>-0.06644732758316507</v>
      </c>
      <c r="H556">
        <v>0.1</v>
      </c>
      <c r="I556">
        <v>0.05344472788662902</v>
      </c>
      <c r="J556" t="s">
        <v>530</v>
      </c>
      <c r="K556" t="s">
        <v>530</v>
      </c>
      <c r="L556">
        <v>5.1</v>
      </c>
      <c r="M556">
        <v>2.56</v>
      </c>
      <c r="N556">
        <v>0.5019607843137255</v>
      </c>
      <c r="O556">
        <v>1</v>
      </c>
      <c r="P556">
        <v>0.06576275663547415</v>
      </c>
      <c r="Q556">
        <v>0.106808720175477</v>
      </c>
      <c r="R556" t="s">
        <v>784</v>
      </c>
      <c r="S556" t="s">
        <v>792</v>
      </c>
      <c r="T556">
        <v>8650.982679000001</v>
      </c>
      <c r="U556" s="2">
        <v>44493</v>
      </c>
      <c r="V556" t="s">
        <v>804</v>
      </c>
    </row>
    <row r="557" spans="1:22">
      <c r="A557" s="1" t="s">
        <v>577</v>
      </c>
      <c r="B557">
        <f>HYPERLINK("https://www.suredividend.com/sure-analysis-WPP/","WPP Plc.")</f>
        <v>0</v>
      </c>
      <c r="C557">
        <v>71.86</v>
      </c>
      <c r="D557">
        <v>72</v>
      </c>
      <c r="E557">
        <v>0.9980555555555556</v>
      </c>
      <c r="F557">
        <v>0.02393543000278319</v>
      </c>
      <c r="G557">
        <v>0.000389343240548401</v>
      </c>
      <c r="H557">
        <v>0.03</v>
      </c>
      <c r="I557">
        <v>0.05326612938022901</v>
      </c>
      <c r="J557" t="s">
        <v>530</v>
      </c>
      <c r="K557" t="s">
        <v>530</v>
      </c>
      <c r="L557">
        <v>5.15</v>
      </c>
      <c r="M557">
        <v>1.72</v>
      </c>
      <c r="N557">
        <v>0.3339805825242718</v>
      </c>
      <c r="O557">
        <v>0</v>
      </c>
      <c r="P557">
        <v>0.03973716477033884</v>
      </c>
      <c r="Q557">
        <v>0.4359463108569611</v>
      </c>
      <c r="R557" t="s">
        <v>784</v>
      </c>
      <c r="S557" t="s">
        <v>788</v>
      </c>
      <c r="T557">
        <v>16792.210054</v>
      </c>
      <c r="U557" s="2">
        <v>44526</v>
      </c>
      <c r="V557" t="s">
        <v>804</v>
      </c>
    </row>
    <row r="558" spans="1:22">
      <c r="A558" s="1" t="s">
        <v>578</v>
      </c>
      <c r="B558">
        <f>HYPERLINK("https://www.suredividend.com/sure-analysis-RPT/","RPT Realty")</f>
        <v>0</v>
      </c>
      <c r="C558">
        <v>12.92</v>
      </c>
      <c r="D558">
        <v>11.96</v>
      </c>
      <c r="E558">
        <v>1.080267558528428</v>
      </c>
      <c r="F558">
        <v>0.03715170278637771</v>
      </c>
      <c r="G558">
        <v>-0.0153231374584375</v>
      </c>
      <c r="H558">
        <v>0.025</v>
      </c>
      <c r="I558">
        <v>0.05325871989762243</v>
      </c>
      <c r="J558" t="s">
        <v>530</v>
      </c>
      <c r="K558" t="s">
        <v>349</v>
      </c>
      <c r="L558">
        <v>0.92</v>
      </c>
      <c r="M558">
        <v>0.48</v>
      </c>
      <c r="N558">
        <v>0.5217391304347826</v>
      </c>
      <c r="O558">
        <v>1</v>
      </c>
      <c r="P558">
        <v>0.09913211517808418</v>
      </c>
      <c r="Q558">
        <v>0.56470516045898</v>
      </c>
      <c r="R558" t="s">
        <v>786</v>
      </c>
      <c r="S558" t="s">
        <v>798</v>
      </c>
      <c r="T558">
        <v>1074.693407</v>
      </c>
      <c r="U558" s="2">
        <v>44535</v>
      </c>
      <c r="V558" t="s">
        <v>799</v>
      </c>
    </row>
    <row r="559" spans="1:22">
      <c r="A559" s="1" t="s">
        <v>579</v>
      </c>
      <c r="B559">
        <f>HYPERLINK("https://www.suredividend.com/sure-analysis-DEA/","Easterly Government Properties Inc")</f>
        <v>0</v>
      </c>
      <c r="C559">
        <v>22.52</v>
      </c>
      <c r="D559">
        <v>20.8</v>
      </c>
      <c r="E559">
        <v>1.082692307692308</v>
      </c>
      <c r="F559">
        <v>0.04706927175843695</v>
      </c>
      <c r="G559">
        <v>-0.0157645807236183</v>
      </c>
      <c r="H559">
        <v>0.021</v>
      </c>
      <c r="I559">
        <v>0.05244525569736602</v>
      </c>
      <c r="J559" t="s">
        <v>530</v>
      </c>
      <c r="K559" t="s">
        <v>781</v>
      </c>
      <c r="L559">
        <v>1.31</v>
      </c>
      <c r="M559">
        <v>1.06</v>
      </c>
      <c r="N559">
        <v>0.8091603053435115</v>
      </c>
      <c r="O559">
        <v>1</v>
      </c>
      <c r="P559">
        <v>0.04166362161741732</v>
      </c>
      <c r="Q559">
        <v>0.07607131533377201</v>
      </c>
      <c r="R559" t="s">
        <v>786</v>
      </c>
      <c r="S559" t="s">
        <v>798</v>
      </c>
      <c r="T559">
        <v>1900.205118</v>
      </c>
      <c r="U559" s="2">
        <v>44506</v>
      </c>
      <c r="V559" t="s">
        <v>808</v>
      </c>
    </row>
    <row r="560" spans="1:22">
      <c r="A560" s="1" t="s">
        <v>580</v>
      </c>
      <c r="B560">
        <f>HYPERLINK("https://www.suredividend.com/sure-analysis-BXP/","Boston Properties, Inc.")</f>
        <v>0</v>
      </c>
      <c r="C560">
        <v>115.66</v>
      </c>
      <c r="D560">
        <v>103</v>
      </c>
      <c r="E560">
        <v>1.122912621359223</v>
      </c>
      <c r="F560">
        <v>0.03389244336849386</v>
      </c>
      <c r="G560">
        <v>-0.02291846200134573</v>
      </c>
      <c r="H560">
        <v>0.044</v>
      </c>
      <c r="I560">
        <v>0.05046203153113371</v>
      </c>
      <c r="J560" t="s">
        <v>530</v>
      </c>
      <c r="K560" t="s">
        <v>530</v>
      </c>
      <c r="L560">
        <v>6.45</v>
      </c>
      <c r="M560">
        <v>3.92</v>
      </c>
      <c r="N560">
        <v>0.6077519379844961</v>
      </c>
      <c r="O560">
        <v>5</v>
      </c>
      <c r="P560">
        <v>0.01000199077119301</v>
      </c>
      <c r="Q560">
        <v>0.204246687215153</v>
      </c>
      <c r="R560" t="s">
        <v>786</v>
      </c>
      <c r="S560" t="s">
        <v>798</v>
      </c>
      <c r="T560">
        <v>17851.32956</v>
      </c>
      <c r="U560" s="2">
        <v>44503</v>
      </c>
      <c r="V560" t="s">
        <v>808</v>
      </c>
    </row>
    <row r="561" spans="1:22">
      <c r="A561" s="1" t="s">
        <v>581</v>
      </c>
      <c r="B561">
        <f>HYPERLINK("https://www.suredividend.com/sure-analysis-KTB/","Kontoor Brands Inc")</f>
        <v>0</v>
      </c>
      <c r="C561">
        <v>53.45</v>
      </c>
      <c r="D561">
        <v>50</v>
      </c>
      <c r="E561">
        <v>1.069</v>
      </c>
      <c r="F561">
        <v>0.03442469597754911</v>
      </c>
      <c r="G561">
        <v>-0.01325608030457315</v>
      </c>
      <c r="H561">
        <v>0.03</v>
      </c>
      <c r="I561">
        <v>0.04848409440316948</v>
      </c>
      <c r="J561" t="s">
        <v>530</v>
      </c>
      <c r="K561" t="s">
        <v>349</v>
      </c>
      <c r="L561">
        <v>4.18</v>
      </c>
      <c r="M561">
        <v>1.84</v>
      </c>
      <c r="N561">
        <v>0.4401913875598087</v>
      </c>
      <c r="O561">
        <v>1</v>
      </c>
      <c r="P561">
        <v>0.01984845658885503</v>
      </c>
      <c r="Q561">
        <v>0.302969197857284</v>
      </c>
      <c r="R561" t="s">
        <v>784</v>
      </c>
      <c r="S561" t="s">
        <v>792</v>
      </c>
      <c r="T561">
        <v>3040.691943</v>
      </c>
      <c r="U561" s="2">
        <v>44511</v>
      </c>
      <c r="V561" t="s">
        <v>801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70.16</v>
      </c>
      <c r="D562">
        <v>60</v>
      </c>
      <c r="E562">
        <v>1.169333333333333</v>
      </c>
      <c r="F562">
        <v>0.02993158494868872</v>
      </c>
      <c r="G562">
        <v>-0.03080239113808847</v>
      </c>
      <c r="H562">
        <v>0.05</v>
      </c>
      <c r="I562">
        <v>0.04815595634767766</v>
      </c>
      <c r="J562" t="s">
        <v>530</v>
      </c>
      <c r="K562" t="s">
        <v>530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0.48483423720514</v>
      </c>
      <c r="R562" t="s">
        <v>784</v>
      </c>
      <c r="S562" t="s">
        <v>794</v>
      </c>
      <c r="T562">
        <v>16898.091901</v>
      </c>
      <c r="U562" s="2">
        <v>44522</v>
      </c>
      <c r="V562" t="s">
        <v>804</v>
      </c>
    </row>
    <row r="563" spans="1:22">
      <c r="A563" s="1" t="s">
        <v>583</v>
      </c>
      <c r="B563">
        <f>HYPERLINK("https://www.suredividend.com/sure-analysis-AES/","AES Corp.")</f>
        <v>0</v>
      </c>
      <c r="C563">
        <v>24.13</v>
      </c>
      <c r="D563">
        <v>19</v>
      </c>
      <c r="E563">
        <v>1.27</v>
      </c>
      <c r="F563">
        <v>0.02610857853294654</v>
      </c>
      <c r="G563">
        <v>-0.04667878942197823</v>
      </c>
      <c r="H563">
        <v>0.07000000000000001</v>
      </c>
      <c r="I563">
        <v>0.04594965902487091</v>
      </c>
      <c r="J563" t="s">
        <v>530</v>
      </c>
      <c r="K563" t="s">
        <v>530</v>
      </c>
      <c r="L563">
        <v>1.54</v>
      </c>
      <c r="M563">
        <v>0.63</v>
      </c>
      <c r="N563">
        <v>0.4090909090909091</v>
      </c>
      <c r="O563">
        <v>11</v>
      </c>
      <c r="P563">
        <v>0.04095039696925684</v>
      </c>
      <c r="Q563">
        <v>0.135603899820592</v>
      </c>
      <c r="R563" t="s">
        <v>784</v>
      </c>
      <c r="S563" t="s">
        <v>797</v>
      </c>
      <c r="T563">
        <v>15741.113503</v>
      </c>
      <c r="U563" s="2">
        <v>44513</v>
      </c>
      <c r="V563" t="s">
        <v>805</v>
      </c>
    </row>
    <row r="564" spans="1:22">
      <c r="A564" s="1" t="s">
        <v>584</v>
      </c>
      <c r="B564">
        <f>HYPERLINK("https://www.suredividend.com/sure-analysis-MAC/","Macerich Co.")</f>
        <v>0</v>
      </c>
      <c r="C564">
        <v>17.18</v>
      </c>
      <c r="D564">
        <v>15</v>
      </c>
      <c r="E564">
        <v>1.145333333333333</v>
      </c>
      <c r="F564">
        <v>0.03492433061699651</v>
      </c>
      <c r="G564">
        <v>-0.0267741855451652</v>
      </c>
      <c r="H564">
        <v>0.03</v>
      </c>
      <c r="I564">
        <v>0.04281313488743144</v>
      </c>
      <c r="J564" t="s">
        <v>530</v>
      </c>
      <c r="K564" t="s">
        <v>349</v>
      </c>
      <c r="L564">
        <v>1.93</v>
      </c>
      <c r="M564">
        <v>0.6</v>
      </c>
      <c r="N564">
        <v>0.310880829015544</v>
      </c>
      <c r="O564">
        <v>0</v>
      </c>
      <c r="P564">
        <v>0.0796084730466029</v>
      </c>
      <c r="Q564">
        <v>0.6054200644435831</v>
      </c>
      <c r="R564" t="s">
        <v>786</v>
      </c>
      <c r="S564" t="s">
        <v>798</v>
      </c>
      <c r="T564">
        <v>3619.509843</v>
      </c>
      <c r="U564" s="2">
        <v>44509</v>
      </c>
      <c r="V564" t="s">
        <v>807</v>
      </c>
    </row>
    <row r="565" spans="1:22">
      <c r="A565" s="1" t="s">
        <v>585</v>
      </c>
      <c r="B565">
        <f>HYPERLINK("https://www.suredividend.com/sure-analysis-MPWR/","Monolithic Power System Inc")</f>
        <v>0</v>
      </c>
      <c r="C565">
        <v>490.4</v>
      </c>
      <c r="D565">
        <v>266</v>
      </c>
      <c r="E565">
        <v>1.843609022556391</v>
      </c>
      <c r="F565">
        <v>0.004893964110929854</v>
      </c>
      <c r="G565">
        <v>-0.1151569684345242</v>
      </c>
      <c r="H565">
        <v>0.17</v>
      </c>
      <c r="I565">
        <v>0.04276430567538791</v>
      </c>
      <c r="J565" t="s">
        <v>530</v>
      </c>
      <c r="K565" t="s">
        <v>782</v>
      </c>
      <c r="L565">
        <v>7.2</v>
      </c>
      <c r="M565">
        <v>2.4</v>
      </c>
      <c r="N565">
        <v>0.3333333333333333</v>
      </c>
      <c r="O565">
        <v>4</v>
      </c>
      <c r="P565">
        <v>0.1999209000665154</v>
      </c>
      <c r="Q565">
        <v>0.505046528838432</v>
      </c>
      <c r="R565" t="s">
        <v>784</v>
      </c>
      <c r="S565" t="s">
        <v>791</v>
      </c>
      <c r="T565">
        <v>22028.76656</v>
      </c>
      <c r="U565" s="2">
        <v>44500</v>
      </c>
      <c r="V565" t="s">
        <v>799</v>
      </c>
    </row>
    <row r="566" spans="1:22">
      <c r="A566" s="1" t="s">
        <v>586</v>
      </c>
      <c r="B566">
        <f>HYPERLINK("https://www.suredividend.com/sure-analysis-CAJ/","Canon Inc")</f>
        <v>0</v>
      </c>
      <c r="C566">
        <v>23.99</v>
      </c>
      <c r="D566">
        <v>22</v>
      </c>
      <c r="E566">
        <v>1.090454545454545</v>
      </c>
      <c r="F566">
        <v>0.03209670696123385</v>
      </c>
      <c r="G566">
        <v>-0.01716981417453567</v>
      </c>
      <c r="H566">
        <v>0.03</v>
      </c>
      <c r="I566">
        <v>0.0411840250335791</v>
      </c>
      <c r="J566" t="s">
        <v>530</v>
      </c>
      <c r="K566" t="s">
        <v>530</v>
      </c>
      <c r="L566">
        <v>1.8</v>
      </c>
      <c r="M566">
        <v>0.77</v>
      </c>
      <c r="N566">
        <v>0.4277777777777778</v>
      </c>
      <c r="O566">
        <v>0</v>
      </c>
      <c r="P566">
        <v>0</v>
      </c>
      <c r="Q566">
        <v>0.223516616819693</v>
      </c>
      <c r="R566" t="s">
        <v>784</v>
      </c>
      <c r="S566" t="s">
        <v>791</v>
      </c>
      <c r="T566">
        <v>31210.065058</v>
      </c>
      <c r="U566" s="2">
        <v>44505</v>
      </c>
      <c r="V566" t="s">
        <v>801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22.81</v>
      </c>
      <c r="D567">
        <v>15</v>
      </c>
      <c r="E567">
        <v>1.520666666666667</v>
      </c>
      <c r="F567">
        <v>0.04603244191144235</v>
      </c>
      <c r="G567">
        <v>-0.08041221307657109</v>
      </c>
      <c r="H567">
        <v>0.08</v>
      </c>
      <c r="I567">
        <v>0.04028366794836624</v>
      </c>
      <c r="J567" t="s">
        <v>530</v>
      </c>
      <c r="K567" t="s">
        <v>349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0.190919240788983</v>
      </c>
      <c r="R567" t="s">
        <v>784</v>
      </c>
      <c r="S567" t="s">
        <v>788</v>
      </c>
      <c r="T567">
        <v>30917.030997</v>
      </c>
      <c r="U567" s="2">
        <v>44522</v>
      </c>
      <c r="V567" t="s">
        <v>807</v>
      </c>
    </row>
    <row r="568" spans="1:22">
      <c r="A568" s="1" t="s">
        <v>588</v>
      </c>
      <c r="B568">
        <f>HYPERLINK("https://www.suredividend.com/sure-analysis-PSO/","Pearson plc")</f>
        <v>0</v>
      </c>
      <c r="C568">
        <v>7.77</v>
      </c>
      <c r="D568">
        <v>7</v>
      </c>
      <c r="E568">
        <v>1.11</v>
      </c>
      <c r="F568">
        <v>0.03474903474903476</v>
      </c>
      <c r="G568">
        <v>-0.02065569038251347</v>
      </c>
      <c r="H568">
        <v>0.03</v>
      </c>
      <c r="I568">
        <v>0.04025346763605264</v>
      </c>
      <c r="J568" t="s">
        <v>530</v>
      </c>
      <c r="K568" t="s">
        <v>530</v>
      </c>
      <c r="L568">
        <v>0.45</v>
      </c>
      <c r="M568">
        <v>0.27</v>
      </c>
      <c r="N568">
        <v>0.6</v>
      </c>
      <c r="O568">
        <v>0</v>
      </c>
      <c r="P568">
        <v>0</v>
      </c>
      <c r="Q568">
        <v>-0.07913803580610401</v>
      </c>
      <c r="R568" t="s">
        <v>784</v>
      </c>
      <c r="S568" t="s">
        <v>788</v>
      </c>
      <c r="T568">
        <v>5963.461419</v>
      </c>
      <c r="U568" s="2">
        <v>44502</v>
      </c>
      <c r="V568" t="s">
        <v>801</v>
      </c>
    </row>
    <row r="569" spans="1:22">
      <c r="A569" s="1" t="s">
        <v>589</v>
      </c>
      <c r="B569">
        <f>HYPERLINK("https://www.suredividend.com/sure-analysis-HMC/","Honda Motor")</f>
        <v>0</v>
      </c>
      <c r="C569">
        <v>28.24</v>
      </c>
      <c r="D569">
        <v>25</v>
      </c>
      <c r="E569">
        <v>1.1296</v>
      </c>
      <c r="F569">
        <v>0.03541076487252125</v>
      </c>
      <c r="G569">
        <v>-0.02407810125768017</v>
      </c>
      <c r="H569">
        <v>0.029</v>
      </c>
      <c r="I569">
        <v>0.03954420148169846</v>
      </c>
      <c r="J569" t="s">
        <v>530</v>
      </c>
      <c r="K569" t="s">
        <v>349</v>
      </c>
      <c r="L569">
        <v>2.93</v>
      </c>
      <c r="M569">
        <v>1</v>
      </c>
      <c r="N569">
        <v>0.341296928327645</v>
      </c>
      <c r="O569">
        <v>0</v>
      </c>
      <c r="P569">
        <v>0.02834672210021361</v>
      </c>
      <c r="Q569">
        <v>-0.00259325753042</v>
      </c>
      <c r="R569" t="s">
        <v>784</v>
      </c>
      <c r="S569" t="s">
        <v>792</v>
      </c>
      <c r="T569">
        <v>50719.99604</v>
      </c>
      <c r="U569" s="2">
        <v>44507</v>
      </c>
      <c r="V569" t="s">
        <v>800</v>
      </c>
    </row>
    <row r="570" spans="1:22">
      <c r="A570" s="1" t="s">
        <v>590</v>
      </c>
      <c r="B570">
        <f>HYPERLINK("https://www.suredividend.com/sure-analysis-JNPR/","Juniper Networks Inc")</f>
        <v>0</v>
      </c>
      <c r="C570">
        <v>34.05</v>
      </c>
      <c r="D570">
        <v>26</v>
      </c>
      <c r="E570">
        <v>1.309615384615384</v>
      </c>
      <c r="F570">
        <v>0.02349486049926579</v>
      </c>
      <c r="G570">
        <v>-0.05251739299292535</v>
      </c>
      <c r="H570">
        <v>0.07000000000000001</v>
      </c>
      <c r="I570">
        <v>0.03837800669691727</v>
      </c>
      <c r="J570" t="s">
        <v>530</v>
      </c>
      <c r="K570" t="s">
        <v>530</v>
      </c>
      <c r="L570">
        <v>1.8</v>
      </c>
      <c r="M570">
        <v>0.8</v>
      </c>
      <c r="N570">
        <v>0.4444444444444445</v>
      </c>
      <c r="O570">
        <v>3</v>
      </c>
      <c r="P570">
        <v>0.04978904632428516</v>
      </c>
      <c r="Q570">
        <v>0.5630464484059441</v>
      </c>
      <c r="R570" t="s">
        <v>784</v>
      </c>
      <c r="S570" t="s">
        <v>791</v>
      </c>
      <c r="T570">
        <v>10900.070908</v>
      </c>
      <c r="U570" s="2">
        <v>44498</v>
      </c>
      <c r="V570" t="s">
        <v>805</v>
      </c>
    </row>
    <row r="571" spans="1:22">
      <c r="A571" s="1" t="s">
        <v>591</v>
      </c>
      <c r="B571">
        <f>HYPERLINK("https://www.suredividend.com/sure-analysis-SKT/","Tanger Factory Outlet Centers, Inc.")</f>
        <v>0</v>
      </c>
      <c r="C571">
        <v>19.29</v>
      </c>
      <c r="D571">
        <v>18</v>
      </c>
      <c r="E571">
        <v>1.071666666666667</v>
      </c>
      <c r="F571">
        <v>0.03784344219803007</v>
      </c>
      <c r="G571">
        <v>-0.01374763988341188</v>
      </c>
      <c r="H571">
        <v>0.015</v>
      </c>
      <c r="I571">
        <v>0.03724711424000149</v>
      </c>
      <c r="J571" t="s">
        <v>530</v>
      </c>
      <c r="K571" t="s">
        <v>349</v>
      </c>
      <c r="L571">
        <v>1.69</v>
      </c>
      <c r="M571">
        <v>0.73</v>
      </c>
      <c r="N571">
        <v>0.4319526627218935</v>
      </c>
      <c r="O571">
        <v>1</v>
      </c>
      <c r="P571">
        <v>0.01072631497080168</v>
      </c>
      <c r="Q571">
        <v>0.8150694756572211</v>
      </c>
      <c r="R571" t="s">
        <v>786</v>
      </c>
      <c r="S571" t="s">
        <v>798</v>
      </c>
      <c r="T571">
        <v>1973.626455</v>
      </c>
      <c r="U571" s="2">
        <v>44511</v>
      </c>
      <c r="V571" t="s">
        <v>805</v>
      </c>
    </row>
    <row r="572" spans="1:22">
      <c r="A572" s="1" t="s">
        <v>592</v>
      </c>
      <c r="B572">
        <f>HYPERLINK("https://www.suredividend.com/sure-analysis-DOC/","Physicians Realty Trust")</f>
        <v>0</v>
      </c>
      <c r="C572">
        <v>18.52</v>
      </c>
      <c r="D572">
        <v>16</v>
      </c>
      <c r="E572">
        <v>1.1575</v>
      </c>
      <c r="F572">
        <v>0.04967602591792657</v>
      </c>
      <c r="G572">
        <v>-0.02882878858175919</v>
      </c>
      <c r="H572">
        <v>0.017</v>
      </c>
      <c r="I572">
        <v>0.03510427353019874</v>
      </c>
      <c r="J572" t="s">
        <v>530</v>
      </c>
      <c r="K572" t="s">
        <v>781</v>
      </c>
      <c r="L572">
        <v>1.06</v>
      </c>
      <c r="M572">
        <v>0.92</v>
      </c>
      <c r="N572">
        <v>0.8679245283018868</v>
      </c>
      <c r="O572">
        <v>0</v>
      </c>
      <c r="P572">
        <v>0</v>
      </c>
      <c r="Q572">
        <v>0.07294494532220701</v>
      </c>
      <c r="R572" t="s">
        <v>786</v>
      </c>
      <c r="S572" t="s">
        <v>798</v>
      </c>
      <c r="T572">
        <v>4013.674398</v>
      </c>
      <c r="U572" s="2">
        <v>44506</v>
      </c>
      <c r="V572" t="s">
        <v>800</v>
      </c>
    </row>
    <row r="573" spans="1:22">
      <c r="A573" s="1" t="s">
        <v>593</v>
      </c>
      <c r="B573">
        <f>HYPERLINK("https://www.suredividend.com/sure-analysis-TSM/","Taiwan Semiconductor Manufacturing")</f>
        <v>0</v>
      </c>
      <c r="C573">
        <v>119.904</v>
      </c>
      <c r="D573">
        <v>72</v>
      </c>
      <c r="E573">
        <v>1.665333333333333</v>
      </c>
      <c r="F573">
        <v>0.01668001067520683</v>
      </c>
      <c r="G573">
        <v>-0.09697501829840927</v>
      </c>
      <c r="H573">
        <v>0.12</v>
      </c>
      <c r="I573">
        <v>0.03083229998759673</v>
      </c>
      <c r="J573" t="s">
        <v>530</v>
      </c>
      <c r="K573" t="s">
        <v>782</v>
      </c>
      <c r="L573">
        <v>4.05</v>
      </c>
      <c r="M573">
        <v>2</v>
      </c>
      <c r="N573">
        <v>0.4938271604938272</v>
      </c>
      <c r="O573">
        <v>7</v>
      </c>
      <c r="P573">
        <v>0.08009875865888949</v>
      </c>
      <c r="Q573">
        <v>0.140924650310371</v>
      </c>
      <c r="R573" t="s">
        <v>784</v>
      </c>
      <c r="S573" t="s">
        <v>791</v>
      </c>
      <c r="T573">
        <v>603088.788739</v>
      </c>
      <c r="U573" s="2">
        <v>44490</v>
      </c>
      <c r="V573" t="s">
        <v>807</v>
      </c>
    </row>
    <row r="574" spans="1:22">
      <c r="A574" s="1" t="s">
        <v>594</v>
      </c>
      <c r="B574">
        <f>HYPERLINK("https://www.suredividend.com/sure-analysis-CCI/","Crown Castle International Corp")</f>
        <v>0</v>
      </c>
      <c r="C574">
        <v>197</v>
      </c>
      <c r="D574">
        <v>152</v>
      </c>
      <c r="E574">
        <v>1.296052631578947</v>
      </c>
      <c r="F574">
        <v>0.02984771573604061</v>
      </c>
      <c r="G574">
        <v>-0.05054262480291283</v>
      </c>
      <c r="H574">
        <v>0.05</v>
      </c>
      <c r="I574">
        <v>0.02974756231216324</v>
      </c>
      <c r="J574" t="s">
        <v>530</v>
      </c>
      <c r="K574" t="s">
        <v>530</v>
      </c>
      <c r="L574">
        <v>6.35</v>
      </c>
      <c r="M574">
        <v>5.88</v>
      </c>
      <c r="N574">
        <v>0.925984251968504</v>
      </c>
      <c r="O574">
        <v>7</v>
      </c>
      <c r="P574">
        <v>0.04987304960985517</v>
      </c>
      <c r="Q574">
        <v>0.293739205010866</v>
      </c>
      <c r="R574" t="s">
        <v>786</v>
      </c>
      <c r="S574" t="s">
        <v>798</v>
      </c>
      <c r="T574">
        <v>84236.41303500001</v>
      </c>
      <c r="U574" s="2">
        <v>44493</v>
      </c>
      <c r="V574" t="s">
        <v>804</v>
      </c>
    </row>
    <row r="575" spans="1:22">
      <c r="A575" s="1" t="s">
        <v>595</v>
      </c>
      <c r="B575">
        <f>HYPERLINK("https://www.suredividend.com/sure-analysis-RGA/","Reinsurance Group Of America, Inc.")</f>
        <v>0</v>
      </c>
      <c r="C575">
        <v>103.52</v>
      </c>
      <c r="D575">
        <v>50</v>
      </c>
      <c r="E575">
        <v>2.0704</v>
      </c>
      <c r="F575">
        <v>0.02820710973724884</v>
      </c>
      <c r="G575">
        <v>-0.135451924860983</v>
      </c>
      <c r="H575">
        <v>0.15</v>
      </c>
      <c r="I575">
        <v>0.02931325643364358</v>
      </c>
      <c r="J575" t="s">
        <v>530</v>
      </c>
      <c r="K575" t="s">
        <v>530</v>
      </c>
      <c r="L575">
        <v>4.2</v>
      </c>
      <c r="M575">
        <v>2.92</v>
      </c>
      <c r="N575">
        <v>0.6952380952380952</v>
      </c>
      <c r="O575">
        <v>11</v>
      </c>
      <c r="P575">
        <v>0.08986498009382693</v>
      </c>
      <c r="Q575">
        <v>-0.09624675877819101</v>
      </c>
      <c r="R575" t="s">
        <v>784</v>
      </c>
      <c r="S575" t="s">
        <v>794</v>
      </c>
      <c r="T575">
        <v>7014.191668</v>
      </c>
      <c r="U575" s="2">
        <v>44511</v>
      </c>
      <c r="V575" t="s">
        <v>805</v>
      </c>
    </row>
    <row r="576" spans="1:22">
      <c r="A576" s="1" t="s">
        <v>596</v>
      </c>
      <c r="B576">
        <f>HYPERLINK("https://www.suredividend.com/sure-analysis-CODI/","Compass Diversified Holdings")</f>
        <v>0</v>
      </c>
      <c r="C576">
        <v>31.88</v>
      </c>
      <c r="D576">
        <v>24</v>
      </c>
      <c r="E576">
        <v>1.328333333333333</v>
      </c>
      <c r="F576">
        <v>0.0451693851944793</v>
      </c>
      <c r="G576">
        <v>-0.05520282552961042</v>
      </c>
      <c r="H576">
        <v>0.04</v>
      </c>
      <c r="I576">
        <v>0.02687085067182449</v>
      </c>
      <c r="J576" t="s">
        <v>530</v>
      </c>
      <c r="K576" t="s">
        <v>349</v>
      </c>
      <c r="L576">
        <v>2.4</v>
      </c>
      <c r="M576">
        <v>1.44</v>
      </c>
      <c r="N576">
        <v>0.6</v>
      </c>
      <c r="O576">
        <v>0</v>
      </c>
      <c r="P576">
        <v>0</v>
      </c>
      <c r="Q576">
        <v>0.715763042081849</v>
      </c>
      <c r="R576" t="s">
        <v>784</v>
      </c>
      <c r="S576" t="s">
        <v>790</v>
      </c>
      <c r="T576">
        <v>2131.526462</v>
      </c>
      <c r="U576" s="2">
        <v>44504</v>
      </c>
      <c r="V576" t="s">
        <v>801</v>
      </c>
    </row>
    <row r="577" spans="1:22">
      <c r="A577" s="1" t="s">
        <v>597</v>
      </c>
      <c r="B577">
        <f>HYPERLINK("https://www.suredividend.com/sure-analysis-STX/","Seagate Technology Holdings Plc")</f>
        <v>0</v>
      </c>
      <c r="C577">
        <v>104.53</v>
      </c>
      <c r="D577">
        <v>89</v>
      </c>
      <c r="E577">
        <v>1.174494382022472</v>
      </c>
      <c r="F577">
        <v>0.02678656844924902</v>
      </c>
      <c r="G577">
        <v>-0.03165567601927666</v>
      </c>
      <c r="H577">
        <v>0.03</v>
      </c>
      <c r="I577">
        <v>0.02500160929989503</v>
      </c>
      <c r="J577" t="s">
        <v>530</v>
      </c>
      <c r="K577" t="s">
        <v>530</v>
      </c>
      <c r="L577">
        <v>8.9</v>
      </c>
      <c r="M577">
        <v>2.8</v>
      </c>
      <c r="N577">
        <v>0.3146067415730337</v>
      </c>
      <c r="O577">
        <v>3</v>
      </c>
      <c r="P577">
        <v>0.02513307572787737</v>
      </c>
      <c r="Q577">
        <v>0.037306163283574</v>
      </c>
      <c r="R577" t="s">
        <v>784</v>
      </c>
      <c r="S577" t="s">
        <v>791</v>
      </c>
      <c r="T577">
        <v>22806.826206</v>
      </c>
      <c r="U577" s="2">
        <v>44507</v>
      </c>
      <c r="V577" t="s">
        <v>801</v>
      </c>
    </row>
    <row r="578" spans="1:22">
      <c r="A578" s="1" t="s">
        <v>598</v>
      </c>
      <c r="B578">
        <f>HYPERLINK("https://www.suredividend.com/sure-analysis-CNQ/","Canadian Natural Resources Ltd.")</f>
        <v>0</v>
      </c>
      <c r="C578">
        <v>39.59</v>
      </c>
      <c r="D578">
        <v>50</v>
      </c>
      <c r="E578">
        <v>0.7918000000000001</v>
      </c>
      <c r="F578">
        <v>0.04773932811315988</v>
      </c>
      <c r="G578">
        <v>0.04779639648582346</v>
      </c>
      <c r="H578">
        <v>-0.07000000000000001</v>
      </c>
      <c r="I578">
        <v>0.02448408171817595</v>
      </c>
      <c r="J578" t="s">
        <v>530</v>
      </c>
      <c r="K578" t="s">
        <v>781</v>
      </c>
      <c r="L578">
        <v>4.2</v>
      </c>
      <c r="M578">
        <v>1.89</v>
      </c>
      <c r="N578">
        <v>0.45</v>
      </c>
      <c r="O578">
        <v>5</v>
      </c>
      <c r="P578">
        <v>0.01539184863075338</v>
      </c>
      <c r="Q578">
        <v>0.6835619415291391</v>
      </c>
      <c r="R578" t="s">
        <v>784</v>
      </c>
      <c r="S578" t="s">
        <v>797</v>
      </c>
      <c r="T578">
        <v>46507.950908</v>
      </c>
      <c r="U578" s="2">
        <v>44522</v>
      </c>
      <c r="V578" t="s">
        <v>807</v>
      </c>
    </row>
    <row r="579" spans="1:22">
      <c r="A579" s="1" t="s">
        <v>599</v>
      </c>
      <c r="B579">
        <f>HYPERLINK("https://www.suredividend.com/sure-analysis-UBS/","UBS Group AG")</f>
        <v>0</v>
      </c>
      <c r="C579">
        <v>17.59</v>
      </c>
      <c r="D579">
        <v>16</v>
      </c>
      <c r="E579">
        <v>1.099375</v>
      </c>
      <c r="F579">
        <v>0.02103467879476975</v>
      </c>
      <c r="G579">
        <v>-0.01876997551153481</v>
      </c>
      <c r="H579">
        <v>0.02</v>
      </c>
      <c r="I579">
        <v>0.02342494907576098</v>
      </c>
      <c r="J579" t="s">
        <v>530</v>
      </c>
      <c r="K579" t="s">
        <v>530</v>
      </c>
      <c r="L579">
        <v>1.35</v>
      </c>
      <c r="M579">
        <v>0.37</v>
      </c>
      <c r="N579">
        <v>0.274074074074074</v>
      </c>
      <c r="O579">
        <v>0</v>
      </c>
      <c r="P579">
        <v>0.03992533304330625</v>
      </c>
      <c r="Q579">
        <v>0.288777620550778</v>
      </c>
      <c r="R579" t="s">
        <v>784</v>
      </c>
      <c r="S579" t="s">
        <v>794</v>
      </c>
      <c r="T579">
        <v>65755.032391</v>
      </c>
      <c r="U579" s="2">
        <v>44498</v>
      </c>
      <c r="V579" t="s">
        <v>807</v>
      </c>
    </row>
    <row r="580" spans="1:22">
      <c r="A580" s="1" t="s">
        <v>600</v>
      </c>
      <c r="B580">
        <f>HYPERLINK("https://www.suredividend.com/sure-analysis-BRX/","Brixmor Property Group Inc")</f>
        <v>0</v>
      </c>
      <c r="C580">
        <v>23.57</v>
      </c>
      <c r="D580">
        <v>20</v>
      </c>
      <c r="E580">
        <v>1.1785</v>
      </c>
      <c r="F580">
        <v>0.04072974119643614</v>
      </c>
      <c r="G580">
        <v>-0.03231483625968823</v>
      </c>
      <c r="H580">
        <v>0.006</v>
      </c>
      <c r="I580">
        <v>0.01885445794453489</v>
      </c>
      <c r="J580" t="s">
        <v>530</v>
      </c>
      <c r="K580" t="s">
        <v>349</v>
      </c>
      <c r="L580">
        <v>1.73</v>
      </c>
      <c r="M580">
        <v>0.96</v>
      </c>
      <c r="N580">
        <v>0.5549132947976878</v>
      </c>
      <c r="O580">
        <v>1</v>
      </c>
      <c r="P580">
        <v>0.03131030647754507</v>
      </c>
      <c r="Q580">
        <v>0.533804768189309</v>
      </c>
      <c r="R580" t="s">
        <v>786</v>
      </c>
      <c r="S580" t="s">
        <v>798</v>
      </c>
      <c r="T580">
        <v>6937.650075</v>
      </c>
      <c r="U580" s="2">
        <v>44516</v>
      </c>
      <c r="V580" t="s">
        <v>809</v>
      </c>
    </row>
    <row r="581" spans="1:22">
      <c r="A581" s="1" t="s">
        <v>601</v>
      </c>
      <c r="B581">
        <f>HYPERLINK("https://www.suredividend.com/sure-analysis-AVGO/","Broadcom Inc")</f>
        <v>0</v>
      </c>
      <c r="C581">
        <v>639.86</v>
      </c>
      <c r="D581">
        <v>420</v>
      </c>
      <c r="E581">
        <v>1.52347619047619</v>
      </c>
      <c r="F581">
        <v>0.02563060669521458</v>
      </c>
      <c r="G581">
        <v>-0.08075163573833199</v>
      </c>
      <c r="H581">
        <v>0.075</v>
      </c>
      <c r="I581">
        <v>0.01776748707199793</v>
      </c>
      <c r="J581" t="s">
        <v>530</v>
      </c>
      <c r="K581" t="s">
        <v>530</v>
      </c>
      <c r="L581">
        <v>28</v>
      </c>
      <c r="M581">
        <v>16.4</v>
      </c>
      <c r="N581">
        <v>0.5857142857142856</v>
      </c>
      <c r="O581">
        <v>11</v>
      </c>
      <c r="P581">
        <v>0.05228738264860588</v>
      </c>
      <c r="Q581">
        <v>0.540810003350186</v>
      </c>
      <c r="R581" t="s">
        <v>784</v>
      </c>
      <c r="S581" t="s">
        <v>791</v>
      </c>
      <c r="T581">
        <v>253106.971654</v>
      </c>
      <c r="U581" s="2">
        <v>44453</v>
      </c>
      <c r="V581" t="s">
        <v>801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29.31</v>
      </c>
      <c r="D582">
        <v>20</v>
      </c>
      <c r="E582">
        <v>1.4655</v>
      </c>
      <c r="F582">
        <v>0.0170590242238144</v>
      </c>
      <c r="G582">
        <v>-0.07359085089359974</v>
      </c>
      <c r="H582">
        <v>0.07000000000000001</v>
      </c>
      <c r="I582">
        <v>0.01208360743417058</v>
      </c>
      <c r="J582" t="s">
        <v>530</v>
      </c>
      <c r="K582" t="s">
        <v>782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0.349317155473898</v>
      </c>
      <c r="R582" t="s">
        <v>784</v>
      </c>
      <c r="S582" t="s">
        <v>797</v>
      </c>
      <c r="T582">
        <v>41616.108827</v>
      </c>
      <c r="U582" s="2">
        <v>44493</v>
      </c>
      <c r="V582" t="s">
        <v>807</v>
      </c>
    </row>
    <row r="583" spans="1:22">
      <c r="A583" s="1" t="s">
        <v>603</v>
      </c>
      <c r="B583">
        <f>HYPERLINK("https://www.suredividend.com/sure-analysis-TM/","Toyota Motor Corporation")</f>
        <v>0</v>
      </c>
      <c r="C583">
        <v>186.75</v>
      </c>
      <c r="D583">
        <v>150</v>
      </c>
      <c r="E583">
        <v>1.245</v>
      </c>
      <c r="F583">
        <v>0.02356091030789826</v>
      </c>
      <c r="G583">
        <v>-0.04288057660986022</v>
      </c>
      <c r="H583">
        <v>0.03</v>
      </c>
      <c r="I583">
        <v>0.009603445050390347</v>
      </c>
      <c r="J583" t="s">
        <v>530</v>
      </c>
      <c r="K583" t="s">
        <v>530</v>
      </c>
      <c r="L583">
        <v>15.8</v>
      </c>
      <c r="M583">
        <v>4.4</v>
      </c>
      <c r="N583">
        <v>0.2784810126582278</v>
      </c>
      <c r="O583">
        <v>0</v>
      </c>
      <c r="P583">
        <v>0</v>
      </c>
      <c r="Q583">
        <v>0.209751893123191</v>
      </c>
      <c r="R583" t="s">
        <v>784</v>
      </c>
      <c r="S583" t="s">
        <v>792</v>
      </c>
      <c r="T583">
        <v>294942.343302</v>
      </c>
      <c r="U583" s="2">
        <v>44529</v>
      </c>
      <c r="V583" t="s">
        <v>801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162.56</v>
      </c>
      <c r="D584">
        <v>99</v>
      </c>
      <c r="E584">
        <v>1.642020202020202</v>
      </c>
      <c r="F584">
        <v>0.01550196850393701</v>
      </c>
      <c r="G584">
        <v>-0.09442525802523694</v>
      </c>
      <c r="H584">
        <v>0.09</v>
      </c>
      <c r="I584">
        <v>0.006943923547987341</v>
      </c>
      <c r="J584" t="s">
        <v>530</v>
      </c>
      <c r="K584" t="s">
        <v>782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0.6812908856726431</v>
      </c>
      <c r="R584" t="s">
        <v>786</v>
      </c>
      <c r="S584" t="s">
        <v>798</v>
      </c>
      <c r="T584">
        <v>117353.37471</v>
      </c>
      <c r="U584" s="2">
        <v>44486</v>
      </c>
      <c r="V584" t="s">
        <v>799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8.737</v>
      </c>
      <c r="D585">
        <v>6.5</v>
      </c>
      <c r="E585">
        <v>1.344153846153846</v>
      </c>
      <c r="F585">
        <v>0.03891495936820419</v>
      </c>
      <c r="G585">
        <v>-0.05743739822364147</v>
      </c>
      <c r="H585">
        <v>0</v>
      </c>
      <c r="I585">
        <v>-0.001875373634314337</v>
      </c>
      <c r="J585" t="s">
        <v>530</v>
      </c>
      <c r="K585" t="s">
        <v>349</v>
      </c>
      <c r="L585">
        <v>1.3</v>
      </c>
      <c r="M585">
        <v>0.34</v>
      </c>
      <c r="N585">
        <v>0.2615384615384616</v>
      </c>
      <c r="O585">
        <v>0</v>
      </c>
      <c r="P585">
        <v>0.0801851873035635</v>
      </c>
      <c r="Q585">
        <v>0.5951492537313431</v>
      </c>
      <c r="R585" t="s">
        <v>784</v>
      </c>
      <c r="S585" t="s">
        <v>797</v>
      </c>
      <c r="T585">
        <v>101204.267648</v>
      </c>
      <c r="U585" s="2">
        <v>44530</v>
      </c>
      <c r="V585" t="s">
        <v>807</v>
      </c>
    </row>
    <row r="586" spans="1:22">
      <c r="A586" s="1" t="s">
        <v>606</v>
      </c>
      <c r="B586">
        <f>HYPERLINK("https://www.suredividend.com/sure-analysis-ELS/","Equity Lifestyle Properties Inc.")</f>
        <v>0</v>
      </c>
      <c r="C586">
        <v>84.78</v>
      </c>
      <c r="D586">
        <v>53</v>
      </c>
      <c r="E586">
        <v>1.599622641509434</v>
      </c>
      <c r="F586">
        <v>0.017103090351498</v>
      </c>
      <c r="G586">
        <v>-0.089674954574823</v>
      </c>
      <c r="H586">
        <v>0.07000000000000001</v>
      </c>
      <c r="I586">
        <v>-0.00364206639202147</v>
      </c>
      <c r="J586" t="s">
        <v>530</v>
      </c>
      <c r="K586" t="s">
        <v>782</v>
      </c>
      <c r="L586">
        <v>2.51</v>
      </c>
      <c r="M586">
        <v>1.45</v>
      </c>
      <c r="N586">
        <v>0.5776892430278885</v>
      </c>
      <c r="O586">
        <v>17</v>
      </c>
      <c r="P586">
        <v>0.06961037572506878</v>
      </c>
      <c r="Q586">
        <v>0.3915575938138111</v>
      </c>
      <c r="R586" t="s">
        <v>786</v>
      </c>
      <c r="S586" t="s">
        <v>798</v>
      </c>
      <c r="T586">
        <v>15283.303284</v>
      </c>
      <c r="U586" s="2">
        <v>44493</v>
      </c>
      <c r="V586" t="s">
        <v>802</v>
      </c>
    </row>
    <row r="587" spans="1:22">
      <c r="A587" s="1" t="s">
        <v>607</v>
      </c>
      <c r="B587">
        <f>HYPERLINK("https://www.suredividend.com/sure-analysis-ARE/","Alexandria Real Estate Equities Inc.")</f>
        <v>0</v>
      </c>
      <c r="C587">
        <v>218.57</v>
      </c>
      <c r="D587">
        <v>140</v>
      </c>
      <c r="E587">
        <v>1.561214285714286</v>
      </c>
      <c r="F587">
        <v>0.02104588918881823</v>
      </c>
      <c r="G587">
        <v>-0.08523930309586958</v>
      </c>
      <c r="H587">
        <v>0.06</v>
      </c>
      <c r="I587">
        <v>-0.003842409568986294</v>
      </c>
      <c r="J587" t="s">
        <v>530</v>
      </c>
      <c r="K587" t="s">
        <v>782</v>
      </c>
      <c r="L587">
        <v>7.75</v>
      </c>
      <c r="M587">
        <v>4.6</v>
      </c>
      <c r="N587">
        <v>0.5935483870967742</v>
      </c>
      <c r="O587">
        <v>12</v>
      </c>
      <c r="P587">
        <v>0.05457794330579446</v>
      </c>
      <c r="Q587">
        <v>0.25720927887937</v>
      </c>
      <c r="R587" t="s">
        <v>786</v>
      </c>
      <c r="S587" t="s">
        <v>798</v>
      </c>
      <c r="T587">
        <v>32850.891921</v>
      </c>
      <c r="U587" s="2">
        <v>44496</v>
      </c>
      <c r="V587" t="s">
        <v>803</v>
      </c>
    </row>
    <row r="588" spans="1:22">
      <c r="A588" s="1" t="s">
        <v>608</v>
      </c>
      <c r="B588">
        <f>HYPERLINK("https://www.suredividend.com/sure-analysis-JCI/","Johnson Controls International plc")</f>
        <v>0</v>
      </c>
      <c r="C588">
        <v>78.64</v>
      </c>
      <c r="D588">
        <v>52</v>
      </c>
      <c r="E588">
        <v>1.512307692307692</v>
      </c>
      <c r="F588">
        <v>0.01729399796541201</v>
      </c>
      <c r="G588">
        <v>-0.07939788616418542</v>
      </c>
      <c r="H588">
        <v>0.06</v>
      </c>
      <c r="I588">
        <v>-0.005098979475500531</v>
      </c>
      <c r="J588" t="s">
        <v>530</v>
      </c>
      <c r="K588" t="s">
        <v>782</v>
      </c>
      <c r="L588">
        <v>3.27</v>
      </c>
      <c r="M588">
        <v>1.36</v>
      </c>
      <c r="N588">
        <v>0.4159021406727829</v>
      </c>
      <c r="O588">
        <v>2</v>
      </c>
      <c r="P588">
        <v>0.01289824528018912</v>
      </c>
      <c r="Q588">
        <v>0.7555263644940391</v>
      </c>
      <c r="R588" t="s">
        <v>784</v>
      </c>
      <c r="S588" t="s">
        <v>790</v>
      </c>
      <c r="T588">
        <v>54782.973683</v>
      </c>
      <c r="U588" s="2">
        <v>44511</v>
      </c>
      <c r="V588" t="s">
        <v>803</v>
      </c>
    </row>
    <row r="589" spans="1:22">
      <c r="A589" s="1" t="s">
        <v>609</v>
      </c>
      <c r="B589">
        <f>HYPERLINK("https://www.suredividend.com/sure-analysis-EXPO/","Exponent Inc.")</f>
        <v>0</v>
      </c>
      <c r="C589">
        <v>119.49</v>
      </c>
      <c r="D589">
        <v>72</v>
      </c>
      <c r="E589">
        <v>1.659583333333333</v>
      </c>
      <c r="F589">
        <v>0.00669512093062181</v>
      </c>
      <c r="G589">
        <v>-0.09635013705534889</v>
      </c>
      <c r="H589">
        <v>0.09</v>
      </c>
      <c r="I589">
        <v>-0.005915803943332354</v>
      </c>
      <c r="J589" t="s">
        <v>530</v>
      </c>
      <c r="K589" t="s">
        <v>782</v>
      </c>
      <c r="L589">
        <v>1.9</v>
      </c>
      <c r="M589">
        <v>0.8</v>
      </c>
      <c r="N589">
        <v>0.4210526315789474</v>
      </c>
      <c r="O589">
        <v>8</v>
      </c>
      <c r="P589">
        <v>0.08984070585040471</v>
      </c>
      <c r="Q589">
        <v>0.4027543972352861</v>
      </c>
      <c r="R589" t="s">
        <v>784</v>
      </c>
      <c r="S589" t="s">
        <v>790</v>
      </c>
      <c r="T589">
        <v>6235.663047</v>
      </c>
      <c r="U589" s="2">
        <v>44501</v>
      </c>
      <c r="V589" t="s">
        <v>805</v>
      </c>
    </row>
    <row r="590" spans="1:22">
      <c r="A590" s="1" t="s">
        <v>610</v>
      </c>
      <c r="B590">
        <f>HYPERLINK("https://www.suredividend.com/sure-analysis-TRGP/","Targa Resources Corp")</f>
        <v>0</v>
      </c>
      <c r="C590">
        <v>50.92</v>
      </c>
      <c r="D590">
        <v>36</v>
      </c>
      <c r="E590">
        <v>1.414444444444444</v>
      </c>
      <c r="F590">
        <v>0.02749410840534171</v>
      </c>
      <c r="G590">
        <v>-0.06699747055130478</v>
      </c>
      <c r="H590">
        <v>0.03</v>
      </c>
      <c r="I590">
        <v>-0.006352033845857363</v>
      </c>
      <c r="J590" t="s">
        <v>530</v>
      </c>
      <c r="K590" t="s">
        <v>530</v>
      </c>
      <c r="L590">
        <v>5.2</v>
      </c>
      <c r="M590">
        <v>1.4</v>
      </c>
      <c r="N590">
        <v>0.2692307692307692</v>
      </c>
      <c r="O590">
        <v>0</v>
      </c>
      <c r="P590">
        <v>0.02706608708935176</v>
      </c>
      <c r="Q590">
        <v>0.856367266057208</v>
      </c>
      <c r="R590" t="s">
        <v>784</v>
      </c>
      <c r="S590" t="s">
        <v>797</v>
      </c>
      <c r="T590">
        <v>11540.175192</v>
      </c>
      <c r="U590" s="2">
        <v>44515</v>
      </c>
      <c r="V590" t="s">
        <v>807</v>
      </c>
    </row>
    <row r="591" spans="1:22">
      <c r="A591" s="1" t="s">
        <v>611</v>
      </c>
      <c r="B591">
        <f>HYPERLINK("https://www.suredividend.com/sure-analysis-TRSWF/","TransAlta Renewables, Inc.")</f>
        <v>0</v>
      </c>
      <c r="C591">
        <v>14.26</v>
      </c>
      <c r="D591">
        <v>9</v>
      </c>
      <c r="E591">
        <v>1.584444444444444</v>
      </c>
      <c r="F591">
        <v>0.05329593267882188</v>
      </c>
      <c r="G591">
        <v>-0.08793750636237796</v>
      </c>
      <c r="H591">
        <v>0.02</v>
      </c>
      <c r="I591">
        <v>-0.006586626461245415</v>
      </c>
      <c r="J591" t="s">
        <v>530</v>
      </c>
      <c r="K591" t="s">
        <v>781</v>
      </c>
      <c r="L591">
        <v>0.8</v>
      </c>
      <c r="M591">
        <v>0.76</v>
      </c>
      <c r="N591">
        <v>0.95</v>
      </c>
      <c r="O591">
        <v>0</v>
      </c>
      <c r="P591">
        <v>0.005208615197356048</v>
      </c>
      <c r="Q591">
        <v>-0.000140134529148</v>
      </c>
      <c r="R591" t="s">
        <v>784</v>
      </c>
      <c r="S591" t="s">
        <v>796</v>
      </c>
      <c r="T591">
        <v>3808.145584</v>
      </c>
      <c r="U591" s="2">
        <v>44515</v>
      </c>
      <c r="V591" t="s">
        <v>805</v>
      </c>
    </row>
    <row r="592" spans="1:22">
      <c r="A592" s="1" t="s">
        <v>612</v>
      </c>
      <c r="B592">
        <f>HYPERLINK("https://www.suredividend.com/sure-analysis-WPM/","Wheaton Precious Metals Corp")</f>
        <v>0</v>
      </c>
      <c r="C592">
        <v>39.16</v>
      </c>
      <c r="D592">
        <v>38</v>
      </c>
      <c r="E592">
        <v>1.030526315789474</v>
      </c>
      <c r="F592">
        <v>0.0153217568947906</v>
      </c>
      <c r="G592">
        <v>-0.005995884097530602</v>
      </c>
      <c r="H592">
        <v>-0.02</v>
      </c>
      <c r="I592">
        <v>-0.00848441306295733</v>
      </c>
      <c r="J592" t="s">
        <v>530</v>
      </c>
      <c r="K592" t="s">
        <v>782</v>
      </c>
      <c r="L592">
        <v>1.35</v>
      </c>
      <c r="M592">
        <v>0.6</v>
      </c>
      <c r="N592">
        <v>0.4444444444444444</v>
      </c>
      <c r="O592">
        <v>2</v>
      </c>
      <c r="P592">
        <v>0.01924487649145656</v>
      </c>
      <c r="Q592">
        <v>0.009302102985589001</v>
      </c>
      <c r="R592" t="s">
        <v>784</v>
      </c>
      <c r="S592" t="s">
        <v>793</v>
      </c>
      <c r="T592">
        <v>18051.827992</v>
      </c>
      <c r="U592" s="2">
        <v>44528</v>
      </c>
      <c r="V592" t="s">
        <v>804</v>
      </c>
    </row>
    <row r="593" spans="1:22">
      <c r="A593" s="1" t="s">
        <v>613</v>
      </c>
      <c r="B593">
        <f>HYPERLINK("https://www.suredividend.com/sure-analysis-DRE/","Duke Realty Corp")</f>
        <v>0</v>
      </c>
      <c r="C593">
        <v>62.88</v>
      </c>
      <c r="D593">
        <v>38</v>
      </c>
      <c r="E593">
        <v>1.654736842105263</v>
      </c>
      <c r="F593">
        <v>0.0178117048346056</v>
      </c>
      <c r="G593">
        <v>-0.09582142346069333</v>
      </c>
      <c r="H593">
        <v>0.07000000000000001</v>
      </c>
      <c r="I593">
        <v>-0.009357242714808645</v>
      </c>
      <c r="J593" t="s">
        <v>530</v>
      </c>
      <c r="K593" t="s">
        <v>782</v>
      </c>
      <c r="L593">
        <v>1.72</v>
      </c>
      <c r="M593">
        <v>1.12</v>
      </c>
      <c r="N593">
        <v>0.6511627906976745</v>
      </c>
      <c r="O593">
        <v>7</v>
      </c>
      <c r="P593">
        <v>0.06016789231717423</v>
      </c>
      <c r="Q593">
        <v>0.6405387852515191</v>
      </c>
      <c r="R593" t="s">
        <v>786</v>
      </c>
      <c r="S593" t="s">
        <v>798</v>
      </c>
      <c r="T593">
        <v>23666.037642</v>
      </c>
      <c r="U593" s="2">
        <v>44499</v>
      </c>
      <c r="V593" t="s">
        <v>802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35.08</v>
      </c>
      <c r="D594">
        <v>22</v>
      </c>
      <c r="E594">
        <v>1.594545454545454</v>
      </c>
      <c r="F594">
        <v>0.03876852907639681</v>
      </c>
      <c r="G594">
        <v>-0.08909597891212462</v>
      </c>
      <c r="H594">
        <v>0.03</v>
      </c>
      <c r="I594">
        <v>-0.009727815586983213</v>
      </c>
      <c r="J594" t="s">
        <v>530</v>
      </c>
      <c r="K594" t="s">
        <v>349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0.194130995040711</v>
      </c>
      <c r="R594" t="s">
        <v>784</v>
      </c>
      <c r="S594" t="s">
        <v>796</v>
      </c>
      <c r="T594">
        <v>3971.487899</v>
      </c>
      <c r="U594" s="2">
        <v>44515</v>
      </c>
      <c r="V594" t="s">
        <v>805</v>
      </c>
    </row>
    <row r="595" spans="1:22">
      <c r="A595" s="1" t="s">
        <v>615</v>
      </c>
      <c r="B595">
        <f>HYPERLINK("https://www.suredividend.com/sure-analysis-COR/","CoreSite Realty Corporation")</f>
        <v>0</v>
      </c>
      <c r="C595">
        <v>170.1</v>
      </c>
      <c r="D595">
        <v>106</v>
      </c>
      <c r="E595">
        <v>1.604716981132075</v>
      </c>
      <c r="F595">
        <v>0.02986478542034098</v>
      </c>
      <c r="G595">
        <v>-0.09025367407989349</v>
      </c>
      <c r="H595">
        <v>0.046</v>
      </c>
      <c r="I595">
        <v>-0.01294062260112017</v>
      </c>
      <c r="J595" t="s">
        <v>530</v>
      </c>
      <c r="K595" t="s">
        <v>530</v>
      </c>
      <c r="L595">
        <v>5.58</v>
      </c>
      <c r="M595">
        <v>5.08</v>
      </c>
      <c r="N595">
        <v>0.910394265232975</v>
      </c>
      <c r="O595">
        <v>10</v>
      </c>
      <c r="P595">
        <v>0.01601424134469998</v>
      </c>
      <c r="Q595">
        <v>0.4987505268597041</v>
      </c>
      <c r="R595" t="s">
        <v>786</v>
      </c>
      <c r="S595" t="s">
        <v>798</v>
      </c>
      <c r="T595">
        <v>7512.286638</v>
      </c>
      <c r="U595" s="2">
        <v>44503</v>
      </c>
      <c r="V595" t="s">
        <v>808</v>
      </c>
    </row>
    <row r="596" spans="1:22">
      <c r="A596" s="1" t="s">
        <v>616</v>
      </c>
      <c r="B596">
        <f>HYPERLINK("https://www.suredividend.com/sure-analysis-EXC/","Exelon Corp.")</f>
        <v>0</v>
      </c>
      <c r="C596">
        <v>54.69</v>
      </c>
      <c r="D596">
        <v>38</v>
      </c>
      <c r="E596">
        <v>1.439210526315789</v>
      </c>
      <c r="F596">
        <v>0.02797586396050467</v>
      </c>
      <c r="G596">
        <v>-0.07023084448837258</v>
      </c>
      <c r="H596">
        <v>0.02</v>
      </c>
      <c r="I596">
        <v>-0.01746272539033844</v>
      </c>
      <c r="J596" t="s">
        <v>530</v>
      </c>
      <c r="K596" t="s">
        <v>530</v>
      </c>
      <c r="L596">
        <v>2.8</v>
      </c>
      <c r="M596">
        <v>1.53</v>
      </c>
      <c r="N596">
        <v>0.5464285714285715</v>
      </c>
      <c r="O596">
        <v>5</v>
      </c>
      <c r="P596">
        <v>0.02009132612636422</v>
      </c>
      <c r="Q596">
        <v>0.356259192843182</v>
      </c>
      <c r="R596" t="s">
        <v>784</v>
      </c>
      <c r="S596" t="s">
        <v>796</v>
      </c>
      <c r="T596">
        <v>52656.288741</v>
      </c>
      <c r="U596" s="2">
        <v>44504</v>
      </c>
      <c r="V596" t="s">
        <v>800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63.77</v>
      </c>
      <c r="D597">
        <v>36</v>
      </c>
      <c r="E597">
        <v>1.771388888888889</v>
      </c>
      <c r="F597">
        <v>0.01693586325858554</v>
      </c>
      <c r="G597">
        <v>-0.1080567632649324</v>
      </c>
      <c r="H597">
        <v>0.07000000000000001</v>
      </c>
      <c r="I597">
        <v>-0.02233929297190917</v>
      </c>
      <c r="J597" t="s">
        <v>530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0.565670849396902</v>
      </c>
      <c r="R597" t="s">
        <v>786</v>
      </c>
      <c r="S597" t="s">
        <v>798</v>
      </c>
      <c r="T597">
        <v>8149.485431</v>
      </c>
      <c r="U597" s="2">
        <v>44492</v>
      </c>
      <c r="V597" t="s">
        <v>802</v>
      </c>
    </row>
    <row r="598" spans="1:22">
      <c r="A598" s="1" t="s">
        <v>618</v>
      </c>
      <c r="B598">
        <f>HYPERLINK("https://www.suredividend.com/sure-analysis-CME/","CME Group Inc")</f>
        <v>0</v>
      </c>
      <c r="C598">
        <v>227.65</v>
      </c>
      <c r="D598">
        <v>133</v>
      </c>
      <c r="E598">
        <v>1.711654135338346</v>
      </c>
      <c r="F598">
        <v>0.01581374917636723</v>
      </c>
      <c r="G598">
        <v>-0.1019163348593916</v>
      </c>
      <c r="H598">
        <v>0.054</v>
      </c>
      <c r="I598">
        <v>-0.03217311888526597</v>
      </c>
      <c r="J598" t="s">
        <v>530</v>
      </c>
      <c r="K598" t="s">
        <v>782</v>
      </c>
      <c r="L598">
        <v>6.65</v>
      </c>
      <c r="M598">
        <v>3.6</v>
      </c>
      <c r="N598">
        <v>0.5413533834586466</v>
      </c>
      <c r="O598">
        <v>17</v>
      </c>
      <c r="P598">
        <v>0.04047680696561917</v>
      </c>
      <c r="Q598">
        <v>0.321778589452259</v>
      </c>
      <c r="R598" t="s">
        <v>784</v>
      </c>
      <c r="S598" t="s">
        <v>794</v>
      </c>
      <c r="T598">
        <v>81780.598256</v>
      </c>
      <c r="U598" s="2">
        <v>44503</v>
      </c>
      <c r="V598" t="s">
        <v>808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42.01</v>
      </c>
      <c r="D599">
        <v>29</v>
      </c>
      <c r="E599">
        <v>1.448620689655172</v>
      </c>
      <c r="F599">
        <v>0.009521542489883362</v>
      </c>
      <c r="G599">
        <v>-0.07144194172575102</v>
      </c>
      <c r="H599">
        <v>0.03</v>
      </c>
      <c r="I599">
        <v>-0.03246723350799352</v>
      </c>
      <c r="J599" t="s">
        <v>530</v>
      </c>
      <c r="K599" t="s">
        <v>782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0.398334797023602</v>
      </c>
      <c r="R599" t="s">
        <v>786</v>
      </c>
      <c r="S599" t="s">
        <v>798</v>
      </c>
      <c r="T599">
        <v>13710.883723</v>
      </c>
      <c r="U599" s="2">
        <v>44506</v>
      </c>
      <c r="V599" t="s">
        <v>800</v>
      </c>
    </row>
    <row r="600" spans="1:22">
      <c r="A600" s="1" t="s">
        <v>620</v>
      </c>
      <c r="B600">
        <f>HYPERLINK("https://www.suredividend.com/sure-analysis-CMP/","Compass Minerals International Inc")</f>
        <v>0</v>
      </c>
      <c r="C600">
        <v>53.79</v>
      </c>
      <c r="D600">
        <v>33</v>
      </c>
      <c r="E600">
        <v>1.63</v>
      </c>
      <c r="F600">
        <v>0.01115448968209704</v>
      </c>
      <c r="G600">
        <v>-0.09309357407844399</v>
      </c>
      <c r="H600">
        <v>0.05</v>
      </c>
      <c r="I600">
        <v>-0.03455331590106692</v>
      </c>
      <c r="J600" t="s">
        <v>530</v>
      </c>
      <c r="K600" t="s">
        <v>782</v>
      </c>
      <c r="L600">
        <v>1.45</v>
      </c>
      <c r="M600">
        <v>0.6</v>
      </c>
      <c r="N600">
        <v>0.4137931034482759</v>
      </c>
      <c r="O600">
        <v>0</v>
      </c>
      <c r="P600">
        <v>0</v>
      </c>
      <c r="Q600">
        <v>-0.11630793657735</v>
      </c>
      <c r="R600" t="s">
        <v>784</v>
      </c>
      <c r="S600" t="s">
        <v>793</v>
      </c>
      <c r="T600">
        <v>1788.394401</v>
      </c>
      <c r="U600" s="2">
        <v>44520</v>
      </c>
      <c r="V600" t="s">
        <v>799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375.3</v>
      </c>
      <c r="D601">
        <v>201</v>
      </c>
      <c r="E601">
        <v>1.867164179104478</v>
      </c>
      <c r="F601">
        <v>0.01033839594990674</v>
      </c>
      <c r="G601">
        <v>-0.1174008627143265</v>
      </c>
      <c r="H601">
        <v>0.075</v>
      </c>
      <c r="I601">
        <v>-0.03556579144631278</v>
      </c>
      <c r="J601" t="s">
        <v>530</v>
      </c>
      <c r="K601" t="s">
        <v>782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0.5355900286534381</v>
      </c>
      <c r="R601" t="s">
        <v>784</v>
      </c>
      <c r="S601" t="s">
        <v>791</v>
      </c>
      <c r="T601">
        <v>243405.37838</v>
      </c>
      <c r="U601" s="2">
        <v>44476</v>
      </c>
      <c r="V601" t="s">
        <v>801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22.81</v>
      </c>
      <c r="D602">
        <v>12.6</v>
      </c>
      <c r="E602">
        <v>1.81031746031746</v>
      </c>
      <c r="F602">
        <v>0.02981148619026743</v>
      </c>
      <c r="G602">
        <v>-0.1119262116627414</v>
      </c>
      <c r="H602">
        <v>0.035</v>
      </c>
      <c r="I602">
        <v>-0.03588987612644601</v>
      </c>
      <c r="J602" t="s">
        <v>530</v>
      </c>
      <c r="K602" t="s">
        <v>530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0.6191436560893101</v>
      </c>
      <c r="R602" t="s">
        <v>786</v>
      </c>
      <c r="S602" t="s">
        <v>798</v>
      </c>
      <c r="T602">
        <v>13955.931233</v>
      </c>
      <c r="U602" s="2">
        <v>44509</v>
      </c>
      <c r="V602" t="s">
        <v>808</v>
      </c>
    </row>
    <row r="603" spans="1:22">
      <c r="A603" s="1" t="s">
        <v>623</v>
      </c>
      <c r="B603">
        <f>HYPERLINK("https://www.suredividend.com/sure-analysis-MAA/","Mid-America Apartment Communities, Inc.")</f>
        <v>0</v>
      </c>
      <c r="C603">
        <v>222.2</v>
      </c>
      <c r="D603">
        <v>118</v>
      </c>
      <c r="E603">
        <v>1.883050847457627</v>
      </c>
      <c r="F603">
        <v>0.01957695769576958</v>
      </c>
      <c r="G603">
        <v>-0.1188951525608457</v>
      </c>
      <c r="H603">
        <v>0.06</v>
      </c>
      <c r="I603">
        <v>-0.03896985913627027</v>
      </c>
      <c r="J603" t="s">
        <v>530</v>
      </c>
      <c r="K603" t="s">
        <v>782</v>
      </c>
      <c r="L603">
        <v>6.98</v>
      </c>
      <c r="M603">
        <v>4.35</v>
      </c>
      <c r="N603">
        <v>0.6232091690544411</v>
      </c>
      <c r="O603">
        <v>11</v>
      </c>
      <c r="P603">
        <v>0.03634132731704387</v>
      </c>
      <c r="Q603">
        <v>0.8364797733684231</v>
      </c>
      <c r="R603" t="s">
        <v>786</v>
      </c>
      <c r="S603" t="s">
        <v>798</v>
      </c>
      <c r="T603">
        <v>25019.557588</v>
      </c>
      <c r="U603" s="2">
        <v>44509</v>
      </c>
      <c r="V603" t="s">
        <v>807</v>
      </c>
    </row>
    <row r="604" spans="1:22">
      <c r="A604" s="1" t="s">
        <v>624</v>
      </c>
      <c r="B604">
        <f>HYPERLINK("https://www.suredividend.com/sure-analysis-ETN/","Eaton Corporation plc")</f>
        <v>0</v>
      </c>
      <c r="C604">
        <v>169.26</v>
      </c>
      <c r="D604">
        <v>100</v>
      </c>
      <c r="E604">
        <v>1.6926</v>
      </c>
      <c r="F604">
        <v>0.01796053408956635</v>
      </c>
      <c r="G604">
        <v>-0.09990337620726986</v>
      </c>
      <c r="H604">
        <v>0.04</v>
      </c>
      <c r="I604">
        <v>-0.03962859950703812</v>
      </c>
      <c r="J604" t="s">
        <v>530</v>
      </c>
      <c r="K604" t="s">
        <v>782</v>
      </c>
      <c r="L604">
        <v>6.64</v>
      </c>
      <c r="M604">
        <v>3.04</v>
      </c>
      <c r="N604">
        <v>0.4578313253012049</v>
      </c>
      <c r="O604">
        <v>12</v>
      </c>
      <c r="P604">
        <v>0.02975477857041309</v>
      </c>
      <c r="Q604">
        <v>0.476718216829606</v>
      </c>
      <c r="R604" t="s">
        <v>784</v>
      </c>
      <c r="S604" t="s">
        <v>790</v>
      </c>
      <c r="T604">
        <v>65705.224</v>
      </c>
      <c r="U604" s="2">
        <v>44502</v>
      </c>
      <c r="V604" t="s">
        <v>800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176.89</v>
      </c>
      <c r="D605">
        <v>97</v>
      </c>
      <c r="E605">
        <v>1.82360824742268</v>
      </c>
      <c r="F605">
        <v>0.01876872632709594</v>
      </c>
      <c r="G605">
        <v>-0.1132244905508166</v>
      </c>
      <c r="H605">
        <v>0.04</v>
      </c>
      <c r="I605">
        <v>-0.05021563304973109</v>
      </c>
      <c r="J605" t="s">
        <v>530</v>
      </c>
      <c r="K605" t="s">
        <v>782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0.8485168814229751</v>
      </c>
      <c r="R605" t="s">
        <v>786</v>
      </c>
      <c r="S605" t="s">
        <v>798</v>
      </c>
      <c r="T605">
        <v>17728.162682</v>
      </c>
      <c r="U605" s="2">
        <v>44505</v>
      </c>
      <c r="V605" t="s">
        <v>803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37.16</v>
      </c>
      <c r="D606">
        <v>20</v>
      </c>
      <c r="E606">
        <v>1.858</v>
      </c>
      <c r="F606">
        <v>0.01614639397201292</v>
      </c>
      <c r="G606">
        <v>-0.1165319298692361</v>
      </c>
      <c r="H606">
        <v>0.05</v>
      </c>
      <c r="I606">
        <v>-0.05151184492611527</v>
      </c>
      <c r="J606" t="s">
        <v>530</v>
      </c>
      <c r="K606" t="s">
        <v>782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0.437855244524627</v>
      </c>
      <c r="R606" t="s">
        <v>784</v>
      </c>
      <c r="S606" t="s">
        <v>788</v>
      </c>
      <c r="T606">
        <v>1213.855717</v>
      </c>
      <c r="U606" s="2">
        <v>44491</v>
      </c>
      <c r="V606" t="s">
        <v>801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245.14</v>
      </c>
      <c r="D607">
        <v>158</v>
      </c>
      <c r="E607">
        <v>1.551518987341772</v>
      </c>
      <c r="F607">
        <v>0.02447580974137228</v>
      </c>
      <c r="G607">
        <v>-0.08409889909121593</v>
      </c>
      <c r="H607">
        <v>0.25</v>
      </c>
      <c r="I607">
        <v>0.1692592303017557</v>
      </c>
      <c r="J607" t="s">
        <v>782</v>
      </c>
      <c r="K607" t="s">
        <v>782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0.44434719227567</v>
      </c>
      <c r="R607" t="s">
        <v>786</v>
      </c>
      <c r="S607" t="s">
        <v>798</v>
      </c>
      <c r="T607">
        <v>5666.222387</v>
      </c>
      <c r="U607" s="2">
        <v>44509</v>
      </c>
      <c r="V607" t="s">
        <v>799</v>
      </c>
    </row>
    <row r="608" spans="1:22">
      <c r="A608" s="1" t="s">
        <v>628</v>
      </c>
      <c r="B608">
        <f>HYPERLINK("https://www.suredividend.com/sure-analysis-KNOP/","KNOT Offshore Partners LP")</f>
        <v>0</v>
      </c>
      <c r="C608">
        <v>12.74</v>
      </c>
      <c r="D608">
        <v>17.29</v>
      </c>
      <c r="E608">
        <v>0.736842105263158</v>
      </c>
      <c r="F608">
        <v>0.163265306122449</v>
      </c>
      <c r="G608">
        <v>0.06298004826234438</v>
      </c>
      <c r="H608">
        <v>0</v>
      </c>
      <c r="I608">
        <v>0.1679673583621468</v>
      </c>
      <c r="J608" t="s">
        <v>782</v>
      </c>
      <c r="K608" t="s">
        <v>349</v>
      </c>
      <c r="L608">
        <v>2.47</v>
      </c>
      <c r="M608">
        <v>2.08</v>
      </c>
      <c r="N608">
        <v>0.8421052631578947</v>
      </c>
      <c r="O608">
        <v>0</v>
      </c>
      <c r="P608">
        <v>0</v>
      </c>
      <c r="Q608">
        <v>-0.049036816495211</v>
      </c>
      <c r="R608" t="s">
        <v>785</v>
      </c>
      <c r="S608" t="s">
        <v>790</v>
      </c>
      <c r="T608">
        <v>422.556516</v>
      </c>
      <c r="U608" s="2">
        <v>44520</v>
      </c>
      <c r="V608" t="s">
        <v>799</v>
      </c>
    </row>
    <row r="609" spans="1:22">
      <c r="A609" s="1" t="s">
        <v>629</v>
      </c>
      <c r="B609">
        <f>HYPERLINK("https://www.suredividend.com/sure-analysis-ORAN/","Orange.")</f>
        <v>0</v>
      </c>
      <c r="C609">
        <v>10.29</v>
      </c>
      <c r="D609">
        <v>15</v>
      </c>
      <c r="E609">
        <v>0.6859999999999999</v>
      </c>
      <c r="F609">
        <v>0.1049562682215744</v>
      </c>
      <c r="G609">
        <v>0.07828900500335867</v>
      </c>
      <c r="H609">
        <v>0.02</v>
      </c>
      <c r="I609">
        <v>0.1656069088029826</v>
      </c>
      <c r="J609" t="s">
        <v>782</v>
      </c>
      <c r="K609" t="s">
        <v>781</v>
      </c>
      <c r="L609">
        <v>1.51</v>
      </c>
      <c r="M609">
        <v>1.08</v>
      </c>
      <c r="N609">
        <v>0.7152317880794702</v>
      </c>
      <c r="O609">
        <v>1</v>
      </c>
      <c r="P609">
        <v>0.01087212085035083</v>
      </c>
      <c r="Q609">
        <v>-0.074888286703874</v>
      </c>
      <c r="R609" t="s">
        <v>784</v>
      </c>
      <c r="S609" t="s">
        <v>788</v>
      </c>
      <c r="T609">
        <v>27418.555082</v>
      </c>
      <c r="U609" s="2">
        <v>44496</v>
      </c>
      <c r="V609" t="s">
        <v>810</v>
      </c>
    </row>
    <row r="610" spans="1:22">
      <c r="A610" s="1" t="s">
        <v>630</v>
      </c>
      <c r="B610">
        <f>HYPERLINK("https://www.suredividend.com/sure-analysis-SCCO/","Southern Copper Corporation")</f>
        <v>0</v>
      </c>
      <c r="C610">
        <v>57.1</v>
      </c>
      <c r="D610">
        <v>80</v>
      </c>
      <c r="E610">
        <v>0.71375</v>
      </c>
      <c r="F610">
        <v>0.05604203152364273</v>
      </c>
      <c r="G610">
        <v>0.06977088951986121</v>
      </c>
      <c r="H610">
        <v>0.05</v>
      </c>
      <c r="I610">
        <v>0.1614040911426453</v>
      </c>
      <c r="J610" t="s">
        <v>782</v>
      </c>
      <c r="K610" t="s">
        <v>349</v>
      </c>
      <c r="L610">
        <v>4.43</v>
      </c>
      <c r="M610">
        <v>3.2</v>
      </c>
      <c r="N610">
        <v>0.7223476297968399</v>
      </c>
      <c r="O610">
        <v>0</v>
      </c>
      <c r="P610">
        <v>0.04978904632428516</v>
      </c>
      <c r="Q610">
        <v>0.05028328611898</v>
      </c>
      <c r="R610" t="s">
        <v>784</v>
      </c>
      <c r="S610" t="s">
        <v>793</v>
      </c>
      <c r="T610">
        <v>45859.180877</v>
      </c>
      <c r="U610" s="2">
        <v>44498</v>
      </c>
      <c r="V610" t="s">
        <v>805</v>
      </c>
    </row>
    <row r="611" spans="1:22">
      <c r="A611" s="1" t="s">
        <v>631</v>
      </c>
      <c r="B611">
        <f>HYPERLINK("https://www.suredividend.com/sure-analysis-OHI/","Omega Healthcare Investors, Inc.")</f>
        <v>0</v>
      </c>
      <c r="C611">
        <v>27.8</v>
      </c>
      <c r="D611">
        <v>40</v>
      </c>
      <c r="E611">
        <v>0.6950000000000001</v>
      </c>
      <c r="F611">
        <v>0.09640287769784173</v>
      </c>
      <c r="G611">
        <v>0.07548173489323573</v>
      </c>
      <c r="H611">
        <v>0.02</v>
      </c>
      <c r="I611">
        <v>0.1583698718261815</v>
      </c>
      <c r="J611" t="s">
        <v>782</v>
      </c>
      <c r="K611" t="s">
        <v>349</v>
      </c>
      <c r="L611">
        <v>3.3</v>
      </c>
      <c r="M611">
        <v>2.68</v>
      </c>
      <c r="N611">
        <v>0.8121212121212122</v>
      </c>
      <c r="O611">
        <v>0</v>
      </c>
      <c r="P611">
        <v>0.01023605168466424</v>
      </c>
      <c r="Q611">
        <v>-0.197558412392208</v>
      </c>
      <c r="R611" t="s">
        <v>786</v>
      </c>
      <c r="S611" t="s">
        <v>798</v>
      </c>
      <c r="T611">
        <v>6660.20878</v>
      </c>
      <c r="U611" s="2">
        <v>44520</v>
      </c>
      <c r="V611" t="s">
        <v>804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5.3</v>
      </c>
      <c r="D612">
        <v>6</v>
      </c>
      <c r="E612">
        <v>0.8833333333333333</v>
      </c>
      <c r="F612">
        <v>0.02452830188679245</v>
      </c>
      <c r="G612">
        <v>0.02512087219852699</v>
      </c>
      <c r="H612">
        <v>0.1</v>
      </c>
      <c r="I612">
        <v>0.1512335210208537</v>
      </c>
      <c r="J612" t="s">
        <v>782</v>
      </c>
      <c r="K612" t="s">
        <v>782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0.010540658176106</v>
      </c>
      <c r="R612" t="s">
        <v>784</v>
      </c>
      <c r="S612" t="s">
        <v>797</v>
      </c>
      <c r="T612">
        <v>912.063072</v>
      </c>
      <c r="U612" s="2">
        <v>44509</v>
      </c>
      <c r="V612" t="s">
        <v>807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35.26</v>
      </c>
      <c r="D613">
        <v>44</v>
      </c>
      <c r="E613">
        <v>0.8013636363636363</v>
      </c>
      <c r="F613">
        <v>0.09926262053318208</v>
      </c>
      <c r="G613">
        <v>0.04528344867646483</v>
      </c>
      <c r="H613">
        <v>0.04</v>
      </c>
      <c r="I613">
        <v>0.1503638797423021</v>
      </c>
      <c r="J613" t="s">
        <v>782</v>
      </c>
      <c r="K613" t="s">
        <v>781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0.322418371195852</v>
      </c>
      <c r="R613" t="s">
        <v>785</v>
      </c>
      <c r="S613" t="s">
        <v>797</v>
      </c>
      <c r="T613">
        <v>8085.52457</v>
      </c>
      <c r="U613" s="2">
        <v>44501</v>
      </c>
      <c r="V613" t="s">
        <v>807</v>
      </c>
    </row>
    <row r="614" spans="1:22">
      <c r="A614" s="1" t="s">
        <v>634</v>
      </c>
      <c r="B614">
        <f>HYPERLINK("https://www.suredividend.com/sure-analysis-CORR/","CorEnergy Infrastructure Trust Inc")</f>
        <v>0</v>
      </c>
      <c r="C614">
        <v>3.11</v>
      </c>
      <c r="D614">
        <v>4.69</v>
      </c>
      <c r="E614">
        <v>0.6631130063965884</v>
      </c>
      <c r="F614">
        <v>0.06430868167202573</v>
      </c>
      <c r="G614">
        <v>0.08563163670665275</v>
      </c>
      <c r="H614">
        <v>0.02</v>
      </c>
      <c r="I614">
        <v>0.1471480118146928</v>
      </c>
      <c r="J614" t="s">
        <v>782</v>
      </c>
      <c r="K614" t="s">
        <v>530</v>
      </c>
      <c r="L614">
        <v>-1.19</v>
      </c>
      <c r="M614">
        <v>0.2</v>
      </c>
      <c r="N614">
        <v>9.99</v>
      </c>
      <c r="O614">
        <v>0</v>
      </c>
      <c r="P614">
        <v>0</v>
      </c>
      <c r="Q614">
        <v>-0.5471063622064321</v>
      </c>
      <c r="R614" t="s">
        <v>784</v>
      </c>
      <c r="S614" t="s">
        <v>798</v>
      </c>
      <c r="T614">
        <v>49.655109</v>
      </c>
      <c r="U614" s="2">
        <v>44514</v>
      </c>
      <c r="V614" t="s">
        <v>800</v>
      </c>
    </row>
    <row r="615" spans="1:22">
      <c r="A615" s="1" t="s">
        <v>635</v>
      </c>
      <c r="B615">
        <f>HYPERLINK("https://www.suredividend.com/sure-analysis-APAM/","Artisan Partners Asset Management Inc")</f>
        <v>0</v>
      </c>
      <c r="C615">
        <v>45.73</v>
      </c>
      <c r="D615">
        <v>55</v>
      </c>
      <c r="E615">
        <v>0.8314545454545454</v>
      </c>
      <c r="F615">
        <v>0.09359282746555872</v>
      </c>
      <c r="G615">
        <v>0.0376055776259101</v>
      </c>
      <c r="H615">
        <v>0.04</v>
      </c>
      <c r="I615">
        <v>0.1441100514421105</v>
      </c>
      <c r="J615" t="s">
        <v>782</v>
      </c>
      <c r="K615" t="s">
        <v>349</v>
      </c>
      <c r="L615">
        <v>5</v>
      </c>
      <c r="M615">
        <v>4.28</v>
      </c>
      <c r="N615">
        <v>0.8560000000000001</v>
      </c>
      <c r="O615">
        <v>2</v>
      </c>
      <c r="P615">
        <v>0.02019566627646463</v>
      </c>
      <c r="Q615">
        <v>0.008275996942059001</v>
      </c>
      <c r="R615" t="s">
        <v>784</v>
      </c>
      <c r="S615" t="s">
        <v>794</v>
      </c>
      <c r="T615">
        <v>2958.844975</v>
      </c>
      <c r="U615" s="2">
        <v>44520</v>
      </c>
      <c r="V615" t="s">
        <v>804</v>
      </c>
    </row>
    <row r="616" spans="1:22">
      <c r="A616" s="1" t="s">
        <v>636</v>
      </c>
      <c r="B616">
        <f>HYPERLINK("https://www.suredividend.com/sure-analysis-IEP/","Icahn Enterprises L P")</f>
        <v>0</v>
      </c>
      <c r="C616">
        <v>49.93</v>
      </c>
      <c r="D616">
        <v>57</v>
      </c>
      <c r="E616">
        <v>0.8759649122807017</v>
      </c>
      <c r="F616">
        <v>0.1602243140396555</v>
      </c>
      <c r="G616">
        <v>0.0268397160054421</v>
      </c>
      <c r="H616">
        <v>0</v>
      </c>
      <c r="I616">
        <v>0.1420418888307202</v>
      </c>
      <c r="J616" t="s">
        <v>782</v>
      </c>
      <c r="K616" t="s">
        <v>349</v>
      </c>
      <c r="L616">
        <v>8</v>
      </c>
      <c r="M616">
        <v>8</v>
      </c>
      <c r="N616">
        <v>1</v>
      </c>
      <c r="O616">
        <v>0</v>
      </c>
      <c r="P616">
        <v>0</v>
      </c>
      <c r="Q616">
        <v>0.129604638376568</v>
      </c>
      <c r="R616" t="s">
        <v>785</v>
      </c>
      <c r="S616" t="s">
        <v>790</v>
      </c>
      <c r="T616">
        <v>13852.268344</v>
      </c>
      <c r="U616" s="2">
        <v>44513</v>
      </c>
      <c r="V616" t="s">
        <v>799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3.28</v>
      </c>
      <c r="D617">
        <v>3.5</v>
      </c>
      <c r="E617">
        <v>0.9371428571428572</v>
      </c>
      <c r="F617">
        <v>0.1219512195121951</v>
      </c>
      <c r="G617">
        <v>0.01306856616509822</v>
      </c>
      <c r="H617">
        <v>0.042</v>
      </c>
      <c r="I617">
        <v>0.1394227932073024</v>
      </c>
      <c r="J617" t="s">
        <v>782</v>
      </c>
      <c r="K617" t="s">
        <v>349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-0.09611078862260501</v>
      </c>
      <c r="R617" t="s">
        <v>787</v>
      </c>
      <c r="S617" t="s">
        <v>794</v>
      </c>
      <c r="T617">
        <v>87.981534</v>
      </c>
      <c r="U617" s="2">
        <v>44509</v>
      </c>
      <c r="V617" t="s">
        <v>808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23.51</v>
      </c>
      <c r="D618">
        <v>29</v>
      </c>
      <c r="E618">
        <v>0.8106896551724139</v>
      </c>
      <c r="F618">
        <v>0.0578477243726074</v>
      </c>
      <c r="G618">
        <v>0.04286735705451061</v>
      </c>
      <c r="H618">
        <v>0.05</v>
      </c>
      <c r="I618">
        <v>0.1382227847915662</v>
      </c>
      <c r="J618" t="s">
        <v>782</v>
      </c>
      <c r="K618" t="s">
        <v>530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0.346791686272709</v>
      </c>
      <c r="R618" t="s">
        <v>784</v>
      </c>
      <c r="S618" t="s">
        <v>797</v>
      </c>
      <c r="T618">
        <v>34156.311676</v>
      </c>
      <c r="U618" s="2">
        <v>44502</v>
      </c>
      <c r="V618" t="s">
        <v>807</v>
      </c>
    </row>
    <row r="619" spans="1:22">
      <c r="A619" s="1" t="s">
        <v>639</v>
      </c>
      <c r="B619">
        <f>HYPERLINK("https://www.suredividend.com/sure-analysis-EIFZF/","Exchange Income Corp.")</f>
        <v>0</v>
      </c>
      <c r="C619">
        <v>31.1924</v>
      </c>
      <c r="D619">
        <v>35</v>
      </c>
      <c r="E619">
        <v>0.8912114285714285</v>
      </c>
      <c r="F619">
        <v>0.05898872802349291</v>
      </c>
      <c r="G619">
        <v>0.02330206513148925</v>
      </c>
      <c r="H619">
        <v>0.07000000000000001</v>
      </c>
      <c r="I619">
        <v>0.1377113576667479</v>
      </c>
      <c r="J619" t="s">
        <v>782</v>
      </c>
      <c r="K619" t="s">
        <v>349</v>
      </c>
      <c r="L619">
        <v>2.3</v>
      </c>
      <c r="M619">
        <v>1.84</v>
      </c>
      <c r="N619">
        <v>0.8</v>
      </c>
      <c r="O619">
        <v>0</v>
      </c>
      <c r="P619">
        <v>0.04012620718096094</v>
      </c>
      <c r="Q619">
        <v>0.048283557509394</v>
      </c>
      <c r="R619" t="s">
        <v>784</v>
      </c>
      <c r="S619" t="s">
        <v>790</v>
      </c>
      <c r="T619">
        <v>1442.64916</v>
      </c>
      <c r="U619" s="2">
        <v>44516</v>
      </c>
      <c r="V619" t="s">
        <v>799</v>
      </c>
    </row>
    <row r="620" spans="1:22">
      <c r="A620" s="1" t="s">
        <v>640</v>
      </c>
      <c r="B620">
        <f>HYPERLINK("https://www.suredividend.com/sure-analysis-CLPR/","Clipper Realty Inc")</f>
        <v>0</v>
      </c>
      <c r="C620">
        <v>9.119999999999999</v>
      </c>
      <c r="D620">
        <v>11.7</v>
      </c>
      <c r="E620">
        <v>0.7794871794871795</v>
      </c>
      <c r="F620">
        <v>0.04166666666666667</v>
      </c>
      <c r="G620">
        <v>0.05108588665585678</v>
      </c>
      <c r="H620">
        <v>0.055</v>
      </c>
      <c r="I620">
        <v>0.1351766346752192</v>
      </c>
      <c r="J620" t="s">
        <v>782</v>
      </c>
      <c r="K620" t="s">
        <v>530</v>
      </c>
      <c r="L620">
        <v>0.35</v>
      </c>
      <c r="M620">
        <v>0.38</v>
      </c>
      <c r="N620">
        <v>1.085714285714286</v>
      </c>
      <c r="O620">
        <v>0</v>
      </c>
      <c r="P620">
        <v>0</v>
      </c>
      <c r="Q620">
        <v>0.471091344509065</v>
      </c>
      <c r="R620" t="s">
        <v>786</v>
      </c>
      <c r="S620" t="s">
        <v>798</v>
      </c>
      <c r="T620">
        <v>145.050949</v>
      </c>
      <c r="U620" s="2">
        <v>44511</v>
      </c>
      <c r="V620" t="s">
        <v>808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27.72</v>
      </c>
      <c r="D621">
        <v>31</v>
      </c>
      <c r="E621">
        <v>0.8941935483870967</v>
      </c>
      <c r="F621">
        <v>0.05194805194805195</v>
      </c>
      <c r="G621">
        <v>0.02261861391187292</v>
      </c>
      <c r="H621">
        <v>0.06</v>
      </c>
      <c r="I621">
        <v>0.1256538670186202</v>
      </c>
      <c r="J621" t="s">
        <v>782</v>
      </c>
      <c r="K621" t="s">
        <v>349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0.142283492867441</v>
      </c>
      <c r="R621" t="s">
        <v>786</v>
      </c>
      <c r="S621" t="s">
        <v>798</v>
      </c>
      <c r="T621">
        <v>17390.357812</v>
      </c>
      <c r="U621" s="2">
        <v>44509</v>
      </c>
      <c r="V621" t="s">
        <v>807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13.2</v>
      </c>
      <c r="D622">
        <v>14.5</v>
      </c>
      <c r="E622">
        <v>0.9103448275862068</v>
      </c>
      <c r="F622">
        <v>0.09090909090909091</v>
      </c>
      <c r="G622">
        <v>0.01896393794917839</v>
      </c>
      <c r="H622">
        <v>0.038</v>
      </c>
      <c r="I622">
        <v>0.1248340284929983</v>
      </c>
      <c r="J622" t="s">
        <v>782</v>
      </c>
      <c r="K622" t="s">
        <v>349</v>
      </c>
      <c r="L622">
        <v>1.58</v>
      </c>
      <c r="M622">
        <v>1.2</v>
      </c>
      <c r="N622">
        <v>0.7594936708860759</v>
      </c>
      <c r="O622">
        <v>0</v>
      </c>
      <c r="P622">
        <v>0.01613736474159566</v>
      </c>
      <c r="Q622">
        <v>-0.188440832033152</v>
      </c>
      <c r="R622" t="s">
        <v>786</v>
      </c>
      <c r="S622" t="s">
        <v>798</v>
      </c>
      <c r="T622">
        <v>3009.403691</v>
      </c>
      <c r="U622" s="2">
        <v>44509</v>
      </c>
      <c r="V622" t="s">
        <v>808</v>
      </c>
    </row>
    <row r="623" spans="1:22">
      <c r="A623" s="1" t="s">
        <v>643</v>
      </c>
      <c r="B623">
        <f>HYPERLINK("https://www.suredividend.com/sure-analysis-TEF/","Telefonica S.A")</f>
        <v>0</v>
      </c>
      <c r="C623">
        <v>4.33</v>
      </c>
      <c r="D623">
        <v>4.95</v>
      </c>
      <c r="E623">
        <v>0.8747474747474747</v>
      </c>
      <c r="F623">
        <v>0.1039260969976905</v>
      </c>
      <c r="G623">
        <v>0.02712537967068962</v>
      </c>
      <c r="H623">
        <v>0.02</v>
      </c>
      <c r="I623">
        <v>0.1224625451992347</v>
      </c>
      <c r="J623" t="s">
        <v>782</v>
      </c>
      <c r="K623" t="s">
        <v>349</v>
      </c>
      <c r="L623">
        <v>0.55</v>
      </c>
      <c r="M623">
        <v>0.45</v>
      </c>
      <c r="N623">
        <v>0.8181818181818181</v>
      </c>
      <c r="O623">
        <v>0</v>
      </c>
      <c r="P623">
        <v>0</v>
      </c>
      <c r="Q623">
        <v>0.045406034733675</v>
      </c>
      <c r="R623" t="s">
        <v>784</v>
      </c>
      <c r="S623" t="s">
        <v>788</v>
      </c>
      <c r="T623">
        <v>24300.010615</v>
      </c>
      <c r="U623" s="2">
        <v>44529</v>
      </c>
      <c r="V623" t="s">
        <v>801</v>
      </c>
    </row>
    <row r="624" spans="1:22">
      <c r="A624" s="1" t="s">
        <v>644</v>
      </c>
      <c r="B624">
        <f>HYPERLINK("https://www.suredividend.com/sure-analysis-CQP/","Cheniere Energy Partners LP")</f>
        <v>0</v>
      </c>
      <c r="C624">
        <v>39.29</v>
      </c>
      <c r="D624">
        <v>45</v>
      </c>
      <c r="E624">
        <v>0.8731111111111111</v>
      </c>
      <c r="F624">
        <v>0.06770170526851617</v>
      </c>
      <c r="G624">
        <v>0.0275100940572417</v>
      </c>
      <c r="H624">
        <v>0.04</v>
      </c>
      <c r="I624">
        <v>0.1193866855403647</v>
      </c>
      <c r="J624" t="s">
        <v>782</v>
      </c>
      <c r="K624" t="s">
        <v>349</v>
      </c>
      <c r="L624">
        <v>2.9</v>
      </c>
      <c r="M624">
        <v>2.66</v>
      </c>
      <c r="N624">
        <v>0.9172413793103449</v>
      </c>
      <c r="O624">
        <v>5</v>
      </c>
      <c r="P624">
        <v>0.02434894295516754</v>
      </c>
      <c r="Q624">
        <v>0.163144699140401</v>
      </c>
      <c r="R624" t="s">
        <v>785</v>
      </c>
      <c r="S624" t="s">
        <v>797</v>
      </c>
      <c r="T624">
        <v>18862.478528</v>
      </c>
      <c r="U624" s="2">
        <v>44509</v>
      </c>
      <c r="V624" t="s">
        <v>807</v>
      </c>
    </row>
    <row r="625" spans="1:22">
      <c r="A625" s="1" t="s">
        <v>645</v>
      </c>
      <c r="B625">
        <f>HYPERLINK("https://www.suredividend.com/sure-analysis-PINE/","Alpine Income Property Trust Inc")</f>
        <v>0</v>
      </c>
      <c r="C625">
        <v>18.87</v>
      </c>
      <c r="D625">
        <v>18.88</v>
      </c>
      <c r="E625">
        <v>0.9994703389830509</v>
      </c>
      <c r="F625">
        <v>0.05723370429252782</v>
      </c>
      <c r="G625">
        <v>0.0001059658813664655</v>
      </c>
      <c r="H625">
        <v>0.07000000000000001</v>
      </c>
      <c r="I625">
        <v>0.1190368534476902</v>
      </c>
      <c r="J625" t="s">
        <v>782</v>
      </c>
      <c r="K625" t="s">
        <v>349</v>
      </c>
      <c r="L625">
        <v>1.51</v>
      </c>
      <c r="M625">
        <v>1.08</v>
      </c>
      <c r="N625">
        <v>0.7152317880794702</v>
      </c>
      <c r="O625">
        <v>3</v>
      </c>
      <c r="P625">
        <v>0.06932726018096602</v>
      </c>
      <c r="Q625">
        <v>0.328426785249396</v>
      </c>
      <c r="R625" t="s">
        <v>786</v>
      </c>
      <c r="S625" t="s">
        <v>798</v>
      </c>
      <c r="T625">
        <v>213.403321</v>
      </c>
      <c r="U625" s="2">
        <v>44494</v>
      </c>
      <c r="V625" t="s">
        <v>799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45.47</v>
      </c>
      <c r="D626">
        <v>53</v>
      </c>
      <c r="E626">
        <v>0.8579245283018868</v>
      </c>
      <c r="F626">
        <v>0.06069936221684627</v>
      </c>
      <c r="G626">
        <v>0.03112230870980981</v>
      </c>
      <c r="H626">
        <v>0.04</v>
      </c>
      <c r="I626">
        <v>0.1184383830332978</v>
      </c>
      <c r="J626" t="s">
        <v>782</v>
      </c>
      <c r="K626" t="s">
        <v>349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0.094412885597181</v>
      </c>
      <c r="R626" t="s">
        <v>784</v>
      </c>
      <c r="S626" t="s">
        <v>797</v>
      </c>
      <c r="T626">
        <v>44712.985528</v>
      </c>
      <c r="U626" s="2">
        <v>44510</v>
      </c>
      <c r="V626" t="s">
        <v>807</v>
      </c>
    </row>
    <row r="627" spans="1:22">
      <c r="A627" s="1" t="s">
        <v>647</v>
      </c>
      <c r="B627">
        <f>HYPERLINK("https://www.suredividend.com/sure-analysis-TWO/","Two Harbors Investment Corp")</f>
        <v>0</v>
      </c>
      <c r="C627">
        <v>5.93</v>
      </c>
      <c r="D627">
        <v>6.3</v>
      </c>
      <c r="E627">
        <v>0.9412698412698413</v>
      </c>
      <c r="F627">
        <v>0.1146711635750422</v>
      </c>
      <c r="G627">
        <v>0.01217864713717054</v>
      </c>
      <c r="H627">
        <v>0.018</v>
      </c>
      <c r="I627">
        <v>0.1177806187224715</v>
      </c>
      <c r="J627" t="s">
        <v>782</v>
      </c>
      <c r="K627" t="s">
        <v>349</v>
      </c>
      <c r="L627">
        <v>0.75</v>
      </c>
      <c r="M627">
        <v>0.68</v>
      </c>
      <c r="N627">
        <v>0.9066666666666667</v>
      </c>
      <c r="O627">
        <v>0</v>
      </c>
      <c r="P627">
        <v>0.005814345444414393</v>
      </c>
      <c r="Q627">
        <v>-0.007607776838546001</v>
      </c>
      <c r="R627" t="s">
        <v>786</v>
      </c>
      <c r="S627" t="s">
        <v>798</v>
      </c>
      <c r="T627">
        <v>2018.723095</v>
      </c>
      <c r="U627" s="2">
        <v>44511</v>
      </c>
      <c r="V627" t="s">
        <v>808</v>
      </c>
    </row>
    <row r="628" spans="1:22">
      <c r="A628" s="1" t="s">
        <v>648</v>
      </c>
      <c r="B628">
        <f>HYPERLINK("https://www.suredividend.com/sure-analysis-VGR/","Vector Group Ltd")</f>
        <v>0</v>
      </c>
      <c r="C628">
        <v>15.63</v>
      </c>
      <c r="D628">
        <v>20</v>
      </c>
      <c r="E628">
        <v>0.7815000000000001</v>
      </c>
      <c r="F628">
        <v>0.05118362124120281</v>
      </c>
      <c r="G628">
        <v>0.05054389555659489</v>
      </c>
      <c r="H628">
        <v>0.03</v>
      </c>
      <c r="I628">
        <v>0.1170577095154162</v>
      </c>
      <c r="J628" t="s">
        <v>782</v>
      </c>
      <c r="K628" t="s">
        <v>349</v>
      </c>
      <c r="L628">
        <v>1</v>
      </c>
      <c r="M628">
        <v>0.8</v>
      </c>
      <c r="N628">
        <v>0.8</v>
      </c>
      <c r="O628">
        <v>0</v>
      </c>
      <c r="P628">
        <v>0</v>
      </c>
      <c r="Q628">
        <v>0.278146141159839</v>
      </c>
      <c r="R628" t="s">
        <v>784</v>
      </c>
      <c r="S628" t="s">
        <v>795</v>
      </c>
      <c r="T628">
        <v>2338.643696</v>
      </c>
      <c r="U628" s="2">
        <v>44454</v>
      </c>
      <c r="V628" t="s">
        <v>806</v>
      </c>
    </row>
    <row r="629" spans="1:22">
      <c r="A629" s="1" t="s">
        <v>649</v>
      </c>
      <c r="B629">
        <f>HYPERLINK("https://www.suredividend.com/sure-analysis-SFL/","SFL Corporation Ltd")</f>
        <v>0</v>
      </c>
      <c r="C629">
        <v>8.02</v>
      </c>
      <c r="D629">
        <v>8.640000000000001</v>
      </c>
      <c r="E629">
        <v>0.9282407407407406</v>
      </c>
      <c r="F629">
        <v>0.08977556109725686</v>
      </c>
      <c r="G629">
        <v>0.01500428299820045</v>
      </c>
      <c r="H629">
        <v>0.03</v>
      </c>
      <c r="I629">
        <v>0.1169067078557249</v>
      </c>
      <c r="J629" t="s">
        <v>782</v>
      </c>
      <c r="K629" t="s">
        <v>349</v>
      </c>
      <c r="L629">
        <v>0.96</v>
      </c>
      <c r="M629">
        <v>0.72</v>
      </c>
      <c r="N629">
        <v>0.75</v>
      </c>
      <c r="O629">
        <v>1</v>
      </c>
      <c r="P629">
        <v>0.02884302866442456</v>
      </c>
      <c r="Q629">
        <v>0.357435542889904</v>
      </c>
      <c r="R629" t="s">
        <v>784</v>
      </c>
      <c r="S629" t="s">
        <v>790</v>
      </c>
      <c r="T629">
        <v>1031.406854</v>
      </c>
      <c r="U629" s="2">
        <v>44517</v>
      </c>
      <c r="V629" t="s">
        <v>799</v>
      </c>
    </row>
    <row r="630" spans="1:22">
      <c r="A630" s="1" t="s">
        <v>650</v>
      </c>
      <c r="B630">
        <f>HYPERLINK("https://www.suredividend.com/sure-analysis-LTC/","LTC Properties, Inc.")</f>
        <v>0</v>
      </c>
      <c r="C630">
        <v>33.08</v>
      </c>
      <c r="D630">
        <v>36</v>
      </c>
      <c r="E630">
        <v>0.9188888888888889</v>
      </c>
      <c r="F630">
        <v>0.06892382103990326</v>
      </c>
      <c r="G630">
        <v>0.01706193372155118</v>
      </c>
      <c r="H630">
        <v>0.05</v>
      </c>
      <c r="I630">
        <v>0.1163174980400492</v>
      </c>
      <c r="J630" t="s">
        <v>782</v>
      </c>
      <c r="K630" t="s">
        <v>349</v>
      </c>
      <c r="L630">
        <v>2.4</v>
      </c>
      <c r="M630">
        <v>2.28</v>
      </c>
      <c r="N630">
        <v>0.95</v>
      </c>
      <c r="O630">
        <v>0</v>
      </c>
      <c r="P630">
        <v>0</v>
      </c>
      <c r="Q630">
        <v>-0.104237222694127</v>
      </c>
      <c r="R630" t="s">
        <v>786</v>
      </c>
      <c r="S630" t="s">
        <v>798</v>
      </c>
      <c r="T630">
        <v>1278.868949</v>
      </c>
      <c r="U630" s="2">
        <v>44510</v>
      </c>
      <c r="V630" t="s">
        <v>807</v>
      </c>
    </row>
    <row r="631" spans="1:22">
      <c r="A631" s="1" t="s">
        <v>651</v>
      </c>
      <c r="B631">
        <f>HYPERLINK("https://www.suredividend.com/sure-analysis-EFC/","Ellington Financial Inc")</f>
        <v>0</v>
      </c>
      <c r="C631">
        <v>16.78</v>
      </c>
      <c r="D631">
        <v>18.8</v>
      </c>
      <c r="E631">
        <v>0.8925531914893617</v>
      </c>
      <c r="F631">
        <v>0.1072705601907032</v>
      </c>
      <c r="G631">
        <v>0.02299421678239333</v>
      </c>
      <c r="H631">
        <v>0.01</v>
      </c>
      <c r="I631">
        <v>0.1158420798987623</v>
      </c>
      <c r="J631" t="s">
        <v>782</v>
      </c>
      <c r="K631" t="s">
        <v>349</v>
      </c>
      <c r="L631">
        <v>1.88</v>
      </c>
      <c r="M631">
        <v>1.8</v>
      </c>
      <c r="N631">
        <v>0.9574468085106383</v>
      </c>
      <c r="O631">
        <v>1</v>
      </c>
      <c r="P631">
        <v>0.009805797673485328</v>
      </c>
      <c r="Q631">
        <v>0.219192639715837</v>
      </c>
      <c r="R631" t="s">
        <v>786</v>
      </c>
      <c r="S631" t="s">
        <v>794</v>
      </c>
      <c r="T631">
        <v>961.913422</v>
      </c>
      <c r="U631" s="2">
        <v>44509</v>
      </c>
      <c r="V631" t="s">
        <v>799</v>
      </c>
    </row>
    <row r="632" spans="1:22">
      <c r="A632" s="1" t="s">
        <v>652</v>
      </c>
      <c r="B632">
        <f>HYPERLINK("https://www.suredividend.com/sure-analysis-USAC/","USA Compression Partners LP")</f>
        <v>0</v>
      </c>
      <c r="C632">
        <v>15.07</v>
      </c>
      <c r="D632">
        <v>14.8</v>
      </c>
      <c r="E632">
        <v>1.018243243243243</v>
      </c>
      <c r="F632">
        <v>0.139349701393497</v>
      </c>
      <c r="G632">
        <v>-0.003609237361929973</v>
      </c>
      <c r="H632">
        <v>0.01</v>
      </c>
      <c r="I632">
        <v>0.1157204521546562</v>
      </c>
      <c r="J632" t="s">
        <v>782</v>
      </c>
      <c r="K632" t="s">
        <v>349</v>
      </c>
      <c r="L632">
        <v>2.11</v>
      </c>
      <c r="M632">
        <v>2.1</v>
      </c>
      <c r="N632">
        <v>0.9952606635071091</v>
      </c>
      <c r="O632">
        <v>0</v>
      </c>
      <c r="P632">
        <v>0</v>
      </c>
      <c r="Q632">
        <v>0.335449372852775</v>
      </c>
      <c r="R632" t="s">
        <v>785</v>
      </c>
      <c r="S632" t="s">
        <v>797</v>
      </c>
      <c r="T632">
        <v>1437.565528</v>
      </c>
      <c r="U632" s="2">
        <v>44502</v>
      </c>
      <c r="V632" t="s">
        <v>805</v>
      </c>
    </row>
    <row r="633" spans="1:22">
      <c r="A633" s="1" t="s">
        <v>653</v>
      </c>
      <c r="B633">
        <f>HYPERLINK("https://www.suredividend.com/sure-analysis-MGP/","MGM Growth Properties LLC")</f>
        <v>0</v>
      </c>
      <c r="C633">
        <v>37.57</v>
      </c>
      <c r="D633">
        <v>38</v>
      </c>
      <c r="E633">
        <v>0.9886842105263158</v>
      </c>
      <c r="F633">
        <v>0.05589566143199361</v>
      </c>
      <c r="G633">
        <v>0.00227865221901502</v>
      </c>
      <c r="H633">
        <v>0.07000000000000001</v>
      </c>
      <c r="I633">
        <v>0.1155687850587876</v>
      </c>
      <c r="J633" t="s">
        <v>782</v>
      </c>
      <c r="K633" t="s">
        <v>349</v>
      </c>
      <c r="L633">
        <v>2.54</v>
      </c>
      <c r="M633">
        <v>2.1</v>
      </c>
      <c r="N633">
        <v>0.8267716535433071</v>
      </c>
      <c r="O633">
        <v>5</v>
      </c>
      <c r="P633">
        <v>0.03382368391565871</v>
      </c>
      <c r="Q633">
        <v>0.198844749604926</v>
      </c>
      <c r="R633" t="s">
        <v>786</v>
      </c>
      <c r="S633" t="s">
        <v>798</v>
      </c>
      <c r="T633">
        <v>5859.115192</v>
      </c>
      <c r="U633" s="2">
        <v>44507</v>
      </c>
      <c r="V633" t="s">
        <v>802</v>
      </c>
    </row>
    <row r="634" spans="1:22">
      <c r="A634" s="1" t="s">
        <v>654</v>
      </c>
      <c r="B634">
        <f>HYPERLINK("https://www.suredividend.com/sure-analysis-EPR/","EPR Properties")</f>
        <v>0</v>
      </c>
      <c r="C634">
        <v>45.44</v>
      </c>
      <c r="D634">
        <v>42</v>
      </c>
      <c r="E634">
        <v>1.081904761904762</v>
      </c>
      <c r="F634">
        <v>0.06602112676056339</v>
      </c>
      <c r="G634">
        <v>-0.01562133246565656</v>
      </c>
      <c r="H634">
        <v>0.08</v>
      </c>
      <c r="I634">
        <v>0.1144701586523513</v>
      </c>
      <c r="J634" t="s">
        <v>782</v>
      </c>
      <c r="K634" t="s">
        <v>349</v>
      </c>
      <c r="L634">
        <v>3</v>
      </c>
      <c r="M634">
        <v>3</v>
      </c>
      <c r="N634">
        <v>1</v>
      </c>
      <c r="O634">
        <v>0</v>
      </c>
      <c r="P634">
        <v>0.03012896281839894</v>
      </c>
      <c r="Q634">
        <v>0.502768084380657</v>
      </c>
      <c r="R634" t="s">
        <v>786</v>
      </c>
      <c r="S634" t="s">
        <v>798</v>
      </c>
      <c r="T634">
        <v>3427.58494</v>
      </c>
      <c r="U634" s="2">
        <v>44522</v>
      </c>
      <c r="V634" t="s">
        <v>804</v>
      </c>
    </row>
    <row r="635" spans="1:22">
      <c r="A635" s="1" t="s">
        <v>655</v>
      </c>
      <c r="B635">
        <f>HYPERLINK("https://www.suredividend.com/sure-analysis-NEWT/","Newtek Business Services Corp")</f>
        <v>0</v>
      </c>
      <c r="C635">
        <v>30.46</v>
      </c>
      <c r="D635">
        <v>30</v>
      </c>
      <c r="E635">
        <v>1.015333333333333</v>
      </c>
      <c r="F635">
        <v>0.1034143138542351</v>
      </c>
      <c r="G635">
        <v>-0.003038766734540843</v>
      </c>
      <c r="H635">
        <v>0.03</v>
      </c>
      <c r="I635">
        <v>0.112643620219391</v>
      </c>
      <c r="J635" t="s">
        <v>782</v>
      </c>
      <c r="K635" t="s">
        <v>349</v>
      </c>
      <c r="L635">
        <v>3.3</v>
      </c>
      <c r="M635">
        <v>3.15</v>
      </c>
      <c r="N635">
        <v>0.9545454545454546</v>
      </c>
      <c r="O635">
        <v>0</v>
      </c>
      <c r="P635">
        <v>0.02877218634269907</v>
      </c>
      <c r="Q635">
        <v>0.806755695208169</v>
      </c>
      <c r="R635" t="s">
        <v>787</v>
      </c>
      <c r="S635" t="s">
        <v>794</v>
      </c>
      <c r="T635">
        <v>689.723375</v>
      </c>
      <c r="U635" s="2">
        <v>44516</v>
      </c>
      <c r="V635" t="s">
        <v>799</v>
      </c>
    </row>
    <row r="636" spans="1:22">
      <c r="A636" s="1" t="s">
        <v>656</v>
      </c>
      <c r="B636">
        <f>HYPERLINK("https://www.suredividend.com/sure-analysis-ORC/","Orchid Island Capital Inc")</f>
        <v>0</v>
      </c>
      <c r="C636">
        <v>4.49</v>
      </c>
      <c r="D636">
        <v>3.6</v>
      </c>
      <c r="E636">
        <v>1.247222222222222</v>
      </c>
      <c r="F636">
        <v>0.1737193763919822</v>
      </c>
      <c r="G636">
        <v>-0.04322188700189278</v>
      </c>
      <c r="H636">
        <v>0.003</v>
      </c>
      <c r="I636">
        <v>0.1114110310942684</v>
      </c>
      <c r="J636" t="s">
        <v>782</v>
      </c>
      <c r="K636" t="s">
        <v>781</v>
      </c>
      <c r="L636">
        <v>0.96</v>
      </c>
      <c r="M636">
        <v>0.78</v>
      </c>
      <c r="N636">
        <v>0.8125000000000001</v>
      </c>
      <c r="O636">
        <v>0</v>
      </c>
      <c r="P636">
        <v>0.005076403090295889</v>
      </c>
      <c r="Q636">
        <v>-0.032230003044669</v>
      </c>
      <c r="R636" t="s">
        <v>786</v>
      </c>
      <c r="S636" t="s">
        <v>798</v>
      </c>
      <c r="T636">
        <v>787.619068</v>
      </c>
      <c r="U636" s="2">
        <v>44506</v>
      </c>
      <c r="V636" t="s">
        <v>808</v>
      </c>
    </row>
    <row r="637" spans="1:22">
      <c r="A637" s="1" t="s">
        <v>657</v>
      </c>
      <c r="B637">
        <f>HYPERLINK("https://www.suredividend.com/sure-analysis-QSR/","Restaurant Brands International Inc")</f>
        <v>0</v>
      </c>
      <c r="C637">
        <v>57.75</v>
      </c>
      <c r="D637">
        <v>53</v>
      </c>
      <c r="E637">
        <v>1.089622641509434</v>
      </c>
      <c r="F637">
        <v>0.03670995670995671</v>
      </c>
      <c r="G637">
        <v>-0.01701978595416109</v>
      </c>
      <c r="H637">
        <v>0.1</v>
      </c>
      <c r="I637">
        <v>0.1095828461825143</v>
      </c>
      <c r="J637" t="s">
        <v>782</v>
      </c>
      <c r="K637" t="s">
        <v>530</v>
      </c>
      <c r="L637">
        <v>2.8</v>
      </c>
      <c r="M637">
        <v>2.12</v>
      </c>
      <c r="N637">
        <v>0.7571428571428572</v>
      </c>
      <c r="O637">
        <v>9</v>
      </c>
      <c r="P637">
        <v>0.03517300006217261</v>
      </c>
      <c r="Q637">
        <v>-0.026748808100364</v>
      </c>
      <c r="R637" t="s">
        <v>784</v>
      </c>
      <c r="S637" t="s">
        <v>792</v>
      </c>
      <c r="T637">
        <v>18203.615981</v>
      </c>
      <c r="U637" s="2">
        <v>44495</v>
      </c>
      <c r="V637" t="s">
        <v>807</v>
      </c>
    </row>
    <row r="638" spans="1:22">
      <c r="A638" s="1" t="s">
        <v>658</v>
      </c>
      <c r="B638">
        <f>HYPERLINK("https://www.suredividend.com/sure-analysis-CTO/","CTO Realty Growth Inc")</f>
        <v>0</v>
      </c>
      <c r="C638">
        <v>55.83</v>
      </c>
      <c r="D638">
        <v>56</v>
      </c>
      <c r="E638">
        <v>0.9969642857142856</v>
      </c>
      <c r="F638">
        <v>0.07164606842199535</v>
      </c>
      <c r="G638">
        <v>0.0006082511923553025</v>
      </c>
      <c r="H638">
        <v>0.045</v>
      </c>
      <c r="I638">
        <v>0.1027138442793236</v>
      </c>
      <c r="J638" t="s">
        <v>782</v>
      </c>
      <c r="K638" t="s">
        <v>349</v>
      </c>
      <c r="L638">
        <v>4.15</v>
      </c>
      <c r="M638">
        <v>4</v>
      </c>
      <c r="N638">
        <v>0.9638554216867469</v>
      </c>
      <c r="O638">
        <v>8</v>
      </c>
      <c r="P638">
        <v>0.02016978262061087</v>
      </c>
      <c r="Q638">
        <v>0.274855897846051</v>
      </c>
      <c r="R638" t="s">
        <v>786</v>
      </c>
      <c r="S638" t="s">
        <v>798</v>
      </c>
      <c r="T638">
        <v>330.720461</v>
      </c>
      <c r="U638" s="2">
        <v>44502</v>
      </c>
      <c r="V638" t="s">
        <v>805</v>
      </c>
    </row>
    <row r="639" spans="1:22">
      <c r="A639" s="1" t="s">
        <v>659</v>
      </c>
      <c r="B639">
        <f>HYPERLINK("https://www.suredividend.com/sure-analysis-NYMT/","New York Mortgage Trust Inc")</f>
        <v>0</v>
      </c>
      <c r="C639">
        <v>3.87</v>
      </c>
      <c r="D639">
        <v>3.9</v>
      </c>
      <c r="E639">
        <v>0.9923076923076923</v>
      </c>
      <c r="F639">
        <v>0.103359173126615</v>
      </c>
      <c r="G639">
        <v>0.001545602432890814</v>
      </c>
      <c r="H639">
        <v>0.02</v>
      </c>
      <c r="I639">
        <v>0.1025731983041795</v>
      </c>
      <c r="J639" t="s">
        <v>782</v>
      </c>
      <c r="K639" t="s">
        <v>349</v>
      </c>
      <c r="L639">
        <v>0.43</v>
      </c>
      <c r="M639">
        <v>0.4</v>
      </c>
      <c r="N639">
        <v>0.930232558139535</v>
      </c>
      <c r="O639">
        <v>0</v>
      </c>
      <c r="P639">
        <v>0</v>
      </c>
      <c r="Q639">
        <v>0.112961177810884</v>
      </c>
      <c r="R639" t="s">
        <v>784</v>
      </c>
      <c r="S639" t="s">
        <v>798</v>
      </c>
      <c r="T639">
        <v>1445.08147</v>
      </c>
      <c r="U639" s="2">
        <v>44526</v>
      </c>
      <c r="V639" t="s">
        <v>804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35.5</v>
      </c>
      <c r="D640">
        <v>38</v>
      </c>
      <c r="E640">
        <v>0.9342105263157895</v>
      </c>
      <c r="F640">
        <v>0.03380281690140845</v>
      </c>
      <c r="G640">
        <v>0.01370373979231099</v>
      </c>
      <c r="H640">
        <v>0.06</v>
      </c>
      <c r="I640">
        <v>0.1024419441957698</v>
      </c>
      <c r="J640" t="s">
        <v>782</v>
      </c>
      <c r="K640" t="s">
        <v>530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0.256861400605275</v>
      </c>
      <c r="R640" t="s">
        <v>786</v>
      </c>
      <c r="S640" t="s">
        <v>798</v>
      </c>
      <c r="T640">
        <v>2117.126996</v>
      </c>
      <c r="U640" s="2">
        <v>44502</v>
      </c>
      <c r="V640" t="s">
        <v>807</v>
      </c>
    </row>
    <row r="641" spans="1:22">
      <c r="A641" s="1" t="s">
        <v>661</v>
      </c>
      <c r="B641">
        <f>HYPERLINK("https://www.suredividend.com/sure-analysis-CWCO/","Consolidated Water Co. Ltd.")</f>
        <v>0</v>
      </c>
      <c r="C641">
        <v>10.61</v>
      </c>
      <c r="D641">
        <v>12.4</v>
      </c>
      <c r="E641">
        <v>0.8556451612903225</v>
      </c>
      <c r="F641">
        <v>0.03204524033930255</v>
      </c>
      <c r="G641">
        <v>0.03167108894478643</v>
      </c>
      <c r="H641">
        <v>0.042</v>
      </c>
      <c r="I641">
        <v>0.1020815724411392</v>
      </c>
      <c r="J641" t="s">
        <v>782</v>
      </c>
      <c r="K641" t="s">
        <v>782</v>
      </c>
      <c r="L641">
        <v>0.33</v>
      </c>
      <c r="M641">
        <v>0.34</v>
      </c>
      <c r="N641">
        <v>1.03030303030303</v>
      </c>
      <c r="O641">
        <v>0</v>
      </c>
      <c r="P641">
        <v>0.0576615571948691</v>
      </c>
      <c r="Q641">
        <v>-0.057044327897119</v>
      </c>
      <c r="R641" t="s">
        <v>784</v>
      </c>
      <c r="S641" t="s">
        <v>796</v>
      </c>
      <c r="T641">
        <v>159.71234</v>
      </c>
      <c r="U641" s="2">
        <v>44517</v>
      </c>
      <c r="V641" t="s">
        <v>808</v>
      </c>
    </row>
    <row r="642" spans="1:22">
      <c r="A642" s="1" t="s">
        <v>662</v>
      </c>
      <c r="B642">
        <f>HYPERLINK("https://www.suredividend.com/sure-analysis-AFIN/","American Fin Tr Inc")</f>
        <v>0</v>
      </c>
      <c r="C642">
        <v>8.199999999999999</v>
      </c>
      <c r="D642">
        <v>9</v>
      </c>
      <c r="E642">
        <v>0.911111111111111</v>
      </c>
      <c r="F642">
        <v>0.1036585365853659</v>
      </c>
      <c r="G642">
        <v>0.01879248178299053</v>
      </c>
      <c r="H642">
        <v>0</v>
      </c>
      <c r="I642">
        <v>0.1007289912625178</v>
      </c>
      <c r="J642" t="s">
        <v>782</v>
      </c>
      <c r="K642" t="s">
        <v>349</v>
      </c>
      <c r="L642">
        <v>1</v>
      </c>
      <c r="M642">
        <v>0.85</v>
      </c>
      <c r="N642">
        <v>0.85</v>
      </c>
      <c r="O642">
        <v>0</v>
      </c>
      <c r="P642">
        <v>0</v>
      </c>
      <c r="Q642">
        <v>0.194765787976483</v>
      </c>
      <c r="R642" t="s">
        <v>786</v>
      </c>
      <c r="S642" t="s">
        <v>798</v>
      </c>
      <c r="T642">
        <v>1011.518022</v>
      </c>
      <c r="U642" s="2">
        <v>44509</v>
      </c>
      <c r="V642" t="s">
        <v>799</v>
      </c>
    </row>
    <row r="643" spans="1:22">
      <c r="A643" s="1" t="s">
        <v>663</v>
      </c>
      <c r="B643">
        <f>HYPERLINK("https://www.suredividend.com/sure-analysis-CTRE/","CareTrust REIT Inc")</f>
        <v>0</v>
      </c>
      <c r="C643">
        <v>21.24</v>
      </c>
      <c r="D643">
        <v>22</v>
      </c>
      <c r="E643">
        <v>0.9654545454545453</v>
      </c>
      <c r="F643">
        <v>0.04990583804143127</v>
      </c>
      <c r="G643">
        <v>0.00705602868275168</v>
      </c>
      <c r="H643">
        <v>0.05</v>
      </c>
      <c r="I643">
        <v>0.1000831930801087</v>
      </c>
      <c r="J643" t="s">
        <v>782</v>
      </c>
      <c r="K643" t="s">
        <v>349</v>
      </c>
      <c r="L643">
        <v>1.5</v>
      </c>
      <c r="M643">
        <v>1.06</v>
      </c>
      <c r="N643">
        <v>0.7066666666666667</v>
      </c>
      <c r="O643">
        <v>5</v>
      </c>
      <c r="P643">
        <v>0.04955591526723868</v>
      </c>
      <c r="Q643">
        <v>0.008203779226554001</v>
      </c>
      <c r="R643" t="s">
        <v>786</v>
      </c>
      <c r="S643" t="s">
        <v>798</v>
      </c>
      <c r="T643">
        <v>2067.769948</v>
      </c>
      <c r="U643" s="2">
        <v>44508</v>
      </c>
      <c r="V643" t="s">
        <v>805</v>
      </c>
    </row>
    <row r="644" spans="1:22">
      <c r="A644" s="1" t="s">
        <v>664</v>
      </c>
      <c r="B644">
        <f>HYPERLINK("https://www.suredividend.com/sure-analysis-EPRT/","Essential Properties Realty Trust Inc")</f>
        <v>0</v>
      </c>
      <c r="C644">
        <v>27.39</v>
      </c>
      <c r="D644">
        <v>27.05</v>
      </c>
      <c r="E644">
        <v>1.012569316081331</v>
      </c>
      <c r="F644">
        <v>0.03797006206644761</v>
      </c>
      <c r="G644">
        <v>-0.002495077702789894</v>
      </c>
      <c r="H644">
        <v>0.07000000000000001</v>
      </c>
      <c r="I644">
        <v>0.09863626604977171</v>
      </c>
      <c r="J644" t="s">
        <v>782</v>
      </c>
      <c r="K644" t="s">
        <v>530</v>
      </c>
      <c r="L644">
        <v>1.48</v>
      </c>
      <c r="M644">
        <v>1.04</v>
      </c>
      <c r="N644">
        <v>0.7027027027027027</v>
      </c>
      <c r="O644">
        <v>3</v>
      </c>
      <c r="P644">
        <v>0.0424022162772979</v>
      </c>
      <c r="Q644">
        <v>0.380014811409893</v>
      </c>
      <c r="R644" t="s">
        <v>786</v>
      </c>
      <c r="S644" t="s">
        <v>798</v>
      </c>
      <c r="T644">
        <v>3284.925751</v>
      </c>
      <c r="U644" s="2">
        <v>44508</v>
      </c>
      <c r="V644" t="s">
        <v>805</v>
      </c>
    </row>
    <row r="645" spans="1:22">
      <c r="A645" s="1" t="s">
        <v>665</v>
      </c>
      <c r="B645">
        <f>HYPERLINK("https://www.suredividend.com/sure-analysis-VOD/","Vodafone Group plc")</f>
        <v>0</v>
      </c>
      <c r="C645">
        <v>14.9</v>
      </c>
      <c r="D645">
        <v>16</v>
      </c>
      <c r="E645">
        <v>0.93125</v>
      </c>
      <c r="F645">
        <v>0.06845637583892618</v>
      </c>
      <c r="G645">
        <v>0.0143474525569729</v>
      </c>
      <c r="H645">
        <v>0.03</v>
      </c>
      <c r="I645">
        <v>0.09678889468908469</v>
      </c>
      <c r="J645" t="s">
        <v>782</v>
      </c>
      <c r="K645" t="s">
        <v>349</v>
      </c>
      <c r="L645">
        <v>1.15</v>
      </c>
      <c r="M645">
        <v>1.02</v>
      </c>
      <c r="N645">
        <v>0.8869565217391305</v>
      </c>
      <c r="O645">
        <v>0</v>
      </c>
      <c r="P645">
        <v>0</v>
      </c>
      <c r="Q645">
        <v>-0.040958787832718</v>
      </c>
      <c r="R645" t="s">
        <v>784</v>
      </c>
      <c r="S645" t="s">
        <v>788</v>
      </c>
      <c r="T645">
        <v>41320.702835</v>
      </c>
      <c r="U645" s="2">
        <v>44528</v>
      </c>
      <c r="V645" t="s">
        <v>804</v>
      </c>
    </row>
    <row r="646" spans="1:22">
      <c r="A646" s="1" t="s">
        <v>666</v>
      </c>
      <c r="B646">
        <f>HYPERLINK("https://www.suredividend.com/sure-analysis-AQN/","Algonquin Power &amp; Utilities Corp")</f>
        <v>0</v>
      </c>
      <c r="C646">
        <v>13.77</v>
      </c>
      <c r="D646">
        <v>13</v>
      </c>
      <c r="E646">
        <v>1.059230769230769</v>
      </c>
      <c r="F646">
        <v>0.04938271604938272</v>
      </c>
      <c r="G646">
        <v>-0.01144262054018164</v>
      </c>
      <c r="H646">
        <v>0.065</v>
      </c>
      <c r="I646">
        <v>0.09642361684556278</v>
      </c>
      <c r="J646" t="s">
        <v>782</v>
      </c>
      <c r="K646" t="s">
        <v>530</v>
      </c>
      <c r="L646">
        <v>0.73</v>
      </c>
      <c r="M646">
        <v>0.68</v>
      </c>
      <c r="N646">
        <v>0.9315068493150686</v>
      </c>
      <c r="O646">
        <v>9</v>
      </c>
      <c r="P646">
        <v>0.05530068195228077</v>
      </c>
      <c r="Q646">
        <v>-0.107545357733191</v>
      </c>
      <c r="R646" t="s">
        <v>784</v>
      </c>
      <c r="S646" t="s">
        <v>796</v>
      </c>
      <c r="T646">
        <v>9177.81724</v>
      </c>
      <c r="U646" s="2">
        <v>44513</v>
      </c>
      <c r="V646" t="s">
        <v>809</v>
      </c>
    </row>
    <row r="647" spans="1:22">
      <c r="A647" s="1" t="s">
        <v>667</v>
      </c>
      <c r="B647">
        <f>HYPERLINK("https://www.suredividend.com/sure-analysis-NTST/","Netstreit Corp")</f>
        <v>0</v>
      </c>
      <c r="C647">
        <v>21.59</v>
      </c>
      <c r="D647">
        <v>21</v>
      </c>
      <c r="E647">
        <v>1.028095238095238</v>
      </c>
      <c r="F647">
        <v>0.03705419175544233</v>
      </c>
      <c r="G647">
        <v>-0.005526235232796384</v>
      </c>
      <c r="H647">
        <v>0.07000000000000001</v>
      </c>
      <c r="I647">
        <v>0.09567196814770251</v>
      </c>
      <c r="J647" t="s">
        <v>782</v>
      </c>
      <c r="K647" t="s">
        <v>530</v>
      </c>
      <c r="L647">
        <v>0.9399999999999999</v>
      </c>
      <c r="M647">
        <v>0.8</v>
      </c>
      <c r="N647">
        <v>0.8510638297872342</v>
      </c>
      <c r="O647">
        <v>1</v>
      </c>
      <c r="P647">
        <v>0.04978904632428516</v>
      </c>
      <c r="Q647">
        <v>0.215840073770071</v>
      </c>
      <c r="R647" t="s">
        <v>786</v>
      </c>
      <c r="S647" t="s">
        <v>798</v>
      </c>
      <c r="T647">
        <v>846.388377</v>
      </c>
      <c r="U647" s="2">
        <v>44502</v>
      </c>
      <c r="V647" t="s">
        <v>805</v>
      </c>
    </row>
    <row r="648" spans="1:22">
      <c r="A648" s="1" t="s">
        <v>668</v>
      </c>
      <c r="B648">
        <f>HYPERLINK("https://www.suredividend.com/sure-analysis-ACRE/","Ares Commercial Real Estate Corp")</f>
        <v>0</v>
      </c>
      <c r="C648">
        <v>14.23</v>
      </c>
      <c r="D648">
        <v>15.87</v>
      </c>
      <c r="E648">
        <v>0.8966603654694393</v>
      </c>
      <c r="F648">
        <v>0.09276177090653549</v>
      </c>
      <c r="G648">
        <v>0.02205532512276198</v>
      </c>
      <c r="H648">
        <v>0</v>
      </c>
      <c r="I648">
        <v>0.0956696565315589</v>
      </c>
      <c r="J648" t="s">
        <v>782</v>
      </c>
      <c r="K648" t="s">
        <v>349</v>
      </c>
      <c r="L648">
        <v>1.38</v>
      </c>
      <c r="M648">
        <v>1.32</v>
      </c>
      <c r="N648">
        <v>0.9565217391304349</v>
      </c>
      <c r="O648">
        <v>0</v>
      </c>
      <c r="P648">
        <v>0</v>
      </c>
      <c r="Q648">
        <v>0.253553205388513</v>
      </c>
      <c r="R648" t="s">
        <v>786</v>
      </c>
      <c r="S648" t="s">
        <v>798</v>
      </c>
      <c r="T648">
        <v>667.4258579999999</v>
      </c>
      <c r="U648" s="2">
        <v>44506</v>
      </c>
      <c r="V648" t="s">
        <v>799</v>
      </c>
    </row>
    <row r="649" spans="1:22">
      <c r="A649" s="1" t="s">
        <v>669</v>
      </c>
      <c r="B649">
        <f>HYPERLINK("https://www.suredividend.com/sure-analysis-ORCC/","Owl Rock Capital Corp")</f>
        <v>0</v>
      </c>
      <c r="C649">
        <v>14.17</v>
      </c>
      <c r="D649">
        <v>14.64</v>
      </c>
      <c r="E649">
        <v>0.967896174863388</v>
      </c>
      <c r="F649">
        <v>0.08750882145377559</v>
      </c>
      <c r="G649">
        <v>0.006547432297662414</v>
      </c>
      <c r="H649">
        <v>0.02</v>
      </c>
      <c r="I649">
        <v>0.09555687449151384</v>
      </c>
      <c r="J649" t="s">
        <v>782</v>
      </c>
      <c r="K649" t="s">
        <v>349</v>
      </c>
      <c r="L649">
        <v>1.22</v>
      </c>
      <c r="M649">
        <v>1.24</v>
      </c>
      <c r="N649">
        <v>1.016393442622951</v>
      </c>
      <c r="O649">
        <v>0</v>
      </c>
      <c r="P649">
        <v>0</v>
      </c>
      <c r="Q649">
        <v>0.197507681802663</v>
      </c>
      <c r="R649" t="s">
        <v>787</v>
      </c>
      <c r="S649" t="s">
        <v>794</v>
      </c>
      <c r="T649">
        <v>5515.930333</v>
      </c>
      <c r="U649" s="2">
        <v>44509</v>
      </c>
      <c r="V649" t="s">
        <v>799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14.91</v>
      </c>
      <c r="D650">
        <v>12.4</v>
      </c>
      <c r="E650">
        <v>1.20241935483871</v>
      </c>
      <c r="F650">
        <v>0.1073105298457411</v>
      </c>
      <c r="G650">
        <v>-0.03619581368438318</v>
      </c>
      <c r="H650">
        <v>0.04</v>
      </c>
      <c r="I650">
        <v>0.09555198747042515</v>
      </c>
      <c r="J650" t="s">
        <v>782</v>
      </c>
      <c r="K650" t="s">
        <v>349</v>
      </c>
      <c r="L650">
        <v>1.77</v>
      </c>
      <c r="M650">
        <v>1.6</v>
      </c>
      <c r="N650">
        <v>0.903954802259887</v>
      </c>
      <c r="O650">
        <v>0</v>
      </c>
      <c r="P650">
        <v>0.01808400232019891</v>
      </c>
      <c r="Q650">
        <v>-0.037886470603531</v>
      </c>
      <c r="R650" t="s">
        <v>786</v>
      </c>
      <c r="S650" t="s">
        <v>798</v>
      </c>
      <c r="T650">
        <v>1533.343314</v>
      </c>
      <c r="U650" s="2">
        <v>44509</v>
      </c>
      <c r="V650" t="s">
        <v>808</v>
      </c>
    </row>
    <row r="651" spans="1:22">
      <c r="A651" s="1" t="s">
        <v>671</v>
      </c>
      <c r="B651">
        <f>HYPERLINK("https://www.suredividend.com/sure-analysis-SRC/","Spirit Realty Capital Inc")</f>
        <v>0</v>
      </c>
      <c r="C651">
        <v>47.15</v>
      </c>
      <c r="D651">
        <v>50</v>
      </c>
      <c r="E651">
        <v>0.9429999999999999</v>
      </c>
      <c r="F651">
        <v>0.05408271474019088</v>
      </c>
      <c r="G651">
        <v>0.01180695755940842</v>
      </c>
      <c r="H651">
        <v>0.04</v>
      </c>
      <c r="I651">
        <v>0.09546112726281253</v>
      </c>
      <c r="J651" t="s">
        <v>782</v>
      </c>
      <c r="K651" t="s">
        <v>349</v>
      </c>
      <c r="L651">
        <v>3.3</v>
      </c>
      <c r="M651">
        <v>2.55</v>
      </c>
      <c r="N651">
        <v>0.7727272727272727</v>
      </c>
      <c r="O651">
        <v>1</v>
      </c>
      <c r="P651">
        <v>0.02033265364950054</v>
      </c>
      <c r="Q651">
        <v>0.247182013515763</v>
      </c>
      <c r="R651" t="s">
        <v>786</v>
      </c>
      <c r="S651" t="s">
        <v>798</v>
      </c>
      <c r="T651">
        <v>5819.260144</v>
      </c>
      <c r="U651" s="2">
        <v>44509</v>
      </c>
      <c r="V651" t="s">
        <v>799</v>
      </c>
    </row>
    <row r="652" spans="1:22">
      <c r="A652" s="1" t="s">
        <v>672</v>
      </c>
      <c r="B652">
        <f>HYPERLINK("https://www.suredividend.com/sure-analysis-CBRL/","Cracker Barrel Old Country Store Inc")</f>
        <v>0</v>
      </c>
      <c r="C652">
        <v>123.92</v>
      </c>
      <c r="D652">
        <v>127</v>
      </c>
      <c r="E652">
        <v>0.975748031496063</v>
      </c>
      <c r="F652">
        <v>0.04196255648805681</v>
      </c>
      <c r="G652">
        <v>0.00492225274918745</v>
      </c>
      <c r="H652">
        <v>0.054</v>
      </c>
      <c r="I652">
        <v>0.09328072644201635</v>
      </c>
      <c r="J652" t="s">
        <v>782</v>
      </c>
      <c r="K652" t="s">
        <v>349</v>
      </c>
      <c r="L652">
        <v>8.460000000000001</v>
      </c>
      <c r="M652">
        <v>5.2</v>
      </c>
      <c r="N652">
        <v>0.6146572104018913</v>
      </c>
      <c r="O652">
        <v>1</v>
      </c>
      <c r="P652">
        <v>0.02903366107118788</v>
      </c>
      <c r="Q652">
        <v>-0.076405748716979</v>
      </c>
      <c r="R652" t="s">
        <v>784</v>
      </c>
      <c r="S652" t="s">
        <v>792</v>
      </c>
      <c r="T652">
        <v>2884.018565</v>
      </c>
      <c r="U652" s="2">
        <v>44524</v>
      </c>
      <c r="V652" t="s">
        <v>808</v>
      </c>
    </row>
    <row r="653" spans="1:22">
      <c r="A653" s="1" t="s">
        <v>673</v>
      </c>
      <c r="B653">
        <f>HYPERLINK("https://www.suredividend.com/sure-analysis-GSBD/","Goldman Sachs BDC Inc")</f>
        <v>0</v>
      </c>
      <c r="C653">
        <v>19.05</v>
      </c>
      <c r="D653">
        <v>20.64</v>
      </c>
      <c r="E653">
        <v>0.9229651162790697</v>
      </c>
      <c r="F653">
        <v>0.09448818897637795</v>
      </c>
      <c r="G653">
        <v>0.0161619822614234</v>
      </c>
      <c r="H653">
        <v>0</v>
      </c>
      <c r="I653">
        <v>0.09243761105487169</v>
      </c>
      <c r="J653" t="s">
        <v>782</v>
      </c>
      <c r="K653" t="s">
        <v>349</v>
      </c>
      <c r="L653">
        <v>2.15</v>
      </c>
      <c r="M653">
        <v>1.8</v>
      </c>
      <c r="N653">
        <v>0.8372093023255814</v>
      </c>
      <c r="O653">
        <v>0</v>
      </c>
      <c r="P653">
        <v>0</v>
      </c>
      <c r="Q653">
        <v>0.09303434840326101</v>
      </c>
      <c r="R653" t="s">
        <v>787</v>
      </c>
      <c r="S653" t="s">
        <v>794</v>
      </c>
      <c r="T653">
        <v>1936.593785</v>
      </c>
      <c r="U653" s="2">
        <v>44513</v>
      </c>
      <c r="V653" t="s">
        <v>799</v>
      </c>
    </row>
    <row r="654" spans="1:22">
      <c r="A654" s="1" t="s">
        <v>674</v>
      </c>
      <c r="B654">
        <f>HYPERLINK("https://www.suredividend.com/sure-analysis-IDEXY/","Industria De Diseno Textil SA")</f>
        <v>0</v>
      </c>
      <c r="C654">
        <v>15.59</v>
      </c>
      <c r="D654">
        <v>13.5</v>
      </c>
      <c r="E654">
        <v>1.154814814814815</v>
      </c>
      <c r="F654">
        <v>0.02694034637588198</v>
      </c>
      <c r="G654">
        <v>-0.02837757295025267</v>
      </c>
      <c r="H654">
        <v>0.1</v>
      </c>
      <c r="I654">
        <v>0.09183587114876435</v>
      </c>
      <c r="J654" t="s">
        <v>782</v>
      </c>
      <c r="K654" t="s">
        <v>782</v>
      </c>
      <c r="L654">
        <v>0.54</v>
      </c>
      <c r="M654">
        <v>0.42</v>
      </c>
      <c r="N654">
        <v>0.7777777777777777</v>
      </c>
      <c r="O654">
        <v>0</v>
      </c>
      <c r="P654">
        <v>0.05154749679728043</v>
      </c>
      <c r="Q654">
        <v>-0.05434529356943101</v>
      </c>
      <c r="R654" t="s">
        <v>784</v>
      </c>
      <c r="S654" t="s">
        <v>792</v>
      </c>
      <c r="T654">
        <v>101197.69044</v>
      </c>
      <c r="U654" s="2">
        <v>44458</v>
      </c>
      <c r="V654" t="s">
        <v>799</v>
      </c>
    </row>
    <row r="655" spans="1:22">
      <c r="A655" s="1" t="s">
        <v>675</v>
      </c>
      <c r="B655">
        <f>HYPERLINK("https://www.suredividend.com/sure-analysis-FCPT/","Four Corners Property Trust Inc")</f>
        <v>0</v>
      </c>
      <c r="C655">
        <v>28.48</v>
      </c>
      <c r="D655">
        <v>29</v>
      </c>
      <c r="E655">
        <v>0.9820689655172414</v>
      </c>
      <c r="F655">
        <v>0.04669943820224719</v>
      </c>
      <c r="G655">
        <v>0.003625304264851081</v>
      </c>
      <c r="H655">
        <v>0.05</v>
      </c>
      <c r="I655">
        <v>0.09156204410035373</v>
      </c>
      <c r="J655" t="s">
        <v>782</v>
      </c>
      <c r="K655" t="s">
        <v>530</v>
      </c>
      <c r="L655">
        <v>1.53</v>
      </c>
      <c r="M655">
        <v>1.33</v>
      </c>
      <c r="N655">
        <v>0.869281045751634</v>
      </c>
      <c r="O655">
        <v>4</v>
      </c>
      <c r="P655">
        <v>0.02297948759813462</v>
      </c>
      <c r="Q655">
        <v>0.008613523662108</v>
      </c>
      <c r="R655" t="s">
        <v>786</v>
      </c>
      <c r="S655" t="s">
        <v>798</v>
      </c>
      <c r="T655">
        <v>2177.476619</v>
      </c>
      <c r="U655" s="2">
        <v>44499</v>
      </c>
      <c r="V655" t="s">
        <v>802</v>
      </c>
    </row>
    <row r="656" spans="1:22">
      <c r="A656" s="1" t="s">
        <v>676</v>
      </c>
      <c r="B656">
        <f>HYPERLINK("https://www.suredividend.com/sure-analysis-SACH/","Sachem Capital Corp")</f>
        <v>0</v>
      </c>
      <c r="C656">
        <v>5.3</v>
      </c>
      <c r="D656">
        <v>5.26</v>
      </c>
      <c r="E656">
        <v>1.007604562737643</v>
      </c>
      <c r="F656">
        <v>0.09056603773584905</v>
      </c>
      <c r="G656">
        <v>-0.001514011488161993</v>
      </c>
      <c r="H656">
        <v>0.02</v>
      </c>
      <c r="I656">
        <v>0.09140674697045625</v>
      </c>
      <c r="J656" t="s">
        <v>782</v>
      </c>
      <c r="K656" t="s">
        <v>349</v>
      </c>
      <c r="L656">
        <v>0.47</v>
      </c>
      <c r="M656">
        <v>0.48</v>
      </c>
      <c r="N656">
        <v>1.021276595744681</v>
      </c>
      <c r="O656">
        <v>0</v>
      </c>
      <c r="P656">
        <v>0</v>
      </c>
      <c r="Q656">
        <v>0.453480703790656</v>
      </c>
      <c r="R656" t="s">
        <v>786</v>
      </c>
      <c r="S656" t="s">
        <v>798</v>
      </c>
      <c r="T656">
        <v>162.232131</v>
      </c>
      <c r="U656" s="2">
        <v>44517</v>
      </c>
      <c r="V656" t="s">
        <v>799</v>
      </c>
    </row>
    <row r="657" spans="1:22">
      <c r="A657" s="1" t="s">
        <v>677</v>
      </c>
      <c r="B657">
        <f>HYPERLINK("https://www.suredividend.com/sure-analysis-HR/","Healthcare Realty Trust, Inc.")</f>
        <v>0</v>
      </c>
      <c r="C657">
        <v>31.75</v>
      </c>
      <c r="D657">
        <v>32</v>
      </c>
      <c r="E657">
        <v>0.9921875</v>
      </c>
      <c r="F657">
        <v>0.03811023622047244</v>
      </c>
      <c r="G657">
        <v>0.001569866444413259</v>
      </c>
      <c r="H657">
        <v>0.06</v>
      </c>
      <c r="I657">
        <v>0.09089436633581105</v>
      </c>
      <c r="J657" t="s">
        <v>782</v>
      </c>
      <c r="K657" t="s">
        <v>530</v>
      </c>
      <c r="L657">
        <v>1.72</v>
      </c>
      <c r="M657">
        <v>1.21</v>
      </c>
      <c r="N657">
        <v>0.7034883720930233</v>
      </c>
      <c r="O657">
        <v>1</v>
      </c>
      <c r="P657">
        <v>0.00972630418295628</v>
      </c>
      <c r="Q657">
        <v>0.107080621643728</v>
      </c>
      <c r="R657" t="s">
        <v>786</v>
      </c>
      <c r="S657" t="s">
        <v>798</v>
      </c>
      <c r="T657">
        <v>4592.97723</v>
      </c>
      <c r="U657" s="2">
        <v>44513</v>
      </c>
      <c r="V657" t="s">
        <v>805</v>
      </c>
    </row>
    <row r="658" spans="1:22">
      <c r="A658" s="1" t="s">
        <v>678</v>
      </c>
      <c r="B658">
        <f>HYPERLINK("https://www.suredividend.com/sure-analysis-KREF/","KKR Real Estate Finance Trust Inc")</f>
        <v>0</v>
      </c>
      <c r="C658">
        <v>20.78</v>
      </c>
      <c r="D658">
        <v>21.53</v>
      </c>
      <c r="E658">
        <v>0.9651648862052949</v>
      </c>
      <c r="F658">
        <v>0.08277189605389797</v>
      </c>
      <c r="G658">
        <v>0.00711646769914176</v>
      </c>
      <c r="H658">
        <v>0.015</v>
      </c>
      <c r="I658">
        <v>0.09060944207752653</v>
      </c>
      <c r="J658" t="s">
        <v>782</v>
      </c>
      <c r="K658" t="s">
        <v>349</v>
      </c>
      <c r="L658">
        <v>2.05</v>
      </c>
      <c r="M658">
        <v>1.72</v>
      </c>
      <c r="N658">
        <v>0.8390243902439025</v>
      </c>
      <c r="O658">
        <v>0</v>
      </c>
      <c r="P658">
        <v>0.01025271344829148</v>
      </c>
      <c r="Q658">
        <v>0.206886386415895</v>
      </c>
      <c r="R658" t="s">
        <v>786</v>
      </c>
      <c r="S658" t="s">
        <v>798</v>
      </c>
      <c r="T658">
        <v>1142.704384</v>
      </c>
      <c r="U658" s="2">
        <v>44495</v>
      </c>
      <c r="V658" t="s">
        <v>799</v>
      </c>
    </row>
    <row r="659" spans="1:22">
      <c r="A659" s="1" t="s">
        <v>679</v>
      </c>
      <c r="B659">
        <f>HYPERLINK("https://www.suredividend.com/sure-analysis-VST/","Vistra Corp")</f>
        <v>0</v>
      </c>
      <c r="C659">
        <v>20.7</v>
      </c>
      <c r="D659">
        <v>19</v>
      </c>
      <c r="E659">
        <v>1.089473684210526</v>
      </c>
      <c r="F659">
        <v>0.02898550724637681</v>
      </c>
      <c r="G659">
        <v>-0.016992908008861</v>
      </c>
      <c r="H659">
        <v>0.08</v>
      </c>
      <c r="I659">
        <v>0.08907392352768895</v>
      </c>
      <c r="J659" t="s">
        <v>782</v>
      </c>
      <c r="K659" t="s">
        <v>782</v>
      </c>
      <c r="L659">
        <v>-0.55</v>
      </c>
      <c r="M659">
        <v>0.6</v>
      </c>
      <c r="N659">
        <v>9.99</v>
      </c>
      <c r="O659">
        <v>2</v>
      </c>
      <c r="P659">
        <v>0.0796084730466029</v>
      </c>
      <c r="Q659">
        <v>0.182370889880681</v>
      </c>
      <c r="R659" t="s">
        <v>784</v>
      </c>
      <c r="S659" t="s">
        <v>796</v>
      </c>
      <c r="T659">
        <v>10024.17359</v>
      </c>
      <c r="U659" s="2">
        <v>44515</v>
      </c>
      <c r="V659" t="s">
        <v>805</v>
      </c>
    </row>
    <row r="660" spans="1:22">
      <c r="A660" s="1" t="s">
        <v>680</v>
      </c>
      <c r="B660">
        <f>HYPERLINK("https://www.suredividend.com/sure-analysis-PMT/","Pennymac Mortgage Investment Trust")</f>
        <v>0</v>
      </c>
      <c r="C660">
        <v>17.81</v>
      </c>
      <c r="D660">
        <v>17</v>
      </c>
      <c r="E660">
        <v>1.047647058823529</v>
      </c>
      <c r="F660">
        <v>0.1055586749017406</v>
      </c>
      <c r="G660">
        <v>-0.009266152796230664</v>
      </c>
      <c r="H660">
        <v>0.01</v>
      </c>
      <c r="I660">
        <v>0.08891813828771977</v>
      </c>
      <c r="J660" t="s">
        <v>782</v>
      </c>
      <c r="K660" t="s">
        <v>349</v>
      </c>
      <c r="L660">
        <v>1.9</v>
      </c>
      <c r="M660">
        <v>1.88</v>
      </c>
      <c r="N660">
        <v>0.9894736842105263</v>
      </c>
      <c r="O660">
        <v>1</v>
      </c>
      <c r="P660">
        <v>0</v>
      </c>
      <c r="Q660">
        <v>0.107219523217715</v>
      </c>
      <c r="R660" t="s">
        <v>786</v>
      </c>
      <c r="S660" t="s">
        <v>794</v>
      </c>
      <c r="T660">
        <v>1711.198082</v>
      </c>
      <c r="U660" s="2">
        <v>44512</v>
      </c>
      <c r="V660" t="s">
        <v>805</v>
      </c>
    </row>
    <row r="661" spans="1:22">
      <c r="A661" s="1" t="s">
        <v>681</v>
      </c>
      <c r="B661">
        <f>HYPERLINK("https://www.suredividend.com/sure-analysis-NLY/","Annaly Capital Management Inc")</f>
        <v>0</v>
      </c>
      <c r="C661">
        <v>8.1</v>
      </c>
      <c r="D661">
        <v>7.8</v>
      </c>
      <c r="E661">
        <v>1.038461538461539</v>
      </c>
      <c r="F661">
        <v>0.108641975308642</v>
      </c>
      <c r="G661">
        <v>-0.007519650487427088</v>
      </c>
      <c r="H661">
        <v>-0.004</v>
      </c>
      <c r="I661">
        <v>0.08888268048235459</v>
      </c>
      <c r="J661" t="s">
        <v>782</v>
      </c>
      <c r="K661" t="s">
        <v>781</v>
      </c>
      <c r="L661">
        <v>1.12</v>
      </c>
      <c r="M661">
        <v>0.88</v>
      </c>
      <c r="N661">
        <v>0.7857142857142857</v>
      </c>
      <c r="O661">
        <v>0</v>
      </c>
      <c r="P661">
        <v>0.02589630491023409</v>
      </c>
      <c r="Q661">
        <v>0.08502981146264101</v>
      </c>
      <c r="R661" t="s">
        <v>786</v>
      </c>
      <c r="S661" t="s">
        <v>798</v>
      </c>
      <c r="T661">
        <v>11716.975159</v>
      </c>
      <c r="U661" s="2">
        <v>44503</v>
      </c>
      <c r="V661" t="s">
        <v>808</v>
      </c>
    </row>
    <row r="662" spans="1:22">
      <c r="A662" s="1" t="s">
        <v>682</v>
      </c>
      <c r="B662">
        <f>HYPERLINK("https://www.suredividend.com/sure-analysis-ILPT/","Industrial Logistics Properties Trust")</f>
        <v>0</v>
      </c>
      <c r="C662">
        <v>23.09</v>
      </c>
      <c r="D662">
        <v>24</v>
      </c>
      <c r="E662">
        <v>0.9620833333333333</v>
      </c>
      <c r="F662">
        <v>0.05716760502381984</v>
      </c>
      <c r="G662">
        <v>0.007760801506511594</v>
      </c>
      <c r="H662">
        <v>0.03</v>
      </c>
      <c r="I662">
        <v>0.08573339946073033</v>
      </c>
      <c r="J662" t="s">
        <v>782</v>
      </c>
      <c r="K662" t="s">
        <v>349</v>
      </c>
      <c r="L662">
        <v>1.87</v>
      </c>
      <c r="M662">
        <v>1.32</v>
      </c>
      <c r="N662">
        <v>0.7058823529411765</v>
      </c>
      <c r="O662">
        <v>0</v>
      </c>
      <c r="P662">
        <v>0.02036554426441151</v>
      </c>
      <c r="Q662">
        <v>0.033124205593526</v>
      </c>
      <c r="R662" t="s">
        <v>786</v>
      </c>
      <c r="S662" t="s">
        <v>798</v>
      </c>
      <c r="T662">
        <v>1493.840881</v>
      </c>
      <c r="U662" s="2">
        <v>44498</v>
      </c>
      <c r="V662" t="s">
        <v>799</v>
      </c>
    </row>
    <row r="663" spans="1:22">
      <c r="A663" s="1" t="s">
        <v>683</v>
      </c>
      <c r="B663">
        <f>HYPERLINK("https://www.suredividend.com/sure-analysis-NRZ/","New Residential Investment Corp")</f>
        <v>0</v>
      </c>
      <c r="C663">
        <v>11</v>
      </c>
      <c r="D663">
        <v>10</v>
      </c>
      <c r="E663">
        <v>1.1</v>
      </c>
      <c r="F663">
        <v>0.09090909090909091</v>
      </c>
      <c r="G663">
        <v>-0.01888150427373569</v>
      </c>
      <c r="H663">
        <v>0.02</v>
      </c>
      <c r="I663">
        <v>0.0846204381525355</v>
      </c>
      <c r="J663" t="s">
        <v>782</v>
      </c>
      <c r="K663" t="s">
        <v>349</v>
      </c>
      <c r="L663">
        <v>1.3</v>
      </c>
      <c r="M663">
        <v>1</v>
      </c>
      <c r="N663">
        <v>0.7692307692307692</v>
      </c>
      <c r="O663">
        <v>1</v>
      </c>
      <c r="P663">
        <v>0.03012896281839894</v>
      </c>
      <c r="Q663">
        <v>0.252091627719116</v>
      </c>
      <c r="R663" t="s">
        <v>786</v>
      </c>
      <c r="S663" t="s">
        <v>798</v>
      </c>
      <c r="T663">
        <v>5062.392132</v>
      </c>
      <c r="U663" s="2">
        <v>44503</v>
      </c>
      <c r="V663" t="s">
        <v>801</v>
      </c>
    </row>
    <row r="664" spans="1:22">
      <c r="A664" s="1" t="s">
        <v>684</v>
      </c>
      <c r="B664">
        <f>HYPERLINK("https://www.suredividend.com/sure-analysis-BEP/","Brookfield Renewable Partners LP")</f>
        <v>0</v>
      </c>
      <c r="C664">
        <v>33.28</v>
      </c>
      <c r="D664">
        <v>32</v>
      </c>
      <c r="E664">
        <v>1.04</v>
      </c>
      <c r="F664">
        <v>0.03665865384615384</v>
      </c>
      <c r="G664">
        <v>-0.007813457628780496</v>
      </c>
      <c r="H664">
        <v>0.06</v>
      </c>
      <c r="I664">
        <v>0.08442753669896752</v>
      </c>
      <c r="J664" t="s">
        <v>782</v>
      </c>
      <c r="K664" t="s">
        <v>530</v>
      </c>
      <c r="L664">
        <v>1.9</v>
      </c>
      <c r="M664">
        <v>1.22</v>
      </c>
      <c r="N664">
        <v>0.6421052631578947</v>
      </c>
      <c r="O664">
        <v>0</v>
      </c>
      <c r="P664">
        <v>0.05039574430966676</v>
      </c>
      <c r="Q664">
        <v>-0.143315805180238</v>
      </c>
      <c r="R664" t="s">
        <v>785</v>
      </c>
      <c r="S664" t="s">
        <v>796</v>
      </c>
      <c r="T664">
        <v>9157.846487000001</v>
      </c>
      <c r="U664" s="2">
        <v>44518</v>
      </c>
      <c r="V664" t="s">
        <v>807</v>
      </c>
    </row>
    <row r="665" spans="1:22">
      <c r="A665" s="1" t="s">
        <v>685</v>
      </c>
      <c r="B665">
        <f>HYPERLINK("https://www.suredividend.com/sure-analysis-E/","Eni Spa")</f>
        <v>0</v>
      </c>
      <c r="C665">
        <v>27.34</v>
      </c>
      <c r="D665">
        <v>29</v>
      </c>
      <c r="E665">
        <v>0.9427586206896552</v>
      </c>
      <c r="F665">
        <v>0.05779078273591807</v>
      </c>
      <c r="G665">
        <v>0.01185876387580631</v>
      </c>
      <c r="H665">
        <v>0.02</v>
      </c>
      <c r="I665">
        <v>0.08258056806022185</v>
      </c>
      <c r="J665" t="s">
        <v>782</v>
      </c>
      <c r="K665" t="s">
        <v>349</v>
      </c>
      <c r="L665">
        <v>2.3</v>
      </c>
      <c r="M665">
        <v>1.58</v>
      </c>
      <c r="N665">
        <v>0.6869565217391305</v>
      </c>
      <c r="O665">
        <v>1</v>
      </c>
      <c r="P665">
        <v>0.02981402116536103</v>
      </c>
      <c r="Q665">
        <v>0.389468541007135</v>
      </c>
      <c r="R665" t="s">
        <v>784</v>
      </c>
      <c r="S665" t="s">
        <v>797</v>
      </c>
      <c r="T665">
        <v>49216.369675</v>
      </c>
      <c r="U665" s="2">
        <v>44502</v>
      </c>
      <c r="V665" t="s">
        <v>807</v>
      </c>
    </row>
    <row r="666" spans="1:22">
      <c r="A666" s="1" t="s">
        <v>686</v>
      </c>
      <c r="B666">
        <f>HYPERLINK("https://www.suredividend.com/sure-analysis-SSREY/","Swiss Re Ltd")</f>
        <v>0</v>
      </c>
      <c r="C666">
        <v>23.91</v>
      </c>
      <c r="D666">
        <v>21</v>
      </c>
      <c r="E666">
        <v>1.138571428571429</v>
      </c>
      <c r="F666">
        <v>0.06733584274362192</v>
      </c>
      <c r="G666">
        <v>-0.02562093643782393</v>
      </c>
      <c r="H666">
        <v>0.05</v>
      </c>
      <c r="I666">
        <v>0.08137038064529922</v>
      </c>
      <c r="J666" t="s">
        <v>782</v>
      </c>
      <c r="K666" t="s">
        <v>349</v>
      </c>
      <c r="L666">
        <v>1.75</v>
      </c>
      <c r="M666">
        <v>1.61</v>
      </c>
      <c r="N666">
        <v>0.92</v>
      </c>
      <c r="O666">
        <v>5</v>
      </c>
      <c r="P666">
        <v>0.02027871203234244</v>
      </c>
      <c r="Q666">
        <v>0.041107935810068</v>
      </c>
      <c r="R666" t="s">
        <v>784</v>
      </c>
      <c r="S666" t="s">
        <v>794</v>
      </c>
      <c r="T666">
        <v>30073.344824</v>
      </c>
      <c r="U666" s="2">
        <v>44503</v>
      </c>
      <c r="V666" t="s">
        <v>799</v>
      </c>
    </row>
    <row r="667" spans="1:22">
      <c r="A667" s="1" t="s">
        <v>687</v>
      </c>
      <c r="B667">
        <f>HYPERLINK("https://www.suredividend.com/sure-analysis-CHCT/","Community Healthcare Trust Inc")</f>
        <v>0</v>
      </c>
      <c r="C667">
        <v>45.2</v>
      </c>
      <c r="D667">
        <v>43</v>
      </c>
      <c r="E667">
        <v>1.051162790697674</v>
      </c>
      <c r="F667">
        <v>0.03849557522123893</v>
      </c>
      <c r="G667">
        <v>-0.00992976530041656</v>
      </c>
      <c r="H667">
        <v>0.06</v>
      </c>
      <c r="I667">
        <v>0.08117797739784138</v>
      </c>
      <c r="J667" t="s">
        <v>782</v>
      </c>
      <c r="K667" t="s">
        <v>530</v>
      </c>
      <c r="L667">
        <v>2.21</v>
      </c>
      <c r="M667">
        <v>1.74</v>
      </c>
      <c r="N667">
        <v>0.7873303167420814</v>
      </c>
      <c r="O667">
        <v>6</v>
      </c>
      <c r="P667">
        <v>0.01988310171094443</v>
      </c>
      <c r="Q667">
        <v>-0.017663963441396</v>
      </c>
      <c r="R667" t="s">
        <v>786</v>
      </c>
      <c r="S667" t="s">
        <v>798</v>
      </c>
      <c r="T667">
        <v>1112.720817</v>
      </c>
      <c r="U667" s="2">
        <v>44508</v>
      </c>
      <c r="V667" t="s">
        <v>805</v>
      </c>
    </row>
    <row r="668" spans="1:22">
      <c r="A668" s="1" t="s">
        <v>688</v>
      </c>
      <c r="B668">
        <f>HYPERLINK("https://www.suredividend.com/sure-analysis-WSO/","Watsco Inc.")</f>
        <v>0</v>
      </c>
      <c r="C668">
        <v>315.96</v>
      </c>
      <c r="D668">
        <v>257</v>
      </c>
      <c r="E668">
        <v>1.229416342412451</v>
      </c>
      <c r="F668">
        <v>0.02468666919863274</v>
      </c>
      <c r="G668">
        <v>-0.04046636331833375</v>
      </c>
      <c r="H668">
        <v>0.1</v>
      </c>
      <c r="I668">
        <v>0.0809422275375471</v>
      </c>
      <c r="J668" t="s">
        <v>782</v>
      </c>
      <c r="K668" t="s">
        <v>782</v>
      </c>
      <c r="L668">
        <v>10.29</v>
      </c>
      <c r="M668">
        <v>7.8</v>
      </c>
      <c r="N668">
        <v>0.7580174927113703</v>
      </c>
      <c r="O668">
        <v>8</v>
      </c>
      <c r="P668">
        <v>0.0999653567765697</v>
      </c>
      <c r="Q668">
        <v>0.449499955288357</v>
      </c>
      <c r="R668" t="s">
        <v>786</v>
      </c>
      <c r="S668" t="s">
        <v>798</v>
      </c>
      <c r="T668">
        <v>11990.256956</v>
      </c>
      <c r="U668" s="2">
        <v>44490</v>
      </c>
      <c r="V668" t="s">
        <v>800</v>
      </c>
    </row>
    <row r="669" spans="1:22">
      <c r="A669" s="1" t="s">
        <v>689</v>
      </c>
      <c r="B669">
        <f>HYPERLINK("https://www.suredividend.com/sure-analysis-EIC/","Eagle Point Income Company Inc")</f>
        <v>0</v>
      </c>
      <c r="C669">
        <v>16.89</v>
      </c>
      <c r="D669">
        <v>15.86</v>
      </c>
      <c r="E669">
        <v>1.064943253467844</v>
      </c>
      <c r="F669">
        <v>0.07874481941977501</v>
      </c>
      <c r="G669">
        <v>-0.01250545169174588</v>
      </c>
      <c r="H669">
        <v>0.02</v>
      </c>
      <c r="I669">
        <v>0.08091417769171527</v>
      </c>
      <c r="J669" t="s">
        <v>782</v>
      </c>
      <c r="K669" t="s">
        <v>349</v>
      </c>
      <c r="L669">
        <v>1.22</v>
      </c>
      <c r="M669">
        <v>1.33</v>
      </c>
      <c r="N669">
        <v>1.090163934426229</v>
      </c>
      <c r="O669">
        <v>1</v>
      </c>
      <c r="P669">
        <v>0.03635631157614205</v>
      </c>
      <c r="Q669">
        <v>0.198190226079013</v>
      </c>
      <c r="R669" t="s">
        <v>784</v>
      </c>
      <c r="S669" t="s">
        <v>794</v>
      </c>
      <c r="T669">
        <v>102.52743</v>
      </c>
      <c r="U669" s="2">
        <v>44517</v>
      </c>
      <c r="V669" t="s">
        <v>799</v>
      </c>
    </row>
    <row r="670" spans="1:22">
      <c r="A670" s="1" t="s">
        <v>690</v>
      </c>
      <c r="B670">
        <f>HYPERLINK("https://www.suredividend.com/sure-analysis-NMFC/","New Mountain Finance Corp")</f>
        <v>0</v>
      </c>
      <c r="C670">
        <v>13.31</v>
      </c>
      <c r="D670">
        <v>14</v>
      </c>
      <c r="E670">
        <v>0.9507142857142857</v>
      </c>
      <c r="F670">
        <v>0.09015777610818933</v>
      </c>
      <c r="G670">
        <v>0.01015960128321902</v>
      </c>
      <c r="H670">
        <v>-0.005</v>
      </c>
      <c r="I670">
        <v>0.08007092058186527</v>
      </c>
      <c r="J670" t="s">
        <v>782</v>
      </c>
      <c r="K670" t="s">
        <v>349</v>
      </c>
      <c r="L670">
        <v>1.25</v>
      </c>
      <c r="M670">
        <v>1.2</v>
      </c>
      <c r="N670">
        <v>0.96</v>
      </c>
      <c r="O670">
        <v>0</v>
      </c>
      <c r="P670">
        <v>-0.005050763379468082</v>
      </c>
      <c r="Q670">
        <v>0.264012333639816</v>
      </c>
      <c r="R670" t="s">
        <v>787</v>
      </c>
      <c r="S670" t="s">
        <v>794</v>
      </c>
      <c r="T670">
        <v>1318.904107</v>
      </c>
      <c r="U670" s="2">
        <v>44509</v>
      </c>
      <c r="V670" t="s">
        <v>799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40.79</v>
      </c>
      <c r="D671">
        <v>42</v>
      </c>
      <c r="E671">
        <v>0.9711904761904762</v>
      </c>
      <c r="F671">
        <v>0.05197352292228487</v>
      </c>
      <c r="G671">
        <v>0.005863657321174776</v>
      </c>
      <c r="H671">
        <v>0.03</v>
      </c>
      <c r="I671">
        <v>0.08002498038012429</v>
      </c>
      <c r="J671" t="s">
        <v>782</v>
      </c>
      <c r="K671" t="s">
        <v>349</v>
      </c>
      <c r="L671">
        <v>2.8</v>
      </c>
      <c r="M671">
        <v>2.12</v>
      </c>
      <c r="N671">
        <v>0.7571428571428572</v>
      </c>
      <c r="O671">
        <v>0</v>
      </c>
      <c r="P671">
        <v>0.01994322923769842</v>
      </c>
      <c r="Q671">
        <v>0.126776107049248</v>
      </c>
      <c r="R671" t="s">
        <v>786</v>
      </c>
      <c r="S671" t="s">
        <v>798</v>
      </c>
      <c r="T671">
        <v>7823.341275</v>
      </c>
      <c r="U671" s="2">
        <v>44503</v>
      </c>
      <c r="V671" t="s">
        <v>799</v>
      </c>
    </row>
    <row r="672" spans="1:22">
      <c r="A672" s="1" t="s">
        <v>692</v>
      </c>
      <c r="B672">
        <f>HYPERLINK("https://www.suredividend.com/sure-analysis-STWD/","Starwood Property Trust Inc")</f>
        <v>0</v>
      </c>
      <c r="C672">
        <v>23.6</v>
      </c>
      <c r="D672">
        <v>25</v>
      </c>
      <c r="E672">
        <v>0.9440000000000001</v>
      </c>
      <c r="F672">
        <v>0.08135593220338982</v>
      </c>
      <c r="G672">
        <v>0.01159250078779328</v>
      </c>
      <c r="H672">
        <v>0</v>
      </c>
      <c r="I672">
        <v>0.07952528546100668</v>
      </c>
      <c r="J672" t="s">
        <v>782</v>
      </c>
      <c r="K672" t="s">
        <v>349</v>
      </c>
      <c r="L672">
        <v>2</v>
      </c>
      <c r="M672">
        <v>1.92</v>
      </c>
      <c r="N672">
        <v>0.96</v>
      </c>
      <c r="O672">
        <v>0</v>
      </c>
      <c r="P672">
        <v>0</v>
      </c>
      <c r="Q672">
        <v>0.3287342359634891</v>
      </c>
      <c r="R672" t="s">
        <v>786</v>
      </c>
      <c r="S672" t="s">
        <v>798</v>
      </c>
      <c r="T672">
        <v>6693.041541</v>
      </c>
      <c r="U672" s="2">
        <v>44509</v>
      </c>
      <c r="V672" t="s">
        <v>799</v>
      </c>
    </row>
    <row r="673" spans="1:22">
      <c r="A673" s="1" t="s">
        <v>693</v>
      </c>
      <c r="B673">
        <f>HYPERLINK("https://www.suredividend.com/sure-analysis-CSWC/","Capital Southwest Corp.")</f>
        <v>0</v>
      </c>
      <c r="C673">
        <v>25.29</v>
      </c>
      <c r="D673">
        <v>23</v>
      </c>
      <c r="E673">
        <v>1.099565217391304</v>
      </c>
      <c r="F673">
        <v>0.07433768287860815</v>
      </c>
      <c r="G673">
        <v>-0.0188039271006516</v>
      </c>
      <c r="H673">
        <v>0.03</v>
      </c>
      <c r="I673">
        <v>0.07875456727002961</v>
      </c>
      <c r="J673" t="s">
        <v>782</v>
      </c>
      <c r="K673" t="s">
        <v>349</v>
      </c>
      <c r="L673">
        <v>1.65</v>
      </c>
      <c r="M673">
        <v>1.88</v>
      </c>
      <c r="N673">
        <v>1.139393939393939</v>
      </c>
      <c r="O673">
        <v>5</v>
      </c>
      <c r="P673">
        <v>0.03005337366563188</v>
      </c>
      <c r="Q673">
        <v>0.608548063570436</v>
      </c>
      <c r="R673" t="s">
        <v>787</v>
      </c>
      <c r="S673" t="s">
        <v>794</v>
      </c>
      <c r="T673">
        <v>583.992796</v>
      </c>
      <c r="U673" s="2">
        <v>44504</v>
      </c>
      <c r="V673" t="s">
        <v>799</v>
      </c>
    </row>
    <row r="674" spans="1:22">
      <c r="A674" s="1" t="s">
        <v>694</v>
      </c>
      <c r="B674">
        <f>HYPERLINK("https://www.suredividend.com/sure-analysis-CRT/","Cross Timbers Royalty Trust")</f>
        <v>0</v>
      </c>
      <c r="C674">
        <v>10.58</v>
      </c>
      <c r="D674">
        <v>9.9</v>
      </c>
      <c r="E674">
        <v>1.068686868686869</v>
      </c>
      <c r="F674">
        <v>0.1039697542533081</v>
      </c>
      <c r="G674">
        <v>-0.01319826276764824</v>
      </c>
      <c r="H674">
        <v>0</v>
      </c>
      <c r="I674">
        <v>0.07797083414630079</v>
      </c>
      <c r="J674" t="s">
        <v>782</v>
      </c>
      <c r="K674" t="s">
        <v>349</v>
      </c>
      <c r="L674">
        <v>1.1</v>
      </c>
      <c r="M674">
        <v>1.1</v>
      </c>
      <c r="N674">
        <v>1</v>
      </c>
      <c r="O674">
        <v>0</v>
      </c>
      <c r="P674">
        <v>0</v>
      </c>
      <c r="Q674">
        <v>0.462454943180254</v>
      </c>
      <c r="R674" t="s">
        <v>784</v>
      </c>
      <c r="S674" t="s">
        <v>797</v>
      </c>
      <c r="T674">
        <v>63.78</v>
      </c>
      <c r="U674" s="2">
        <v>44519</v>
      </c>
      <c r="V674" t="s">
        <v>807</v>
      </c>
    </row>
    <row r="675" spans="1:22">
      <c r="A675" s="1" t="s">
        <v>695</v>
      </c>
      <c r="B675">
        <f>HYPERLINK("https://www.suredividend.com/sure-analysis-MRCC/","Monroe Capital Corp")</f>
        <v>0</v>
      </c>
      <c r="C675">
        <v>11.61</v>
      </c>
      <c r="D675">
        <v>11.6</v>
      </c>
      <c r="E675">
        <v>1.000862068965517</v>
      </c>
      <c r="F675">
        <v>0.08613264427217916</v>
      </c>
      <c r="G675">
        <v>-0.0001723246698942527</v>
      </c>
      <c r="H675">
        <v>0</v>
      </c>
      <c r="I675">
        <v>0.07793184832800337</v>
      </c>
      <c r="J675" t="s">
        <v>782</v>
      </c>
      <c r="K675" t="s">
        <v>349</v>
      </c>
      <c r="L675">
        <v>1.45</v>
      </c>
      <c r="M675">
        <v>1</v>
      </c>
      <c r="N675">
        <v>0.6896551724137931</v>
      </c>
      <c r="O675">
        <v>0</v>
      </c>
      <c r="P675">
        <v>0.01924487649145656</v>
      </c>
      <c r="Q675">
        <v>0.377234695720219</v>
      </c>
      <c r="R675" t="s">
        <v>787</v>
      </c>
      <c r="S675" t="s">
        <v>794</v>
      </c>
      <c r="T675">
        <v>246.458098</v>
      </c>
      <c r="U675" s="2">
        <v>44507</v>
      </c>
      <c r="V675" t="s">
        <v>799</v>
      </c>
    </row>
    <row r="676" spans="1:22">
      <c r="A676" s="1" t="s">
        <v>696</v>
      </c>
      <c r="B676">
        <f>HYPERLINK("https://www.suredividend.com/sure-analysis-TSLX/","Sixth Street Specialty Lending Inc")</f>
        <v>0</v>
      </c>
      <c r="C676">
        <v>22.59</v>
      </c>
      <c r="D676">
        <v>21.78</v>
      </c>
      <c r="E676">
        <v>1.037190082644628</v>
      </c>
      <c r="F676">
        <v>0.07259849490925188</v>
      </c>
      <c r="G676">
        <v>-0.007276440178367038</v>
      </c>
      <c r="H676">
        <v>0.02</v>
      </c>
      <c r="I676">
        <v>0.07710855803879002</v>
      </c>
      <c r="J676" t="s">
        <v>782</v>
      </c>
      <c r="K676" t="s">
        <v>349</v>
      </c>
      <c r="L676">
        <v>1.98</v>
      </c>
      <c r="M676">
        <v>1.64</v>
      </c>
      <c r="N676">
        <v>0.8282828282828283</v>
      </c>
      <c r="O676">
        <v>6</v>
      </c>
      <c r="P676">
        <v>0.01992196624507558</v>
      </c>
      <c r="Q676">
        <v>0.288519576907438</v>
      </c>
      <c r="R676" t="s">
        <v>787</v>
      </c>
      <c r="S676" t="s">
        <v>794</v>
      </c>
      <c r="T676">
        <v>1644.83253</v>
      </c>
      <c r="U676" s="2">
        <v>44504</v>
      </c>
      <c r="V676" t="s">
        <v>799</v>
      </c>
    </row>
    <row r="677" spans="1:22">
      <c r="A677" s="1" t="s">
        <v>697</v>
      </c>
      <c r="B677">
        <f>HYPERLINK("https://www.suredividend.com/sure-analysis-VTR/","Ventas Inc")</f>
        <v>0</v>
      </c>
      <c r="C677">
        <v>48.88</v>
      </c>
      <c r="D677">
        <v>41</v>
      </c>
      <c r="E677">
        <v>1.19219512195122</v>
      </c>
      <c r="F677">
        <v>0.03682487725040916</v>
      </c>
      <c r="G677">
        <v>-0.03454834380600114</v>
      </c>
      <c r="H677">
        <v>0.08</v>
      </c>
      <c r="I677">
        <v>0.07675949497718548</v>
      </c>
      <c r="J677" t="s">
        <v>782</v>
      </c>
      <c r="K677" t="s">
        <v>530</v>
      </c>
      <c r="L677">
        <v>2.9</v>
      </c>
      <c r="M677">
        <v>1.8</v>
      </c>
      <c r="N677">
        <v>0.6206896551724138</v>
      </c>
      <c r="O677">
        <v>0</v>
      </c>
      <c r="P677">
        <v>0.05206626739843068</v>
      </c>
      <c r="Q677">
        <v>0.031293222683264</v>
      </c>
      <c r="R677" t="s">
        <v>786</v>
      </c>
      <c r="S677" t="s">
        <v>798</v>
      </c>
      <c r="T677">
        <v>19048.673566</v>
      </c>
      <c r="U677" s="2">
        <v>44518</v>
      </c>
      <c r="V677" t="s">
        <v>807</v>
      </c>
    </row>
    <row r="678" spans="1:22">
      <c r="A678" s="1" t="s">
        <v>698</v>
      </c>
      <c r="B678">
        <f>HYPERLINK("https://www.suredividend.com/sure-analysis-GBDC/","Golub Capital BDC Inc")</f>
        <v>0</v>
      </c>
      <c r="C678">
        <v>14.94</v>
      </c>
      <c r="D678">
        <v>15.6</v>
      </c>
      <c r="E678">
        <v>0.9576923076923077</v>
      </c>
      <c r="F678">
        <v>0.08032128514056225</v>
      </c>
      <c r="G678">
        <v>0.008683229323261932</v>
      </c>
      <c r="H678">
        <v>0</v>
      </c>
      <c r="I678">
        <v>0.07651635127086265</v>
      </c>
      <c r="J678" t="s">
        <v>782</v>
      </c>
      <c r="K678" t="s">
        <v>349</v>
      </c>
      <c r="L678">
        <v>1.2</v>
      </c>
      <c r="M678">
        <v>1.2</v>
      </c>
      <c r="N678">
        <v>1</v>
      </c>
      <c r="O678">
        <v>0</v>
      </c>
      <c r="P678">
        <v>0</v>
      </c>
      <c r="Q678">
        <v>0.141972470032803</v>
      </c>
      <c r="R678" t="s">
        <v>787</v>
      </c>
      <c r="S678" t="s">
        <v>794</v>
      </c>
      <c r="T678">
        <v>2533.425902</v>
      </c>
      <c r="U678" s="2">
        <v>44532</v>
      </c>
      <c r="V678" t="s">
        <v>799</v>
      </c>
    </row>
    <row r="679" spans="1:22">
      <c r="A679" s="1" t="s">
        <v>699</v>
      </c>
      <c r="B679">
        <f>HYPERLINK("https://www.suredividend.com/sure-analysis-ARR/","ARMOUR Residential REIT Inc")</f>
        <v>0</v>
      </c>
      <c r="C679">
        <v>9.67</v>
      </c>
      <c r="D679">
        <v>6.7</v>
      </c>
      <c r="E679">
        <v>1.443283582089552</v>
      </c>
      <c r="F679">
        <v>0.1240951396070321</v>
      </c>
      <c r="G679">
        <v>-0.07075621369637775</v>
      </c>
      <c r="H679">
        <v>0.046</v>
      </c>
      <c r="I679">
        <v>0.0757562520074011</v>
      </c>
      <c r="J679" t="s">
        <v>782</v>
      </c>
      <c r="K679" t="s">
        <v>349</v>
      </c>
      <c r="L679">
        <v>0.96</v>
      </c>
      <c r="M679">
        <v>1.2</v>
      </c>
      <c r="N679">
        <v>1.25</v>
      </c>
      <c r="O679">
        <v>0</v>
      </c>
      <c r="P679">
        <v>-0.0263528193848318</v>
      </c>
      <c r="Q679">
        <v>-0.002277857371084</v>
      </c>
      <c r="R679" t="s">
        <v>786</v>
      </c>
      <c r="S679" t="s">
        <v>798</v>
      </c>
      <c r="T679">
        <v>868.189801</v>
      </c>
      <c r="U679" s="2">
        <v>44503</v>
      </c>
      <c r="V679" t="s">
        <v>808</v>
      </c>
    </row>
    <row r="680" spans="1:22">
      <c r="A680" s="1" t="s">
        <v>700</v>
      </c>
      <c r="B680">
        <f>HYPERLINK("https://www.suredividend.com/sure-analysis-VLO/","Valero Energy Corp.")</f>
        <v>0</v>
      </c>
      <c r="C680">
        <v>68.23999999999999</v>
      </c>
      <c r="D680">
        <v>64</v>
      </c>
      <c r="E680">
        <v>1.06625</v>
      </c>
      <c r="F680">
        <v>0.05744431418522861</v>
      </c>
      <c r="G680">
        <v>-0.01274761593583906</v>
      </c>
      <c r="H680">
        <v>0.04</v>
      </c>
      <c r="I680">
        <v>0.07389701208731503</v>
      </c>
      <c r="J680" t="s">
        <v>782</v>
      </c>
      <c r="K680" t="s">
        <v>530</v>
      </c>
      <c r="L680">
        <v>0.5</v>
      </c>
      <c r="M680">
        <v>3.92</v>
      </c>
      <c r="N680">
        <v>7.84</v>
      </c>
      <c r="O680">
        <v>10</v>
      </c>
      <c r="P680">
        <v>0</v>
      </c>
      <c r="Q680">
        <v>0.27738251789909</v>
      </c>
      <c r="R680" t="s">
        <v>784</v>
      </c>
      <c r="S680" t="s">
        <v>797</v>
      </c>
      <c r="T680">
        <v>27878.500587</v>
      </c>
      <c r="U680" s="2">
        <v>44491</v>
      </c>
      <c r="V680" t="s">
        <v>807</v>
      </c>
    </row>
    <row r="681" spans="1:22">
      <c r="A681" s="1" t="s">
        <v>701</v>
      </c>
      <c r="B681">
        <f>HYPERLINK("https://www.suredividend.com/sure-analysis-HRZN/","Horizon Technology Finance Corp")</f>
        <v>0</v>
      </c>
      <c r="C681">
        <v>16.39</v>
      </c>
      <c r="D681">
        <v>15.76</v>
      </c>
      <c r="E681">
        <v>1.03997461928934</v>
      </c>
      <c r="F681">
        <v>0.07321537522879805</v>
      </c>
      <c r="G681">
        <v>-0.007808614788723189</v>
      </c>
      <c r="H681">
        <v>0.02</v>
      </c>
      <c r="I681">
        <v>0.07381272034150244</v>
      </c>
      <c r="J681" t="s">
        <v>782</v>
      </c>
      <c r="K681" t="s">
        <v>349</v>
      </c>
      <c r="L681">
        <v>1.37</v>
      </c>
      <c r="M681">
        <v>1.2</v>
      </c>
      <c r="N681">
        <v>0.875912408759124</v>
      </c>
      <c r="O681">
        <v>0</v>
      </c>
      <c r="P681">
        <v>0</v>
      </c>
      <c r="Q681">
        <v>0.312708149324603</v>
      </c>
      <c r="R681" t="s">
        <v>787</v>
      </c>
      <c r="S681" t="s">
        <v>794</v>
      </c>
      <c r="T681">
        <v>330.921337</v>
      </c>
      <c r="U681" s="2">
        <v>44502</v>
      </c>
      <c r="V681" t="s">
        <v>799</v>
      </c>
    </row>
    <row r="682" spans="1:22">
      <c r="A682" s="1" t="s">
        <v>702</v>
      </c>
      <c r="B682">
        <f>HYPERLINK("https://www.suredividend.com/sure-analysis-NEM/","Newmont Corp")</f>
        <v>0</v>
      </c>
      <c r="C682">
        <v>54.23</v>
      </c>
      <c r="D682">
        <v>56</v>
      </c>
      <c r="E682">
        <v>0.9683928571428571</v>
      </c>
      <c r="F682">
        <v>0.04056795131845842</v>
      </c>
      <c r="G682">
        <v>0.006444160806935439</v>
      </c>
      <c r="H682">
        <v>0.03</v>
      </c>
      <c r="I682">
        <v>0.07352487371720073</v>
      </c>
      <c r="J682" t="s">
        <v>782</v>
      </c>
      <c r="K682" t="s">
        <v>530</v>
      </c>
      <c r="L682">
        <v>3.1</v>
      </c>
      <c r="M682">
        <v>2.2</v>
      </c>
      <c r="N682">
        <v>0.7096774193548387</v>
      </c>
      <c r="O682">
        <v>6</v>
      </c>
      <c r="P682">
        <v>0.04026125343417397</v>
      </c>
      <c r="Q682">
        <v>0.01210672077062</v>
      </c>
      <c r="R682" t="s">
        <v>784</v>
      </c>
      <c r="S682" t="s">
        <v>793</v>
      </c>
      <c r="T682">
        <v>44791.941026</v>
      </c>
      <c r="U682" s="2">
        <v>44502</v>
      </c>
      <c r="V682" t="s">
        <v>801</v>
      </c>
    </row>
    <row r="683" spans="1:22">
      <c r="A683" s="1" t="s">
        <v>703</v>
      </c>
      <c r="B683">
        <f>HYPERLINK("https://www.suredividend.com/sure-analysis-UMH/","UMH Properties Inc")</f>
        <v>0</v>
      </c>
      <c r="C683">
        <v>25.57</v>
      </c>
      <c r="D683">
        <v>25.7</v>
      </c>
      <c r="E683">
        <v>0.9949416342412452</v>
      </c>
      <c r="F683">
        <v>0.02972233085647243</v>
      </c>
      <c r="G683">
        <v>0.001014755035464443</v>
      </c>
      <c r="H683">
        <v>0.045</v>
      </c>
      <c r="I683">
        <v>0.07222342145702076</v>
      </c>
      <c r="J683" t="s">
        <v>782</v>
      </c>
      <c r="K683" t="s">
        <v>782</v>
      </c>
      <c r="L683">
        <v>0.89</v>
      </c>
      <c r="M683">
        <v>0.76</v>
      </c>
      <c r="N683">
        <v>0.8539325842696629</v>
      </c>
      <c r="O683">
        <v>1</v>
      </c>
      <c r="P683">
        <v>0.03439350143683439</v>
      </c>
      <c r="Q683">
        <v>0.6588310716956941</v>
      </c>
      <c r="R683" t="s">
        <v>786</v>
      </c>
      <c r="S683" t="s">
        <v>798</v>
      </c>
      <c r="T683">
        <v>1217.515038</v>
      </c>
      <c r="U683" s="2">
        <v>44509</v>
      </c>
      <c r="V683" t="s">
        <v>808</v>
      </c>
    </row>
    <row r="684" spans="1:22">
      <c r="A684" s="1" t="s">
        <v>704</v>
      </c>
      <c r="B684">
        <f>HYPERLINK("https://www.suredividend.com/sure-analysis-AM/","Antero Midstream Corp")</f>
        <v>0</v>
      </c>
      <c r="C684">
        <v>9.390000000000001</v>
      </c>
      <c r="D684">
        <v>8.800000000000001</v>
      </c>
      <c r="E684">
        <v>1.067045454545455</v>
      </c>
      <c r="F684">
        <v>0.09584664536741214</v>
      </c>
      <c r="G684">
        <v>-0.01289485402591695</v>
      </c>
      <c r="H684">
        <v>0</v>
      </c>
      <c r="I684">
        <v>0.07210472424205561</v>
      </c>
      <c r="J684" t="s">
        <v>782</v>
      </c>
      <c r="K684" t="s">
        <v>781</v>
      </c>
      <c r="L684">
        <v>1.25</v>
      </c>
      <c r="M684">
        <v>0.9</v>
      </c>
      <c r="N684">
        <v>0.72</v>
      </c>
      <c r="O684">
        <v>0</v>
      </c>
      <c r="P684">
        <v>0</v>
      </c>
      <c r="Q684">
        <v>0.304482574028681</v>
      </c>
      <c r="R684" t="s">
        <v>784</v>
      </c>
      <c r="S684" t="s">
        <v>797</v>
      </c>
      <c r="T684">
        <v>4421.685068</v>
      </c>
      <c r="U684" s="2">
        <v>44504</v>
      </c>
      <c r="V684" t="s">
        <v>808</v>
      </c>
    </row>
    <row r="685" spans="1:22">
      <c r="A685" s="1" t="s">
        <v>705</v>
      </c>
      <c r="B685">
        <f>HYPERLINK("https://www.suredividend.com/sure-analysis-FDUS/","Fidus Investment Corp")</f>
        <v>0</v>
      </c>
      <c r="C685">
        <v>17.29</v>
      </c>
      <c r="D685">
        <v>17.97</v>
      </c>
      <c r="E685">
        <v>0.9621591541457986</v>
      </c>
      <c r="F685">
        <v>0.07403123192596878</v>
      </c>
      <c r="G685">
        <v>0.007744918136067147</v>
      </c>
      <c r="H685">
        <v>0</v>
      </c>
      <c r="I685">
        <v>0.0710558242483148</v>
      </c>
      <c r="J685" t="s">
        <v>782</v>
      </c>
      <c r="K685" t="s">
        <v>349</v>
      </c>
      <c r="L685">
        <v>1.51</v>
      </c>
      <c r="M685">
        <v>1.28</v>
      </c>
      <c r="N685">
        <v>0.847682119205298</v>
      </c>
      <c r="O685">
        <v>0</v>
      </c>
      <c r="P685">
        <v>0</v>
      </c>
      <c r="Q685">
        <v>0.387685011039332</v>
      </c>
      <c r="R685" t="s">
        <v>787</v>
      </c>
      <c r="S685" t="s">
        <v>794</v>
      </c>
      <c r="T685">
        <v>414.702678</v>
      </c>
      <c r="U685" s="2">
        <v>44513</v>
      </c>
      <c r="V685" t="s">
        <v>799</v>
      </c>
    </row>
    <row r="686" spans="1:22">
      <c r="A686" s="1" t="s">
        <v>706</v>
      </c>
      <c r="B686">
        <f>HYPERLINK("https://www.suredividend.com/sure-analysis-LWSCF/","Sienna Senior Living, Inc.")</f>
        <v>0</v>
      </c>
      <c r="C686">
        <v>11.1</v>
      </c>
      <c r="D686">
        <v>11.88</v>
      </c>
      <c r="E686">
        <v>0.9343434343434343</v>
      </c>
      <c r="F686">
        <v>0.06756756756756757</v>
      </c>
      <c r="G686">
        <v>0.01367489878453143</v>
      </c>
      <c r="H686">
        <v>0</v>
      </c>
      <c r="I686">
        <v>0.07084644648502381</v>
      </c>
      <c r="J686" t="s">
        <v>782</v>
      </c>
      <c r="K686" t="s">
        <v>349</v>
      </c>
      <c r="L686">
        <v>0.88</v>
      </c>
      <c r="M686">
        <v>0.75</v>
      </c>
      <c r="N686">
        <v>0.8522727272727273</v>
      </c>
      <c r="O686">
        <v>0</v>
      </c>
      <c r="P686">
        <v>0</v>
      </c>
      <c r="Q686">
        <v>0.04139834406623701</v>
      </c>
      <c r="R686" t="s">
        <v>784</v>
      </c>
      <c r="S686" t="s">
        <v>789</v>
      </c>
      <c r="T686">
        <v>758.882872</v>
      </c>
      <c r="U686" s="2">
        <v>44516</v>
      </c>
      <c r="V686" t="s">
        <v>799</v>
      </c>
    </row>
    <row r="687" spans="1:22">
      <c r="A687" s="1" t="s">
        <v>707</v>
      </c>
      <c r="B687">
        <f>HYPERLINK("https://www.suredividend.com/sure-analysis-PFLT/","PennantPark Floating Rate Capital Ltd")</f>
        <v>0</v>
      </c>
      <c r="C687">
        <v>12.88</v>
      </c>
      <c r="D687">
        <v>11.9</v>
      </c>
      <c r="E687">
        <v>1.082352941176471</v>
      </c>
      <c r="F687">
        <v>0.08850931677018632</v>
      </c>
      <c r="G687">
        <v>-0.01570286801448806</v>
      </c>
      <c r="H687">
        <v>0.008</v>
      </c>
      <c r="I687">
        <v>0.07022274467695055</v>
      </c>
      <c r="J687" t="s">
        <v>782</v>
      </c>
      <c r="K687" t="s">
        <v>349</v>
      </c>
      <c r="L687">
        <v>1.12</v>
      </c>
      <c r="M687">
        <v>1.14</v>
      </c>
      <c r="N687">
        <v>1.017857142857143</v>
      </c>
      <c r="O687">
        <v>0</v>
      </c>
      <c r="P687">
        <v>0</v>
      </c>
      <c r="Q687">
        <v>0.292123426715387</v>
      </c>
      <c r="R687" t="s">
        <v>787</v>
      </c>
      <c r="S687" t="s">
        <v>794</v>
      </c>
      <c r="T687">
        <v>495.698995</v>
      </c>
      <c r="U687" s="2">
        <v>44521</v>
      </c>
      <c r="V687" t="s">
        <v>808</v>
      </c>
    </row>
    <row r="688" spans="1:22">
      <c r="A688" s="1" t="s">
        <v>708</v>
      </c>
      <c r="B688">
        <f>HYPERLINK("https://www.suredividend.com/sure-analysis-BRMK/","Broadmark Realty Capital Inc")</f>
        <v>0</v>
      </c>
      <c r="C688">
        <v>9.460000000000001</v>
      </c>
      <c r="D688">
        <v>7.8</v>
      </c>
      <c r="E688">
        <v>1.212820512820513</v>
      </c>
      <c r="F688">
        <v>0.08879492600422832</v>
      </c>
      <c r="G688">
        <v>-0.03785463231590458</v>
      </c>
      <c r="H688">
        <v>0.03</v>
      </c>
      <c r="I688">
        <v>0.06958352556628356</v>
      </c>
      <c r="J688" t="s">
        <v>782</v>
      </c>
      <c r="K688" t="s">
        <v>349</v>
      </c>
      <c r="L688">
        <v>0.78</v>
      </c>
      <c r="M688">
        <v>0.84</v>
      </c>
      <c r="N688">
        <v>1.076923076923077</v>
      </c>
      <c r="O688">
        <v>1</v>
      </c>
      <c r="P688">
        <v>0</v>
      </c>
      <c r="Q688">
        <v>-0.016717901208573</v>
      </c>
      <c r="R688" t="s">
        <v>786</v>
      </c>
      <c r="S688" t="s">
        <v>798</v>
      </c>
      <c r="T688">
        <v>1239.341814</v>
      </c>
      <c r="U688" s="2">
        <v>44509</v>
      </c>
      <c r="V688" t="s">
        <v>800</v>
      </c>
    </row>
    <row r="689" spans="1:22">
      <c r="A689" s="1" t="s">
        <v>709</v>
      </c>
      <c r="B689">
        <f>HYPERLINK("https://www.suredividend.com/sure-analysis-EXR/","Extra Space Storage Inc.")</f>
        <v>0</v>
      </c>
      <c r="C689">
        <v>214.41</v>
      </c>
      <c r="D689">
        <v>150</v>
      </c>
      <c r="E689">
        <v>1.4294</v>
      </c>
      <c r="F689">
        <v>0.02331980784478336</v>
      </c>
      <c r="G689">
        <v>-0.06895806072263388</v>
      </c>
      <c r="H689">
        <v>0.12</v>
      </c>
      <c r="I689">
        <v>0.06872088281449873</v>
      </c>
      <c r="J689" t="s">
        <v>782</v>
      </c>
      <c r="K689" t="s">
        <v>782</v>
      </c>
      <c r="L689">
        <v>6.8</v>
      </c>
      <c r="M689">
        <v>5</v>
      </c>
      <c r="N689">
        <v>0.7352941176470589</v>
      </c>
      <c r="O689">
        <v>12</v>
      </c>
      <c r="P689">
        <v>0.1101240567487265</v>
      </c>
      <c r="Q689">
        <v>0.9605882138514211</v>
      </c>
      <c r="R689" t="s">
        <v>786</v>
      </c>
      <c r="S689" t="s">
        <v>798</v>
      </c>
      <c r="T689">
        <v>28085.144807</v>
      </c>
      <c r="U689" s="2">
        <v>44500</v>
      </c>
      <c r="V689" t="s">
        <v>799</v>
      </c>
    </row>
    <row r="690" spans="1:22">
      <c r="A690" s="1" t="s">
        <v>710</v>
      </c>
      <c r="B690">
        <f>HYPERLINK("https://www.suredividend.com/sure-analysis-SUNS/","SLR Senior Investment Corp")</f>
        <v>0</v>
      </c>
      <c r="C690">
        <v>14.04</v>
      </c>
      <c r="D690">
        <v>12.1</v>
      </c>
      <c r="E690">
        <v>1.160330578512397</v>
      </c>
      <c r="F690">
        <v>0.08547008547008547</v>
      </c>
      <c r="G690">
        <v>-0.0293030780217608</v>
      </c>
      <c r="H690">
        <v>0.02</v>
      </c>
      <c r="I690">
        <v>0.06636248272324208</v>
      </c>
      <c r="J690" t="s">
        <v>782</v>
      </c>
      <c r="K690" t="s">
        <v>349</v>
      </c>
      <c r="L690">
        <v>1.1</v>
      </c>
      <c r="M690">
        <v>1.2</v>
      </c>
      <c r="N690">
        <v>1.090909090909091</v>
      </c>
      <c r="O690">
        <v>0</v>
      </c>
      <c r="P690">
        <v>0</v>
      </c>
      <c r="Q690">
        <v>0.05927310921239801</v>
      </c>
      <c r="R690" t="s">
        <v>787</v>
      </c>
      <c r="S690" t="s">
        <v>794</v>
      </c>
      <c r="T690">
        <v>228.217263</v>
      </c>
      <c r="U690" s="2">
        <v>44504</v>
      </c>
      <c r="V690" t="s">
        <v>799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17.24</v>
      </c>
      <c r="D691">
        <v>15</v>
      </c>
      <c r="E691">
        <v>1.149333333333333</v>
      </c>
      <c r="F691">
        <v>0.08352668213457078</v>
      </c>
      <c r="G691">
        <v>-0.02745254992280965</v>
      </c>
      <c r="H691">
        <v>0.02</v>
      </c>
      <c r="I691">
        <v>0.06626772995718699</v>
      </c>
      <c r="J691" t="s">
        <v>782</v>
      </c>
      <c r="K691" t="s">
        <v>349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0.499924201214563</v>
      </c>
      <c r="R691" t="s">
        <v>787</v>
      </c>
      <c r="S691" t="s">
        <v>794</v>
      </c>
      <c r="T691">
        <v>521.152142</v>
      </c>
      <c r="U691" s="2">
        <v>44506</v>
      </c>
      <c r="V691" t="s">
        <v>799</v>
      </c>
    </row>
    <row r="692" spans="1:22">
      <c r="A692" s="1" t="s">
        <v>712</v>
      </c>
      <c r="B692">
        <f>HYPERLINK("https://www.suredividend.com/sure-analysis-GLPI/","Gaming and Leisure Properties Inc")</f>
        <v>0</v>
      </c>
      <c r="C692">
        <v>45.5</v>
      </c>
      <c r="D692">
        <v>49</v>
      </c>
      <c r="E692">
        <v>0.9285714285714286</v>
      </c>
      <c r="F692">
        <v>0.0589010989010989</v>
      </c>
      <c r="G692">
        <v>0.01493197894539366</v>
      </c>
      <c r="H692">
        <v>-0.001</v>
      </c>
      <c r="I692">
        <v>0.06559537460230347</v>
      </c>
      <c r="J692" t="s">
        <v>782</v>
      </c>
      <c r="K692" t="s">
        <v>349</v>
      </c>
      <c r="L692">
        <v>3.47</v>
      </c>
      <c r="M692">
        <v>2.68</v>
      </c>
      <c r="N692">
        <v>0.7723342939481268</v>
      </c>
      <c r="O692">
        <v>0</v>
      </c>
      <c r="P692">
        <v>0.008799010229586735</v>
      </c>
      <c r="Q692">
        <v>0.147551688802266</v>
      </c>
      <c r="R692" t="s">
        <v>786</v>
      </c>
      <c r="S692" t="s">
        <v>798</v>
      </c>
      <c r="T692">
        <v>10890.262125</v>
      </c>
      <c r="U692" s="2">
        <v>44506</v>
      </c>
      <c r="V692" t="s">
        <v>808</v>
      </c>
    </row>
    <row r="693" spans="1:22">
      <c r="A693" s="1" t="s">
        <v>713</v>
      </c>
      <c r="B693">
        <f>HYPERLINK("https://www.suredividend.com/sure-analysis-VIA/","Via Renewables Inc")</f>
        <v>0</v>
      </c>
      <c r="C693">
        <v>11.23</v>
      </c>
      <c r="D693">
        <v>10.6</v>
      </c>
      <c r="E693">
        <v>1.059433962264151</v>
      </c>
      <c r="F693">
        <v>0.06500445235975066</v>
      </c>
      <c r="G693">
        <v>-0.01148054331623727</v>
      </c>
      <c r="H693">
        <v>0.02</v>
      </c>
      <c r="I693">
        <v>0.06454530752529997</v>
      </c>
      <c r="J693" t="s">
        <v>782</v>
      </c>
      <c r="K693" t="s">
        <v>349</v>
      </c>
      <c r="L693">
        <v>0.85</v>
      </c>
      <c r="M693">
        <v>0.73</v>
      </c>
      <c r="N693">
        <v>0.8588235294117647</v>
      </c>
      <c r="O693">
        <v>0</v>
      </c>
      <c r="P693">
        <v>0</v>
      </c>
      <c r="Q693">
        <v>0.186186837992707</v>
      </c>
      <c r="R693" t="s">
        <v>784</v>
      </c>
      <c r="S693" t="s">
        <v>796</v>
      </c>
      <c r="T693">
        <v>170.206201</v>
      </c>
      <c r="U693" s="2">
        <v>44519</v>
      </c>
      <c r="V693" t="s">
        <v>807</v>
      </c>
    </row>
    <row r="694" spans="1:22">
      <c r="A694" s="1" t="s">
        <v>714</v>
      </c>
      <c r="B694">
        <f>HYPERLINK("https://www.suredividend.com/sure-analysis-GWRS/","Global Water Resources Inc")</f>
        <v>0</v>
      </c>
      <c r="C694">
        <v>15.82</v>
      </c>
      <c r="D694">
        <v>15</v>
      </c>
      <c r="E694">
        <v>1.054666666666667</v>
      </c>
      <c r="F694">
        <v>0.01833122629582806</v>
      </c>
      <c r="G694">
        <v>-0.01058849524821792</v>
      </c>
      <c r="H694">
        <v>0.06</v>
      </c>
      <c r="I694">
        <v>0.06438442295141389</v>
      </c>
      <c r="J694" t="s">
        <v>782</v>
      </c>
      <c r="K694" t="s">
        <v>782</v>
      </c>
      <c r="L694">
        <v>0.4</v>
      </c>
      <c r="M694">
        <v>0.29</v>
      </c>
      <c r="N694">
        <v>0.7249999999999999</v>
      </c>
      <c r="O694">
        <v>6</v>
      </c>
      <c r="P694">
        <v>0.01988310171094443</v>
      </c>
      <c r="Q694">
        <v>0.195345557122708</v>
      </c>
      <c r="R694" t="s">
        <v>784</v>
      </c>
      <c r="S694" t="s">
        <v>796</v>
      </c>
      <c r="T694">
        <v>383.903703</v>
      </c>
      <c r="U694" s="2">
        <v>44513</v>
      </c>
      <c r="V694" t="s">
        <v>799</v>
      </c>
    </row>
    <row r="695" spans="1:22">
      <c r="A695" s="1" t="s">
        <v>715</v>
      </c>
      <c r="B695">
        <f>HYPERLINK("https://www.suredividend.com/sure-analysis-ARI/","Apollo Commercial Real Estate Finance Inc")</f>
        <v>0</v>
      </c>
      <c r="C695">
        <v>13.15</v>
      </c>
      <c r="D695">
        <v>11</v>
      </c>
      <c r="E695">
        <v>1.195454545454546</v>
      </c>
      <c r="F695">
        <v>0.1064638783269962</v>
      </c>
      <c r="G695">
        <v>-0.03507538239420538</v>
      </c>
      <c r="H695">
        <v>0.003</v>
      </c>
      <c r="I695">
        <v>0.06317772698819701</v>
      </c>
      <c r="J695" t="s">
        <v>782</v>
      </c>
      <c r="K695" t="s">
        <v>349</v>
      </c>
      <c r="L695">
        <v>1.38</v>
      </c>
      <c r="M695">
        <v>1.4</v>
      </c>
      <c r="N695">
        <v>1.014492753623188</v>
      </c>
      <c r="O695">
        <v>0</v>
      </c>
      <c r="P695">
        <v>-0.01471229526229867</v>
      </c>
      <c r="Q695">
        <v>0.23725017063862</v>
      </c>
      <c r="R695" t="s">
        <v>786</v>
      </c>
      <c r="S695" t="s">
        <v>798</v>
      </c>
      <c r="T695">
        <v>1800.436552</v>
      </c>
      <c r="U695" s="2">
        <v>44503</v>
      </c>
      <c r="V695" t="s">
        <v>808</v>
      </c>
    </row>
    <row r="696" spans="1:22">
      <c r="A696" s="1" t="s">
        <v>716</v>
      </c>
      <c r="B696">
        <f>HYPERLINK("https://www.suredividend.com/sure-analysis-GMRE/","Global Medical REIT Inc")</f>
        <v>0</v>
      </c>
      <c r="C696">
        <v>16.51</v>
      </c>
      <c r="D696">
        <v>14.25</v>
      </c>
      <c r="E696">
        <v>1.15859649122807</v>
      </c>
      <c r="F696">
        <v>0.04966686856450635</v>
      </c>
      <c r="G696">
        <v>-0.02901268074283347</v>
      </c>
      <c r="H696">
        <v>0.05</v>
      </c>
      <c r="I696">
        <v>0.06297835628254478</v>
      </c>
      <c r="J696" t="s">
        <v>782</v>
      </c>
      <c r="K696" t="s">
        <v>530</v>
      </c>
      <c r="L696">
        <v>0.95</v>
      </c>
      <c r="M696">
        <v>0.82</v>
      </c>
      <c r="N696">
        <v>0.8631578947368421</v>
      </c>
      <c r="O696">
        <v>1</v>
      </c>
      <c r="P696">
        <v>0.009571122817161548</v>
      </c>
      <c r="Q696">
        <v>0.205614336875041</v>
      </c>
      <c r="R696" t="s">
        <v>786</v>
      </c>
      <c r="S696" t="s">
        <v>798</v>
      </c>
      <c r="T696">
        <v>1044.020828</v>
      </c>
      <c r="U696" s="2">
        <v>44504</v>
      </c>
      <c r="V696" t="s">
        <v>799</v>
      </c>
    </row>
    <row r="697" spans="1:22">
      <c r="A697" s="1" t="s">
        <v>717</v>
      </c>
      <c r="B697">
        <f>HYPERLINK("https://www.suredividend.com/sure-analysis-MAIN/","Main Street Capital Corporation")</f>
        <v>0</v>
      </c>
      <c r="C697">
        <v>42.92</v>
      </c>
      <c r="D697">
        <v>40</v>
      </c>
      <c r="E697">
        <v>1.073</v>
      </c>
      <c r="F697">
        <v>0.05871388630009319</v>
      </c>
      <c r="G697">
        <v>-0.01399286956752532</v>
      </c>
      <c r="H697">
        <v>0.025</v>
      </c>
      <c r="I697">
        <v>0.06296231531747964</v>
      </c>
      <c r="J697" t="s">
        <v>782</v>
      </c>
      <c r="K697" t="s">
        <v>349</v>
      </c>
      <c r="L697">
        <v>2.55</v>
      </c>
      <c r="M697">
        <v>2.52</v>
      </c>
      <c r="N697">
        <v>0.9882352941176471</v>
      </c>
      <c r="O697">
        <v>6</v>
      </c>
      <c r="P697">
        <v>0.01011092110060052</v>
      </c>
      <c r="Q697">
        <v>0.431881747307832</v>
      </c>
      <c r="R697" t="s">
        <v>787</v>
      </c>
      <c r="S697" t="s">
        <v>794</v>
      </c>
      <c r="T697">
        <v>2949.631466</v>
      </c>
      <c r="U697" s="2">
        <v>44511</v>
      </c>
      <c r="V697" t="s">
        <v>805</v>
      </c>
    </row>
    <row r="698" spans="1:22">
      <c r="A698" s="1" t="s">
        <v>718</v>
      </c>
      <c r="B698">
        <f>HYPERLINK("https://www.suredividend.com/sure-analysis-DANOY/","Danone")</f>
        <v>0</v>
      </c>
      <c r="C698">
        <v>11.99</v>
      </c>
      <c r="D698">
        <v>12.6</v>
      </c>
      <c r="E698">
        <v>0.9515873015873016</v>
      </c>
      <c r="F698">
        <v>0.03669724770642202</v>
      </c>
      <c r="G698">
        <v>0.009974182841707036</v>
      </c>
      <c r="H698">
        <v>0.02</v>
      </c>
      <c r="I698">
        <v>0.06281175768326341</v>
      </c>
      <c r="J698" t="s">
        <v>782</v>
      </c>
      <c r="K698" t="s">
        <v>530</v>
      </c>
      <c r="L698">
        <v>0.7</v>
      </c>
      <c r="M698">
        <v>0.44</v>
      </c>
      <c r="N698">
        <v>0.6285714285714287</v>
      </c>
      <c r="O698">
        <v>0</v>
      </c>
      <c r="P698">
        <v>0.02175949146424117</v>
      </c>
      <c r="Q698">
        <v>-0.028579817950474</v>
      </c>
      <c r="R698" t="s">
        <v>784</v>
      </c>
      <c r="S698" t="s">
        <v>795</v>
      </c>
      <c r="T698">
        <v>40948.962</v>
      </c>
      <c r="U698" s="2">
        <v>44490</v>
      </c>
      <c r="V698" t="s">
        <v>810</v>
      </c>
    </row>
    <row r="699" spans="1:22">
      <c r="A699" s="1" t="s">
        <v>719</v>
      </c>
      <c r="B699">
        <f>HYPERLINK("https://www.suredividend.com/sure-analysis-BFS/","Saul Centers, Inc.")</f>
        <v>0</v>
      </c>
      <c r="C699">
        <v>51.82</v>
      </c>
      <c r="D699">
        <v>50</v>
      </c>
      <c r="E699">
        <v>1.0364</v>
      </c>
      <c r="F699">
        <v>0.04399845619451949</v>
      </c>
      <c r="G699">
        <v>-0.007125128986688933</v>
      </c>
      <c r="H699">
        <v>0.03</v>
      </c>
      <c r="I699">
        <v>0.062479205444125</v>
      </c>
      <c r="J699" t="s">
        <v>782</v>
      </c>
      <c r="K699" t="s">
        <v>530</v>
      </c>
      <c r="L699">
        <v>3.05</v>
      </c>
      <c r="M699">
        <v>2.28</v>
      </c>
      <c r="N699">
        <v>0.7475409836065574</v>
      </c>
      <c r="O699">
        <v>2</v>
      </c>
      <c r="P699">
        <v>0.02263597526826988</v>
      </c>
      <c r="Q699">
        <v>0.613292897696567</v>
      </c>
      <c r="R699" t="s">
        <v>786</v>
      </c>
      <c r="S699" t="s">
        <v>798</v>
      </c>
      <c r="T699">
        <v>1202.775</v>
      </c>
      <c r="U699" s="2">
        <v>44531</v>
      </c>
      <c r="V699" t="s">
        <v>799</v>
      </c>
    </row>
    <row r="700" spans="1:22">
      <c r="A700" s="1" t="s">
        <v>720</v>
      </c>
      <c r="B700">
        <f>HYPERLINK("https://www.suredividend.com/sure-analysis-DX/","Dynex Capital, Inc.")</f>
        <v>0</v>
      </c>
      <c r="C700">
        <v>16.74</v>
      </c>
      <c r="D700">
        <v>15.6</v>
      </c>
      <c r="E700">
        <v>1.073076923076923</v>
      </c>
      <c r="F700">
        <v>0.0931899641577061</v>
      </c>
      <c r="G700">
        <v>-0.01400700627583007</v>
      </c>
      <c r="H700">
        <v>-0.0016</v>
      </c>
      <c r="I700">
        <v>0.06247475917442613</v>
      </c>
      <c r="J700" t="s">
        <v>782</v>
      </c>
      <c r="K700" t="s">
        <v>349</v>
      </c>
      <c r="L700">
        <v>1.95</v>
      </c>
      <c r="M700">
        <v>1.56</v>
      </c>
      <c r="N700">
        <v>0.8</v>
      </c>
      <c r="O700">
        <v>0</v>
      </c>
      <c r="P700">
        <v>-0.02706716144586752</v>
      </c>
      <c r="Q700">
        <v>-0.003032169705813</v>
      </c>
      <c r="R700" t="s">
        <v>786</v>
      </c>
      <c r="S700" t="s">
        <v>798</v>
      </c>
      <c r="T700">
        <v>611.218969</v>
      </c>
      <c r="U700" s="2">
        <v>44503</v>
      </c>
      <c r="V700" t="s">
        <v>808</v>
      </c>
    </row>
    <row r="701" spans="1:22">
      <c r="A701" s="1" t="s">
        <v>721</v>
      </c>
      <c r="B701">
        <f>HYPERLINK("https://www.suredividend.com/sure-analysis-SJT/","San Juan Basin Royalty Trust")</f>
        <v>0</v>
      </c>
      <c r="C701">
        <v>5.77</v>
      </c>
      <c r="D701">
        <v>4.8</v>
      </c>
      <c r="E701">
        <v>1.202083333333333</v>
      </c>
      <c r="F701">
        <v>0.1039861351819757</v>
      </c>
      <c r="G701">
        <v>-0.0361419367660345</v>
      </c>
      <c r="H701">
        <v>0</v>
      </c>
      <c r="I701">
        <v>0.06214487498072807</v>
      </c>
      <c r="J701" t="s">
        <v>782</v>
      </c>
      <c r="K701" t="s">
        <v>349</v>
      </c>
      <c r="L701">
        <v>0.6</v>
      </c>
      <c r="M701">
        <v>0.6</v>
      </c>
      <c r="N701">
        <v>1</v>
      </c>
      <c r="O701">
        <v>1</v>
      </c>
      <c r="P701">
        <v>0</v>
      </c>
      <c r="Q701">
        <v>1.131873672080377</v>
      </c>
      <c r="R701" t="s">
        <v>784</v>
      </c>
      <c r="S701" t="s">
        <v>797</v>
      </c>
      <c r="T701">
        <v>275.924072</v>
      </c>
      <c r="U701" s="2">
        <v>44519</v>
      </c>
      <c r="V701" t="s">
        <v>807</v>
      </c>
    </row>
    <row r="702" spans="1:22">
      <c r="A702" s="1" t="s">
        <v>722</v>
      </c>
      <c r="B702">
        <f>HYPERLINK("https://www.suredividend.com/sure-analysis-BX/","Blackstone Inc")</f>
        <v>0</v>
      </c>
      <c r="C702">
        <v>127.87</v>
      </c>
      <c r="D702">
        <v>92</v>
      </c>
      <c r="E702">
        <v>1.389891304347826</v>
      </c>
      <c r="F702">
        <v>0.0340971298975522</v>
      </c>
      <c r="G702">
        <v>-0.06372412637758107</v>
      </c>
      <c r="H702">
        <v>0.1</v>
      </c>
      <c r="I702">
        <v>0.06108489309358478</v>
      </c>
      <c r="J702" t="s">
        <v>782</v>
      </c>
      <c r="K702" t="s">
        <v>530</v>
      </c>
      <c r="L702">
        <v>4.6</v>
      </c>
      <c r="M702">
        <v>4.36</v>
      </c>
      <c r="N702">
        <v>0.9478260869565219</v>
      </c>
      <c r="O702">
        <v>0</v>
      </c>
      <c r="P702">
        <v>0.02981918386499416</v>
      </c>
      <c r="Q702">
        <v>1.08279226649747</v>
      </c>
      <c r="R702" t="s">
        <v>784</v>
      </c>
      <c r="S702" t="s">
        <v>794</v>
      </c>
      <c r="T702">
        <v>87033.52742499999</v>
      </c>
      <c r="U702" s="2">
        <v>44494</v>
      </c>
      <c r="V702" t="s">
        <v>799</v>
      </c>
    </row>
    <row r="703" spans="1:22">
      <c r="A703" s="1" t="s">
        <v>723</v>
      </c>
      <c r="B703">
        <f>HYPERLINK("https://www.suredividend.com/sure-analysis-ARCC/","Ares Capital Corp")</f>
        <v>0</v>
      </c>
      <c r="C703">
        <v>19.93</v>
      </c>
      <c r="D703">
        <v>16.4</v>
      </c>
      <c r="E703">
        <v>1.215243902439024</v>
      </c>
      <c r="F703">
        <v>0.08228800802809834</v>
      </c>
      <c r="G703">
        <v>-0.03823867295073469</v>
      </c>
      <c r="H703">
        <v>0.019</v>
      </c>
      <c r="I703">
        <v>0.06063519570371168</v>
      </c>
      <c r="J703" t="s">
        <v>782</v>
      </c>
      <c r="K703" t="s">
        <v>349</v>
      </c>
      <c r="L703">
        <v>1.82</v>
      </c>
      <c r="M703">
        <v>1.64</v>
      </c>
      <c r="N703">
        <v>0.901098901098901</v>
      </c>
      <c r="O703">
        <v>4</v>
      </c>
      <c r="P703">
        <v>0.02104646949148603</v>
      </c>
      <c r="Q703">
        <v>0.325789057253608</v>
      </c>
      <c r="R703" t="s">
        <v>787</v>
      </c>
      <c r="S703" t="s">
        <v>794</v>
      </c>
      <c r="T703">
        <v>9187.433544</v>
      </c>
      <c r="U703" s="2">
        <v>44496</v>
      </c>
      <c r="V703" t="s">
        <v>808</v>
      </c>
    </row>
    <row r="704" spans="1:22">
      <c r="A704" s="1" t="s">
        <v>724</v>
      </c>
      <c r="B704">
        <f>HYPERLINK("https://www.suredividend.com/sure-analysis-GSK/","Glaxosmithkline plc")</f>
        <v>0</v>
      </c>
      <c r="C704">
        <v>43.66</v>
      </c>
      <c r="D704">
        <v>40</v>
      </c>
      <c r="E704">
        <v>1.0915</v>
      </c>
      <c r="F704">
        <v>0.05038937242327074</v>
      </c>
      <c r="G704">
        <v>-0.01735816015254299</v>
      </c>
      <c r="H704">
        <v>0.03</v>
      </c>
      <c r="I704">
        <v>0.05990336734419555</v>
      </c>
      <c r="J704" t="s">
        <v>782</v>
      </c>
      <c r="K704" t="s">
        <v>349</v>
      </c>
      <c r="L704">
        <v>2.9</v>
      </c>
      <c r="M704">
        <v>2.2</v>
      </c>
      <c r="N704">
        <v>0.7586206896551725</v>
      </c>
      <c r="O704">
        <v>3</v>
      </c>
      <c r="P704">
        <v>0.02996744995959233</v>
      </c>
      <c r="Q704">
        <v>0.232135471715454</v>
      </c>
      <c r="R704" t="s">
        <v>784</v>
      </c>
      <c r="S704" t="s">
        <v>789</v>
      </c>
      <c r="T704">
        <v>107916.584361</v>
      </c>
      <c r="U704" s="2">
        <v>44496</v>
      </c>
      <c r="V704" t="s">
        <v>800</v>
      </c>
    </row>
    <row r="705" spans="1:22">
      <c r="A705" s="1" t="s">
        <v>725</v>
      </c>
      <c r="B705">
        <f>HYPERLINK("https://www.suredividend.com/sure-analysis-STOR/","Store Capital Corp")</f>
        <v>0</v>
      </c>
      <c r="C705">
        <v>34.03</v>
      </c>
      <c r="D705">
        <v>30</v>
      </c>
      <c r="E705">
        <v>1.134333333333333</v>
      </c>
      <c r="F705">
        <v>0.04525418748163385</v>
      </c>
      <c r="G705">
        <v>-0.02489392728165452</v>
      </c>
      <c r="H705">
        <v>0.04</v>
      </c>
      <c r="I705">
        <v>0.05956885066954132</v>
      </c>
      <c r="J705" t="s">
        <v>782</v>
      </c>
      <c r="K705" t="s">
        <v>530</v>
      </c>
      <c r="L705">
        <v>1.99</v>
      </c>
      <c r="M705">
        <v>1.54</v>
      </c>
      <c r="N705">
        <v>0.7738693467336684</v>
      </c>
      <c r="O705">
        <v>8</v>
      </c>
      <c r="P705">
        <v>0.05048317528676538</v>
      </c>
      <c r="Q705">
        <v>0.08931337119256501</v>
      </c>
      <c r="R705" t="s">
        <v>786</v>
      </c>
      <c r="S705" t="s">
        <v>798</v>
      </c>
      <c r="T705">
        <v>9205.484537</v>
      </c>
      <c r="U705" s="2">
        <v>44530</v>
      </c>
      <c r="V705" t="s">
        <v>806</v>
      </c>
    </row>
    <row r="706" spans="1:22">
      <c r="A706" s="1" t="s">
        <v>726</v>
      </c>
      <c r="B706">
        <f>HYPERLINK("https://www.suredividend.com/sure-analysis-CIM/","Chimera Investment Corp")</f>
        <v>0</v>
      </c>
      <c r="C706">
        <v>15.21</v>
      </c>
      <c r="D706">
        <v>12</v>
      </c>
      <c r="E706">
        <v>1.2675</v>
      </c>
      <c r="F706">
        <v>0.08678500986193294</v>
      </c>
      <c r="G706">
        <v>-0.04630302217454063</v>
      </c>
      <c r="H706">
        <v>0.02</v>
      </c>
      <c r="I706">
        <v>0.05904960272393733</v>
      </c>
      <c r="J706" t="s">
        <v>782</v>
      </c>
      <c r="K706" t="s">
        <v>349</v>
      </c>
      <c r="L706">
        <v>1.5</v>
      </c>
      <c r="M706">
        <v>1.32</v>
      </c>
      <c r="N706">
        <v>0.88</v>
      </c>
      <c r="O706">
        <v>1</v>
      </c>
      <c r="P706">
        <v>0.02036554426441151</v>
      </c>
      <c r="Q706">
        <v>0.592912949346832</v>
      </c>
      <c r="R706" t="s">
        <v>784</v>
      </c>
      <c r="S706" t="s">
        <v>798</v>
      </c>
      <c r="T706">
        <v>3607.754118</v>
      </c>
      <c r="U706" s="2">
        <v>44515</v>
      </c>
      <c r="V706" t="s">
        <v>807</v>
      </c>
    </row>
    <row r="707" spans="1:22">
      <c r="A707" s="1" t="s">
        <v>727</v>
      </c>
      <c r="B707">
        <f>HYPERLINK("https://www.suredividend.com/sure-analysis-PBA/","Pembina Pipeline Corporation")</f>
        <v>0</v>
      </c>
      <c r="C707">
        <v>29.54</v>
      </c>
      <c r="D707">
        <v>24</v>
      </c>
      <c r="E707">
        <v>1.230833333333333</v>
      </c>
      <c r="F707">
        <v>0.06770480704129993</v>
      </c>
      <c r="G707">
        <v>-0.04068739681878575</v>
      </c>
      <c r="H707">
        <v>0.04</v>
      </c>
      <c r="I707">
        <v>0.0582161451051475</v>
      </c>
      <c r="J707" t="s">
        <v>782</v>
      </c>
      <c r="K707" t="s">
        <v>349</v>
      </c>
      <c r="L707">
        <v>2</v>
      </c>
      <c r="M707">
        <v>2</v>
      </c>
      <c r="N707">
        <v>1</v>
      </c>
      <c r="O707">
        <v>5</v>
      </c>
      <c r="P707">
        <v>0</v>
      </c>
      <c r="Q707">
        <v>0.187247659048494</v>
      </c>
      <c r="R707" t="s">
        <v>784</v>
      </c>
      <c r="S707" t="s">
        <v>797</v>
      </c>
      <c r="T707">
        <v>16067.445533</v>
      </c>
      <c r="U707" s="2">
        <v>44512</v>
      </c>
      <c r="V707" t="s">
        <v>807</v>
      </c>
    </row>
    <row r="708" spans="1:22">
      <c r="A708" s="1" t="s">
        <v>728</v>
      </c>
      <c r="B708">
        <f>HYPERLINK("https://www.suredividend.com/sure-analysis-XRX/","Xerox Holdings Corp")</f>
        <v>0</v>
      </c>
      <c r="C708">
        <v>20.7</v>
      </c>
      <c r="D708">
        <v>16</v>
      </c>
      <c r="E708">
        <v>1.29375</v>
      </c>
      <c r="F708">
        <v>0.04830917874396135</v>
      </c>
      <c r="G708">
        <v>-0.05020489405907647</v>
      </c>
      <c r="H708">
        <v>0.07000000000000001</v>
      </c>
      <c r="I708">
        <v>0.05799928026916312</v>
      </c>
      <c r="J708" t="s">
        <v>782</v>
      </c>
      <c r="K708" t="s">
        <v>349</v>
      </c>
      <c r="L708">
        <v>1.6</v>
      </c>
      <c r="M708">
        <v>1</v>
      </c>
      <c r="N708">
        <v>0.625</v>
      </c>
      <c r="O708">
        <v>0</v>
      </c>
      <c r="P708">
        <v>0</v>
      </c>
      <c r="Q708">
        <v>-0.05539015694490301</v>
      </c>
      <c r="R708" t="s">
        <v>784</v>
      </c>
      <c r="S708" t="s">
        <v>791</v>
      </c>
      <c r="T708">
        <v>3670.207871</v>
      </c>
      <c r="U708" s="2">
        <v>44512</v>
      </c>
      <c r="V708" t="s">
        <v>804</v>
      </c>
    </row>
    <row r="709" spans="1:22">
      <c r="A709" s="1" t="s">
        <v>729</v>
      </c>
      <c r="B709">
        <f>HYPERLINK("https://www.suredividend.com/sure-analysis-SCM/","Stellus Capital Investment Corp")</f>
        <v>0</v>
      </c>
      <c r="C709">
        <v>13.01</v>
      </c>
      <c r="D709">
        <v>11</v>
      </c>
      <c r="E709">
        <v>1.182727272727273</v>
      </c>
      <c r="F709">
        <v>0.08608762490392007</v>
      </c>
      <c r="G709">
        <v>-0.03300756231305557</v>
      </c>
      <c r="H709">
        <v>0.01</v>
      </c>
      <c r="I709">
        <v>0.05694799316535959</v>
      </c>
      <c r="J709" t="s">
        <v>782</v>
      </c>
      <c r="K709" t="s">
        <v>349</v>
      </c>
      <c r="L709">
        <v>1.08</v>
      </c>
      <c r="M709">
        <v>1.12</v>
      </c>
      <c r="N709">
        <v>1.037037037037037</v>
      </c>
      <c r="O709">
        <v>0</v>
      </c>
      <c r="P709">
        <v>0</v>
      </c>
      <c r="Q709">
        <v>0.226308875961718</v>
      </c>
      <c r="R709" t="s">
        <v>787</v>
      </c>
      <c r="S709" t="s">
        <v>794</v>
      </c>
      <c r="T709">
        <v>254.682059</v>
      </c>
      <c r="U709" s="2">
        <v>44522</v>
      </c>
      <c r="V709" t="s">
        <v>804</v>
      </c>
    </row>
    <row r="710" spans="1:22">
      <c r="A710" s="1" t="s">
        <v>730</v>
      </c>
      <c r="B710">
        <f>HYPERLINK("https://www.suredividend.com/sure-analysis-NSA/","National Storage Affiliates Trust")</f>
        <v>0</v>
      </c>
      <c r="C710">
        <v>64.7</v>
      </c>
      <c r="D710">
        <v>49</v>
      </c>
      <c r="E710">
        <v>1.320408163265306</v>
      </c>
      <c r="F710">
        <v>0.02782071097372488</v>
      </c>
      <c r="G710">
        <v>-0.05407139263447991</v>
      </c>
      <c r="H710">
        <v>0.08</v>
      </c>
      <c r="I710">
        <v>0.0512303893948185</v>
      </c>
      <c r="J710" t="s">
        <v>782</v>
      </c>
      <c r="K710" t="s">
        <v>530</v>
      </c>
      <c r="L710">
        <v>2.21</v>
      </c>
      <c r="M710">
        <v>1.8</v>
      </c>
      <c r="N710">
        <v>0.8144796380090498</v>
      </c>
      <c r="O710">
        <v>6</v>
      </c>
      <c r="P710">
        <v>0.06961037572506878</v>
      </c>
      <c r="Q710">
        <v>0.934129959482294</v>
      </c>
      <c r="R710" t="s">
        <v>786</v>
      </c>
      <c r="S710" t="s">
        <v>798</v>
      </c>
      <c r="T710">
        <v>5688.80963</v>
      </c>
      <c r="U710" s="2">
        <v>44505</v>
      </c>
      <c r="V710" t="s">
        <v>799</v>
      </c>
    </row>
    <row r="711" spans="1:22">
      <c r="A711" s="1" t="s">
        <v>731</v>
      </c>
      <c r="B711">
        <f>HYPERLINK("https://www.suredividend.com/sure-analysis-BGS/","B&amp;G Foods, Inc")</f>
        <v>0</v>
      </c>
      <c r="C711">
        <v>29.98</v>
      </c>
      <c r="D711">
        <v>25</v>
      </c>
      <c r="E711">
        <v>1.1992</v>
      </c>
      <c r="F711">
        <v>0.06337558372248166</v>
      </c>
      <c r="G711">
        <v>-0.03567888554808507</v>
      </c>
      <c r="H711">
        <v>0.03</v>
      </c>
      <c r="I711">
        <v>0.05119882547785304</v>
      </c>
      <c r="J711" t="s">
        <v>782</v>
      </c>
      <c r="K711" t="s">
        <v>349</v>
      </c>
      <c r="L711">
        <v>1.9</v>
      </c>
      <c r="M711">
        <v>1.9</v>
      </c>
      <c r="N711">
        <v>1</v>
      </c>
      <c r="O711">
        <v>0</v>
      </c>
      <c r="P711">
        <v>0</v>
      </c>
      <c r="Q711">
        <v>0.08700416392724</v>
      </c>
      <c r="R711" t="s">
        <v>784</v>
      </c>
      <c r="S711" t="s">
        <v>795</v>
      </c>
      <c r="T711">
        <v>1931.332012</v>
      </c>
      <c r="U711" s="2">
        <v>44511</v>
      </c>
      <c r="V711" t="s">
        <v>803</v>
      </c>
    </row>
    <row r="712" spans="1:22">
      <c r="A712" s="1" t="s">
        <v>732</v>
      </c>
      <c r="B712">
        <f>HYPERLINK("https://www.suredividend.com/sure-analysis-UBP/","Urstadt Biddle Properties, Inc.")</f>
        <v>0</v>
      </c>
      <c r="C712">
        <v>17.99</v>
      </c>
      <c r="D712">
        <v>16.38</v>
      </c>
      <c r="E712">
        <v>1.098290598290598</v>
      </c>
      <c r="F712">
        <v>0.04613674263479711</v>
      </c>
      <c r="G712">
        <v>-0.01857628769709962</v>
      </c>
      <c r="H712">
        <v>0.02</v>
      </c>
      <c r="I712">
        <v>0.0494695184557048</v>
      </c>
      <c r="J712" t="s">
        <v>782</v>
      </c>
      <c r="K712" t="s">
        <v>349</v>
      </c>
      <c r="L712">
        <v>1.26</v>
      </c>
      <c r="M712">
        <v>0.83</v>
      </c>
      <c r="N712">
        <v>0.6587301587301587</v>
      </c>
      <c r="O712">
        <v>1</v>
      </c>
      <c r="P712">
        <v>0.05013601855760697</v>
      </c>
      <c r="Q712">
        <v>0.5127124057748811</v>
      </c>
      <c r="R712" t="s">
        <v>786</v>
      </c>
      <c r="S712" t="s">
        <v>798</v>
      </c>
      <c r="T712">
        <v>776.3912309999999</v>
      </c>
      <c r="U712" s="2">
        <v>44539</v>
      </c>
      <c r="V712" t="s">
        <v>799</v>
      </c>
    </row>
    <row r="713" spans="1:22">
      <c r="A713" s="1" t="s">
        <v>733</v>
      </c>
      <c r="B713">
        <f>HYPERLINK("https://www.suredividend.com/sure-analysis-HTGC/","Hercules Capital Inc")</f>
        <v>0</v>
      </c>
      <c r="C713">
        <v>16.32</v>
      </c>
      <c r="D713">
        <v>13.7</v>
      </c>
      <c r="E713">
        <v>1.191240875912409</v>
      </c>
      <c r="F713">
        <v>0.08088235294117647</v>
      </c>
      <c r="G713">
        <v>-0.03439371792265622</v>
      </c>
      <c r="H713">
        <v>0.001</v>
      </c>
      <c r="I713">
        <v>0.04924111347413707</v>
      </c>
      <c r="J713" t="s">
        <v>782</v>
      </c>
      <c r="K713" t="s">
        <v>349</v>
      </c>
      <c r="L713">
        <v>1.28</v>
      </c>
      <c r="M713">
        <v>1.32</v>
      </c>
      <c r="N713">
        <v>1.03125</v>
      </c>
      <c r="O713">
        <v>0</v>
      </c>
      <c r="P713">
        <v>0.01896393794917839</v>
      </c>
      <c r="Q713">
        <v>0.246267687913799</v>
      </c>
      <c r="R713" t="s">
        <v>787</v>
      </c>
      <c r="S713" t="s">
        <v>794</v>
      </c>
      <c r="T713">
        <v>1891.478567</v>
      </c>
      <c r="U713" s="2">
        <v>44506</v>
      </c>
      <c r="V713" t="s">
        <v>808</v>
      </c>
    </row>
    <row r="714" spans="1:22">
      <c r="A714" s="1" t="s">
        <v>734</v>
      </c>
      <c r="B714">
        <f>HYPERLINK("https://www.suredividend.com/sure-analysis-HTA/","Healthcare Trust of America Inc")</f>
        <v>0</v>
      </c>
      <c r="C714">
        <v>33.57</v>
      </c>
      <c r="D714">
        <v>31</v>
      </c>
      <c r="E714">
        <v>1.082903225806452</v>
      </c>
      <c r="F714">
        <v>0.03842716711349419</v>
      </c>
      <c r="G714">
        <v>-0.01580292380888992</v>
      </c>
      <c r="H714">
        <v>0.03</v>
      </c>
      <c r="I714">
        <v>0.0492133119081497</v>
      </c>
      <c r="J714" t="s">
        <v>782</v>
      </c>
      <c r="K714" t="s">
        <v>530</v>
      </c>
      <c r="L714">
        <v>1.76</v>
      </c>
      <c r="M714">
        <v>1.29</v>
      </c>
      <c r="N714">
        <v>0.7329545454545455</v>
      </c>
      <c r="O714">
        <v>8</v>
      </c>
      <c r="P714">
        <v>0.01504434962783696</v>
      </c>
      <c r="Q714">
        <v>0.337494248734721</v>
      </c>
      <c r="R714" t="s">
        <v>786</v>
      </c>
      <c r="S714" t="s">
        <v>798</v>
      </c>
      <c r="T714">
        <v>7382.61775</v>
      </c>
      <c r="U714" s="2">
        <v>44526</v>
      </c>
      <c r="V714" t="s">
        <v>802</v>
      </c>
    </row>
    <row r="715" spans="1:22">
      <c r="A715" s="1" t="s">
        <v>735</v>
      </c>
      <c r="B715">
        <f>HYPERLINK("https://www.suredividend.com/sure-analysis-OXSQ/","Oxford Square Capital Corp")</f>
        <v>0</v>
      </c>
      <c r="C715">
        <v>4.065</v>
      </c>
      <c r="D715">
        <v>3.4</v>
      </c>
      <c r="E715">
        <v>1.195588235294118</v>
      </c>
      <c r="F715">
        <v>0.1033210332103321</v>
      </c>
      <c r="G715">
        <v>-0.03509696279853003</v>
      </c>
      <c r="H715">
        <v>0</v>
      </c>
      <c r="I715">
        <v>0.04872489484919473</v>
      </c>
      <c r="J715" t="s">
        <v>782</v>
      </c>
      <c r="K715" t="s">
        <v>349</v>
      </c>
      <c r="L715">
        <v>0.34</v>
      </c>
      <c r="M715">
        <v>0.42</v>
      </c>
      <c r="N715">
        <v>1.235294117647059</v>
      </c>
      <c r="O715">
        <v>0</v>
      </c>
      <c r="P715">
        <v>-0.05892880441130122</v>
      </c>
      <c r="Q715">
        <v>0.457498492854356</v>
      </c>
      <c r="R715" t="s">
        <v>787</v>
      </c>
      <c r="S715" t="s">
        <v>794</v>
      </c>
      <c r="T715">
        <v>204.08318</v>
      </c>
      <c r="U715" s="2">
        <v>44502</v>
      </c>
      <c r="V715" t="s">
        <v>799</v>
      </c>
    </row>
    <row r="716" spans="1:22">
      <c r="A716" s="1" t="s">
        <v>736</v>
      </c>
      <c r="B716">
        <f>HYPERLINK("https://www.suredividend.com/sure-analysis-PRT/","PermRock Royalty Trust")</f>
        <v>0</v>
      </c>
      <c r="C716">
        <v>6.72</v>
      </c>
      <c r="D716">
        <v>4.13</v>
      </c>
      <c r="E716">
        <v>1.627118644067796</v>
      </c>
      <c r="F716">
        <v>0.08184523809523811</v>
      </c>
      <c r="G716">
        <v>-0.09277260532501419</v>
      </c>
      <c r="H716">
        <v>0.05</v>
      </c>
      <c r="I716">
        <v>0.04704458905412823</v>
      </c>
      <c r="J716" t="s">
        <v>782</v>
      </c>
      <c r="K716" t="s">
        <v>349</v>
      </c>
      <c r="L716">
        <v>0.55</v>
      </c>
      <c r="M716">
        <v>0.55</v>
      </c>
      <c r="N716">
        <v>1</v>
      </c>
      <c r="O716">
        <v>0</v>
      </c>
      <c r="P716">
        <v>0.04941452284458392</v>
      </c>
      <c r="Q716">
        <v>1.411163052265298</v>
      </c>
      <c r="R716" t="s">
        <v>784</v>
      </c>
      <c r="S716" t="s">
        <v>797</v>
      </c>
      <c r="T716">
        <v>83.45692200000001</v>
      </c>
      <c r="U716" s="2">
        <v>44516</v>
      </c>
      <c r="V716" t="s">
        <v>805</v>
      </c>
    </row>
    <row r="717" spans="1:22">
      <c r="A717" s="1" t="s">
        <v>737</v>
      </c>
      <c r="B717">
        <f>HYPERLINK("https://www.suredividend.com/sure-analysis-GOOD/","Gladstone Commercial Corp")</f>
        <v>0</v>
      </c>
      <c r="C717">
        <v>23.77</v>
      </c>
      <c r="D717">
        <v>19</v>
      </c>
      <c r="E717">
        <v>1.251052631578947</v>
      </c>
      <c r="F717">
        <v>0.06310475389145982</v>
      </c>
      <c r="G717">
        <v>-0.04380848877220433</v>
      </c>
      <c r="H717">
        <v>0.03</v>
      </c>
      <c r="I717">
        <v>0.04432505345688154</v>
      </c>
      <c r="J717" t="s">
        <v>782</v>
      </c>
      <c r="K717" t="s">
        <v>349</v>
      </c>
      <c r="L717">
        <v>1.56</v>
      </c>
      <c r="M717">
        <v>1.5</v>
      </c>
      <c r="N717">
        <v>0.9615384615384615</v>
      </c>
      <c r="O717">
        <v>0</v>
      </c>
      <c r="P717">
        <v>0</v>
      </c>
      <c r="Q717">
        <v>0.355823760360622</v>
      </c>
      <c r="R717" t="s">
        <v>786</v>
      </c>
      <c r="S717" t="s">
        <v>798</v>
      </c>
      <c r="T717">
        <v>868.726777</v>
      </c>
      <c r="U717" s="2">
        <v>44526</v>
      </c>
      <c r="V717" t="s">
        <v>804</v>
      </c>
    </row>
    <row r="718" spans="1:22">
      <c r="A718" s="1" t="s">
        <v>738</v>
      </c>
      <c r="B718">
        <f>HYPERLINK("https://www.suredividend.com/sure-analysis-MNR/","Monmouth Real Estate Investment Corp.")</f>
        <v>0</v>
      </c>
      <c r="C718">
        <v>20.95</v>
      </c>
      <c r="D718">
        <v>19.11</v>
      </c>
      <c r="E718">
        <v>1.096284667713239</v>
      </c>
      <c r="F718">
        <v>0.03436754176610979</v>
      </c>
      <c r="G718">
        <v>-0.01821739760203944</v>
      </c>
      <c r="H718">
        <v>0.03</v>
      </c>
      <c r="I718">
        <v>0.04382552626545522</v>
      </c>
      <c r="J718" t="s">
        <v>782</v>
      </c>
      <c r="K718" t="s">
        <v>530</v>
      </c>
      <c r="L718">
        <v>0.91</v>
      </c>
      <c r="M718">
        <v>0.72</v>
      </c>
      <c r="N718">
        <v>0.7912087912087912</v>
      </c>
      <c r="O718">
        <v>1</v>
      </c>
      <c r="P718">
        <v>0.01872958559274807</v>
      </c>
      <c r="Q718">
        <v>0.344821825565107</v>
      </c>
      <c r="R718" t="s">
        <v>786</v>
      </c>
      <c r="S718" t="s">
        <v>798</v>
      </c>
      <c r="T718">
        <v>2058.243977</v>
      </c>
      <c r="U718" s="2">
        <v>44520</v>
      </c>
      <c r="V718" t="s">
        <v>799</v>
      </c>
    </row>
    <row r="719" spans="1:22">
      <c r="A719" s="1" t="s">
        <v>739</v>
      </c>
      <c r="B719">
        <f>HYPERLINK("https://www.suredividend.com/sure-analysis-APTS/","Preferred Apartment Communities Inc")</f>
        <v>0</v>
      </c>
      <c r="C719">
        <v>14.42</v>
      </c>
      <c r="D719">
        <v>12.3</v>
      </c>
      <c r="E719">
        <v>1.172357723577236</v>
      </c>
      <c r="F719">
        <v>0.04854368932038835</v>
      </c>
      <c r="G719">
        <v>-0.0313029655212228</v>
      </c>
      <c r="H719">
        <v>0.02</v>
      </c>
      <c r="I719">
        <v>0.04137136670383579</v>
      </c>
      <c r="J719" t="s">
        <v>782</v>
      </c>
      <c r="K719" t="s">
        <v>349</v>
      </c>
      <c r="L719">
        <v>1.04</v>
      </c>
      <c r="M719">
        <v>0.7</v>
      </c>
      <c r="N719">
        <v>0.673076923076923</v>
      </c>
      <c r="O719">
        <v>0</v>
      </c>
      <c r="P719">
        <v>0.05154749679728043</v>
      </c>
      <c r="Q719">
        <v>0.9520963089913471</v>
      </c>
      <c r="R719" t="s">
        <v>786</v>
      </c>
      <c r="S719" t="s">
        <v>798</v>
      </c>
      <c r="T719">
        <v>741.775604</v>
      </c>
      <c r="U719" s="2">
        <v>44515</v>
      </c>
      <c r="V719" t="s">
        <v>807</v>
      </c>
    </row>
    <row r="720" spans="1:22">
      <c r="A720" s="1" t="s">
        <v>740</v>
      </c>
      <c r="B720">
        <f>HYPERLINK("https://www.suredividend.com/sure-analysis-SBR/","Sabine Royalty Trust")</f>
        <v>0</v>
      </c>
      <c r="C720">
        <v>40.72</v>
      </c>
      <c r="D720">
        <v>32</v>
      </c>
      <c r="E720">
        <v>1.2725</v>
      </c>
      <c r="F720">
        <v>0.07735756385068762</v>
      </c>
      <c r="G720">
        <v>-0.04705367007690131</v>
      </c>
      <c r="H720">
        <v>0.01</v>
      </c>
      <c r="I720">
        <v>0.0413277013373905</v>
      </c>
      <c r="J720" t="s">
        <v>782</v>
      </c>
      <c r="K720" t="s">
        <v>349</v>
      </c>
      <c r="L720">
        <v>3.15</v>
      </c>
      <c r="M720">
        <v>3.15</v>
      </c>
      <c r="N720">
        <v>1</v>
      </c>
      <c r="O720">
        <v>0</v>
      </c>
      <c r="P720">
        <v>0.009958405478199817</v>
      </c>
      <c r="Q720">
        <v>0.427219209751257</v>
      </c>
      <c r="R720" t="s">
        <v>784</v>
      </c>
      <c r="S720" t="s">
        <v>797</v>
      </c>
      <c r="T720">
        <v>591.3382329999999</v>
      </c>
      <c r="U720" s="2">
        <v>44519</v>
      </c>
      <c r="V720" t="s">
        <v>807</v>
      </c>
    </row>
    <row r="721" spans="1:22">
      <c r="A721" s="1" t="s">
        <v>741</v>
      </c>
      <c r="B721">
        <f>HYPERLINK("https://www.suredividend.com/sure-analysis-BXMT/","Blackstone Mortgage Trust Inc")</f>
        <v>0</v>
      </c>
      <c r="C721">
        <v>30.65</v>
      </c>
      <c r="D721">
        <v>24.3</v>
      </c>
      <c r="E721">
        <v>1.261316872427984</v>
      </c>
      <c r="F721">
        <v>0.08091353996737358</v>
      </c>
      <c r="G721">
        <v>-0.04536982270476797</v>
      </c>
      <c r="H721">
        <v>0.004</v>
      </c>
      <c r="I721">
        <v>0.03943877762788173</v>
      </c>
      <c r="J721" t="s">
        <v>782</v>
      </c>
      <c r="K721" t="s">
        <v>349</v>
      </c>
      <c r="L721">
        <v>2.43</v>
      </c>
      <c r="M721">
        <v>2.48</v>
      </c>
      <c r="N721">
        <v>1.020576131687243</v>
      </c>
      <c r="O721">
        <v>0</v>
      </c>
      <c r="P721">
        <v>0</v>
      </c>
      <c r="Q721">
        <v>0.155304564513826</v>
      </c>
      <c r="R721" t="s">
        <v>786</v>
      </c>
      <c r="S721" t="s">
        <v>798</v>
      </c>
      <c r="T721">
        <v>5012.966667</v>
      </c>
      <c r="U721" s="2">
        <v>44503</v>
      </c>
      <c r="V721" t="s">
        <v>808</v>
      </c>
    </row>
    <row r="722" spans="1:22">
      <c r="A722" s="1" t="s">
        <v>742</v>
      </c>
      <c r="B722">
        <f>HYPERLINK("https://www.suredividend.com/sure-analysis-BCE/","BCE Inc")</f>
        <v>0</v>
      </c>
      <c r="C722">
        <v>50.55</v>
      </c>
      <c r="D722">
        <v>40</v>
      </c>
      <c r="E722">
        <v>1.26375</v>
      </c>
      <c r="F722">
        <v>0.05558852621167162</v>
      </c>
      <c r="G722">
        <v>-0.04573770051014414</v>
      </c>
      <c r="H722">
        <v>0.03</v>
      </c>
      <c r="I722">
        <v>0.03703562111742786</v>
      </c>
      <c r="J722" t="s">
        <v>782</v>
      </c>
      <c r="K722" t="s">
        <v>530</v>
      </c>
      <c r="L722">
        <v>2.56</v>
      </c>
      <c r="M722">
        <v>2.81</v>
      </c>
      <c r="N722">
        <v>1.09765625</v>
      </c>
      <c r="O722">
        <v>12</v>
      </c>
      <c r="P722">
        <v>0.00493329096672368</v>
      </c>
      <c r="Q722">
        <v>0.198500083594067</v>
      </c>
      <c r="R722" t="s">
        <v>784</v>
      </c>
      <c r="S722" t="s">
        <v>788</v>
      </c>
      <c r="T722">
        <v>45606.07905</v>
      </c>
      <c r="U722" s="2">
        <v>44517</v>
      </c>
      <c r="V722" t="s">
        <v>809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11.4</v>
      </c>
      <c r="D723">
        <v>8.5</v>
      </c>
      <c r="E723">
        <v>1.341176470588235</v>
      </c>
      <c r="F723">
        <v>0.07017543859649122</v>
      </c>
      <c r="G723">
        <v>-0.05701927663929585</v>
      </c>
      <c r="H723">
        <v>0.02</v>
      </c>
      <c r="I723">
        <v>0.03445335473582256</v>
      </c>
      <c r="J723" t="s">
        <v>782</v>
      </c>
      <c r="K723" t="s">
        <v>530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0.269676017607984</v>
      </c>
      <c r="R723" t="s">
        <v>786</v>
      </c>
      <c r="S723" t="s">
        <v>798</v>
      </c>
      <c r="T723">
        <v>1407.673183</v>
      </c>
      <c r="U723" s="2">
        <v>44513</v>
      </c>
      <c r="V723" t="s">
        <v>805</v>
      </c>
    </row>
    <row r="724" spans="1:22">
      <c r="A724" s="1" t="s">
        <v>744</v>
      </c>
      <c r="B724">
        <f>HYPERLINK("https://www.suredividend.com/sure-analysis-PSEC/","Prospect Capital Corp")</f>
        <v>0</v>
      </c>
      <c r="C724">
        <v>8.380000000000001</v>
      </c>
      <c r="D724">
        <v>6.3</v>
      </c>
      <c r="E724">
        <v>1.33015873015873</v>
      </c>
      <c r="F724">
        <v>0.08591885441527446</v>
      </c>
      <c r="G724">
        <v>-0.0554622798636214</v>
      </c>
      <c r="H724">
        <v>0</v>
      </c>
      <c r="I724">
        <v>0.03389928549139443</v>
      </c>
      <c r="J724" t="s">
        <v>782</v>
      </c>
      <c r="K724" t="s">
        <v>349</v>
      </c>
      <c r="L724">
        <v>0.74</v>
      </c>
      <c r="M724">
        <v>0.72</v>
      </c>
      <c r="N724">
        <v>0.9729729729729729</v>
      </c>
      <c r="O724">
        <v>0</v>
      </c>
      <c r="P724">
        <v>0</v>
      </c>
      <c r="Q724">
        <v>0.6574696097248881</v>
      </c>
      <c r="R724" t="s">
        <v>787</v>
      </c>
      <c r="S724" t="s">
        <v>794</v>
      </c>
      <c r="T724">
        <v>3231.993285</v>
      </c>
      <c r="U724" s="2">
        <v>44541</v>
      </c>
      <c r="V724" t="s">
        <v>804</v>
      </c>
    </row>
    <row r="725" spans="1:22">
      <c r="A725" s="1" t="s">
        <v>745</v>
      </c>
      <c r="B725">
        <f>HYPERLINK("https://www.suredividend.com/sure-analysis-BKR/","Baker Hughes Co")</f>
        <v>0</v>
      </c>
      <c r="C725">
        <v>23.83</v>
      </c>
      <c r="D725">
        <v>13</v>
      </c>
      <c r="E725">
        <v>1.833076923076923</v>
      </c>
      <c r="F725">
        <v>0.0302140159462862</v>
      </c>
      <c r="G725">
        <v>-0.1141425090383594</v>
      </c>
      <c r="H725">
        <v>0.13</v>
      </c>
      <c r="I725">
        <v>0.02944876562374343</v>
      </c>
      <c r="J725" t="s">
        <v>782</v>
      </c>
      <c r="K725" t="s">
        <v>782</v>
      </c>
      <c r="L725">
        <v>0.75</v>
      </c>
      <c r="M725">
        <v>0.72</v>
      </c>
      <c r="N725">
        <v>0.96</v>
      </c>
      <c r="O725">
        <v>0</v>
      </c>
      <c r="P725">
        <v>0</v>
      </c>
      <c r="Q725">
        <v>0.145662847790507</v>
      </c>
      <c r="R725" t="s">
        <v>784</v>
      </c>
      <c r="S725" t="s">
        <v>797</v>
      </c>
      <c r="T725">
        <v>24928.5792</v>
      </c>
      <c r="U725" s="2">
        <v>44491</v>
      </c>
      <c r="V725" t="s">
        <v>807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24.45</v>
      </c>
      <c r="D726">
        <v>18.7</v>
      </c>
      <c r="E726">
        <v>1.307486631016043</v>
      </c>
      <c r="F726">
        <v>0.0196319018404908</v>
      </c>
      <c r="G726">
        <v>-0.05220906942013592</v>
      </c>
      <c r="H726">
        <v>0.059</v>
      </c>
      <c r="I726">
        <v>0.02896339201031206</v>
      </c>
      <c r="J726" t="s">
        <v>782</v>
      </c>
      <c r="K726" t="s">
        <v>782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0.8872482175556161</v>
      </c>
      <c r="R726" t="s">
        <v>786</v>
      </c>
      <c r="S726" t="s">
        <v>798</v>
      </c>
      <c r="T726">
        <v>2545.811259</v>
      </c>
      <c r="U726" s="2">
        <v>44503</v>
      </c>
      <c r="V726" t="s">
        <v>808</v>
      </c>
    </row>
    <row r="727" spans="1:22">
      <c r="A727" s="1" t="s">
        <v>747</v>
      </c>
      <c r="B727">
        <f>HYPERLINK("https://www.suredividend.com/sure-analysis-ACC/","American Campus Communities Inc.")</f>
        <v>0</v>
      </c>
      <c r="C727">
        <v>55.32</v>
      </c>
      <c r="D727">
        <v>40</v>
      </c>
      <c r="E727">
        <v>1.383</v>
      </c>
      <c r="F727">
        <v>0.03398409255242227</v>
      </c>
      <c r="G727">
        <v>-0.06279291304302459</v>
      </c>
      <c r="H727">
        <v>0.06</v>
      </c>
      <c r="I727">
        <v>0.02850360291618226</v>
      </c>
      <c r="J727" t="s">
        <v>782</v>
      </c>
      <c r="K727" t="s">
        <v>530</v>
      </c>
      <c r="L727">
        <v>2.1</v>
      </c>
      <c r="M727">
        <v>1.88</v>
      </c>
      <c r="N727">
        <v>0.8952380952380952</v>
      </c>
      <c r="O727">
        <v>8</v>
      </c>
      <c r="P727">
        <v>0.02528440313403202</v>
      </c>
      <c r="Q727">
        <v>0.330716169016277</v>
      </c>
      <c r="R727" t="s">
        <v>786</v>
      </c>
      <c r="S727" t="s">
        <v>798</v>
      </c>
      <c r="T727">
        <v>7613.26147</v>
      </c>
      <c r="U727" s="2">
        <v>44498</v>
      </c>
      <c r="V727" t="s">
        <v>799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29.03</v>
      </c>
      <c r="D728">
        <v>22</v>
      </c>
      <c r="E728">
        <v>1.319545454545455</v>
      </c>
      <c r="F728">
        <v>0.033069238718567</v>
      </c>
      <c r="G728">
        <v>-0.05394773679146792</v>
      </c>
      <c r="H728">
        <v>0.045</v>
      </c>
      <c r="I728">
        <v>0.02236034783917296</v>
      </c>
      <c r="J728" t="s">
        <v>782</v>
      </c>
      <c r="K728" t="s">
        <v>530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0.6592736742695241</v>
      </c>
      <c r="R728" t="s">
        <v>784</v>
      </c>
      <c r="S728" t="s">
        <v>788</v>
      </c>
      <c r="T728">
        <v>13816.874472</v>
      </c>
      <c r="U728" s="2">
        <v>44514</v>
      </c>
      <c r="V728" t="s">
        <v>805</v>
      </c>
    </row>
    <row r="729" spans="1:22">
      <c r="A729" s="1" t="s">
        <v>749</v>
      </c>
      <c r="B729">
        <f>HYPERLINK("https://www.suredividend.com/sure-analysis-EVA/","Enviva Partners LP")</f>
        <v>0</v>
      </c>
      <c r="C729">
        <v>71.09</v>
      </c>
      <c r="D729">
        <v>45</v>
      </c>
      <c r="E729">
        <v>1.579777777777778</v>
      </c>
      <c r="F729">
        <v>0.04726403150935433</v>
      </c>
      <c r="G729">
        <v>-0.0873992950576411</v>
      </c>
      <c r="H729">
        <v>0.055</v>
      </c>
      <c r="I729">
        <v>0.02106619727523085</v>
      </c>
      <c r="J729" t="s">
        <v>782</v>
      </c>
      <c r="K729" t="s">
        <v>530</v>
      </c>
      <c r="L729">
        <v>3.78</v>
      </c>
      <c r="M729">
        <v>3.36</v>
      </c>
      <c r="N729">
        <v>0.888888888888889</v>
      </c>
      <c r="O729">
        <v>5</v>
      </c>
      <c r="P729">
        <v>0.06016789231717445</v>
      </c>
      <c r="Q729">
        <v>0.629098622802263</v>
      </c>
      <c r="R729" t="s">
        <v>784</v>
      </c>
      <c r="S729" t="s">
        <v>793</v>
      </c>
      <c r="T729">
        <v>4274.046087</v>
      </c>
      <c r="U729" s="2">
        <v>44512</v>
      </c>
      <c r="V729" t="s">
        <v>805</v>
      </c>
    </row>
    <row r="730" spans="1:22">
      <c r="A730" s="1" t="s">
        <v>750</v>
      </c>
      <c r="B730">
        <f>HYPERLINK("https://www.suredividend.com/sure-analysis-OLP/","One Liberty Properties, Inc.")</f>
        <v>0</v>
      </c>
      <c r="C730">
        <v>34.94</v>
      </c>
      <c r="D730">
        <v>25</v>
      </c>
      <c r="E730">
        <v>1.3976</v>
      </c>
      <c r="F730">
        <v>0.05151688609044076</v>
      </c>
      <c r="G730">
        <v>-0.06475924977658465</v>
      </c>
      <c r="H730">
        <v>0.03</v>
      </c>
      <c r="I730">
        <v>0.01826759839308645</v>
      </c>
      <c r="J730" t="s">
        <v>782</v>
      </c>
      <c r="K730" t="s">
        <v>530</v>
      </c>
      <c r="L730">
        <v>1.9</v>
      </c>
      <c r="M730">
        <v>1.8</v>
      </c>
      <c r="N730">
        <v>0.9473684210526316</v>
      </c>
      <c r="O730">
        <v>0</v>
      </c>
      <c r="P730">
        <v>0.009805797673485328</v>
      </c>
      <c r="Q730">
        <v>0.7251169592112601</v>
      </c>
      <c r="R730" t="s">
        <v>786</v>
      </c>
      <c r="S730" t="s">
        <v>798</v>
      </c>
      <c r="T730">
        <v>717.880912</v>
      </c>
      <c r="U730" s="2">
        <v>44513</v>
      </c>
      <c r="V730" t="s">
        <v>805</v>
      </c>
    </row>
    <row r="731" spans="1:22">
      <c r="A731" s="1" t="s">
        <v>751</v>
      </c>
      <c r="B731">
        <f>HYPERLINK("https://www.suredividend.com/sure-analysis-PLYM/","Plymouth Industrial Reit Inc")</f>
        <v>0</v>
      </c>
      <c r="C731">
        <v>29.89</v>
      </c>
      <c r="D731">
        <v>20</v>
      </c>
      <c r="E731">
        <v>1.4945</v>
      </c>
      <c r="F731">
        <v>0.02810304449648712</v>
      </c>
      <c r="G731">
        <v>-0.07721438437047923</v>
      </c>
      <c r="H731">
        <v>0.07000000000000001</v>
      </c>
      <c r="I731">
        <v>0.01607118643477357</v>
      </c>
      <c r="J731" t="s">
        <v>782</v>
      </c>
      <c r="K731" t="s">
        <v>530</v>
      </c>
      <c r="L731">
        <v>1.39</v>
      </c>
      <c r="M731">
        <v>0.84</v>
      </c>
      <c r="N731">
        <v>0.6043165467625899</v>
      </c>
      <c r="O731">
        <v>0</v>
      </c>
      <c r="P731">
        <v>0.009347419909568888</v>
      </c>
      <c r="Q731">
        <v>1.240839966550004</v>
      </c>
      <c r="R731" t="s">
        <v>786</v>
      </c>
      <c r="S731" t="s">
        <v>798</v>
      </c>
      <c r="T731">
        <v>1001.481983</v>
      </c>
      <c r="U731" s="2">
        <v>44513</v>
      </c>
      <c r="V731" t="s">
        <v>805</v>
      </c>
    </row>
    <row r="732" spans="1:22">
      <c r="A732" s="1" t="s">
        <v>752</v>
      </c>
      <c r="B732">
        <f>HYPERLINK("https://www.suredividend.com/sure-analysis-IRM/","Iron Mountain Inc.")</f>
        <v>0</v>
      </c>
      <c r="C732">
        <v>49.53</v>
      </c>
      <c r="D732">
        <v>37</v>
      </c>
      <c r="E732">
        <v>1.338648648648649</v>
      </c>
      <c r="F732">
        <v>0.04986876640419948</v>
      </c>
      <c r="G732">
        <v>-0.05666341195184033</v>
      </c>
      <c r="H732">
        <v>0.02</v>
      </c>
      <c r="I732">
        <v>0.01587522047219125</v>
      </c>
      <c r="J732" t="s">
        <v>782</v>
      </c>
      <c r="K732" t="s">
        <v>349</v>
      </c>
      <c r="L732">
        <v>3.39</v>
      </c>
      <c r="M732">
        <v>2.47</v>
      </c>
      <c r="N732">
        <v>0.728613569321534</v>
      </c>
      <c r="O732">
        <v>10</v>
      </c>
      <c r="P732">
        <v>0.01031145931793609</v>
      </c>
      <c r="Q732">
        <v>0.7452952909548171</v>
      </c>
      <c r="R732" t="s">
        <v>786</v>
      </c>
      <c r="S732" t="s">
        <v>798</v>
      </c>
      <c r="T732">
        <v>13985.240753</v>
      </c>
      <c r="U732" s="2">
        <v>44511</v>
      </c>
      <c r="V732" t="s">
        <v>801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17.61</v>
      </c>
      <c r="D733">
        <v>11.5</v>
      </c>
      <c r="E733">
        <v>1.531304347826087</v>
      </c>
      <c r="F733">
        <v>0.0817717206132879</v>
      </c>
      <c r="G733">
        <v>-0.08169341858011681</v>
      </c>
      <c r="H733">
        <v>0.008</v>
      </c>
      <c r="I733">
        <v>0.01581191128809567</v>
      </c>
      <c r="J733" t="s">
        <v>782</v>
      </c>
      <c r="K733" t="s">
        <v>349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0.3254418139379791</v>
      </c>
      <c r="R733" t="s">
        <v>786</v>
      </c>
      <c r="S733" t="s">
        <v>798</v>
      </c>
      <c r="T733">
        <v>2501.186466</v>
      </c>
      <c r="U733" s="2">
        <v>44506</v>
      </c>
      <c r="V733" t="s">
        <v>808</v>
      </c>
    </row>
    <row r="734" spans="1:22">
      <c r="A734" s="1" t="s">
        <v>754</v>
      </c>
      <c r="B734">
        <f>HYPERLINK("https://www.suredividend.com/sure-analysis-PEAK/","Healthpeak Properties Inc")</f>
        <v>0</v>
      </c>
      <c r="C734">
        <v>34.44</v>
      </c>
      <c r="D734">
        <v>24</v>
      </c>
      <c r="E734">
        <v>1.435</v>
      </c>
      <c r="F734">
        <v>0.03484320557491289</v>
      </c>
      <c r="G734">
        <v>-0.0696858645745656</v>
      </c>
      <c r="H734">
        <v>0.05</v>
      </c>
      <c r="I734">
        <v>0.0156380956527169</v>
      </c>
      <c r="J734" t="s">
        <v>782</v>
      </c>
      <c r="K734" t="s">
        <v>530</v>
      </c>
      <c r="L734">
        <v>1.6</v>
      </c>
      <c r="M734">
        <v>1.2</v>
      </c>
      <c r="N734">
        <v>0.7499999999999999</v>
      </c>
      <c r="O734">
        <v>0</v>
      </c>
      <c r="P734">
        <v>0.03131030647754507</v>
      </c>
      <c r="Q734">
        <v>0.220562585683421</v>
      </c>
      <c r="R734" t="s">
        <v>786</v>
      </c>
      <c r="S734" t="s">
        <v>798</v>
      </c>
      <c r="T734">
        <v>18333.846304</v>
      </c>
      <c r="U734" s="2">
        <v>44515</v>
      </c>
      <c r="V734" t="s">
        <v>807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12.6625</v>
      </c>
      <c r="D735">
        <v>9</v>
      </c>
      <c r="E735">
        <v>1.406944444444444</v>
      </c>
      <c r="F735">
        <v>0.04580454096742349</v>
      </c>
      <c r="G735">
        <v>-0.0660048733138765</v>
      </c>
      <c r="H735">
        <v>0.035</v>
      </c>
      <c r="I735">
        <v>0.0146723909941151</v>
      </c>
      <c r="J735" t="s">
        <v>782</v>
      </c>
      <c r="K735" t="s">
        <v>530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0.261241461241461</v>
      </c>
      <c r="R735" t="s">
        <v>786</v>
      </c>
      <c r="S735" t="s">
        <v>794</v>
      </c>
      <c r="T735">
        <v>2926.68243</v>
      </c>
      <c r="U735" s="2">
        <v>44513</v>
      </c>
      <c r="V735" t="s">
        <v>805</v>
      </c>
    </row>
    <row r="736" spans="1:22">
      <c r="A736" s="1" t="s">
        <v>756</v>
      </c>
      <c r="B736">
        <f>HYPERLINK("https://www.suredividend.com/sure-analysis-EQR/","Equity Residential Properties Trust")</f>
        <v>0</v>
      </c>
      <c r="C736">
        <v>89.23</v>
      </c>
      <c r="D736">
        <v>65</v>
      </c>
      <c r="E736">
        <v>1.372769230769231</v>
      </c>
      <c r="F736">
        <v>0.02712092345623669</v>
      </c>
      <c r="G736">
        <v>-0.0614001235023548</v>
      </c>
      <c r="H736">
        <v>0.048</v>
      </c>
      <c r="I736">
        <v>0.01465209588742056</v>
      </c>
      <c r="J736" t="s">
        <v>782</v>
      </c>
      <c r="K736" t="s">
        <v>782</v>
      </c>
      <c r="L736">
        <v>2.95</v>
      </c>
      <c r="M736">
        <v>2.42</v>
      </c>
      <c r="N736">
        <v>0.8203389830508474</v>
      </c>
      <c r="O736">
        <v>1</v>
      </c>
      <c r="P736">
        <v>0.04390548076893097</v>
      </c>
      <c r="Q736">
        <v>0.5551677262504661</v>
      </c>
      <c r="R736" t="s">
        <v>786</v>
      </c>
      <c r="S736" t="s">
        <v>798</v>
      </c>
      <c r="T736">
        <v>32648.912287</v>
      </c>
      <c r="U736" s="2">
        <v>44496</v>
      </c>
      <c r="V736" t="s">
        <v>808</v>
      </c>
    </row>
    <row r="737" spans="1:22">
      <c r="A737" s="1" t="s">
        <v>757</v>
      </c>
      <c r="B737">
        <f>HYPERLINK("https://www.suredividend.com/sure-analysis-LSI/","Life Storage Inc")</f>
        <v>0</v>
      </c>
      <c r="C737">
        <v>145.19</v>
      </c>
      <c r="D737">
        <v>88</v>
      </c>
      <c r="E737">
        <v>1.649886363636364</v>
      </c>
      <c r="F737">
        <v>0.02369309181073077</v>
      </c>
      <c r="G737">
        <v>-0.09529041108186631</v>
      </c>
      <c r="H737">
        <v>0.09</v>
      </c>
      <c r="I737">
        <v>0.01439370465520406</v>
      </c>
      <c r="J737" t="s">
        <v>782</v>
      </c>
      <c r="K737" t="s">
        <v>782</v>
      </c>
      <c r="L737">
        <v>4.85</v>
      </c>
      <c r="M737">
        <v>3.44</v>
      </c>
      <c r="N737">
        <v>0.709278350515464</v>
      </c>
      <c r="O737">
        <v>3</v>
      </c>
      <c r="P737">
        <v>0.05983895403096029</v>
      </c>
      <c r="Q737">
        <v>0.9322442750596901</v>
      </c>
      <c r="R737" t="s">
        <v>786</v>
      </c>
      <c r="S737" t="s">
        <v>798</v>
      </c>
      <c r="T737">
        <v>11588.900788</v>
      </c>
      <c r="U737" s="2">
        <v>44518</v>
      </c>
      <c r="V737" t="s">
        <v>807</v>
      </c>
    </row>
    <row r="738" spans="1:22">
      <c r="A738" s="1" t="s">
        <v>758</v>
      </c>
      <c r="B738">
        <f>HYPERLINK("https://www.suredividend.com/sure-analysis-GAIN/","Gladstone Investment Corporation")</f>
        <v>0</v>
      </c>
      <c r="C738">
        <v>16.46</v>
      </c>
      <c r="D738">
        <v>11</v>
      </c>
      <c r="E738">
        <v>1.496363636363636</v>
      </c>
      <c r="F738">
        <v>0.05467800729040097</v>
      </c>
      <c r="G738">
        <v>-0.07744435443418618</v>
      </c>
      <c r="H738">
        <v>0.03</v>
      </c>
      <c r="I738">
        <v>0.01254383733561126</v>
      </c>
      <c r="J738" t="s">
        <v>782</v>
      </c>
      <c r="K738" t="s">
        <v>530</v>
      </c>
      <c r="L738">
        <v>0.8</v>
      </c>
      <c r="M738">
        <v>0.9</v>
      </c>
      <c r="N738">
        <v>1.125</v>
      </c>
      <c r="O738">
        <v>1</v>
      </c>
      <c r="P738">
        <v>0.01924487649145656</v>
      </c>
      <c r="Q738">
        <v>0.7164970313825271</v>
      </c>
      <c r="R738" t="s">
        <v>787</v>
      </c>
      <c r="S738" t="s">
        <v>794</v>
      </c>
      <c r="T738">
        <v>537.589322</v>
      </c>
      <c r="U738" s="2">
        <v>44512</v>
      </c>
      <c r="V738" t="s">
        <v>801</v>
      </c>
    </row>
    <row r="739" spans="1:22">
      <c r="A739" s="1" t="s">
        <v>759</v>
      </c>
      <c r="B739">
        <f>HYPERLINK("https://www.suredividend.com/sure-analysis-EGP/","Eastgroup Properties, Inc.")</f>
        <v>0</v>
      </c>
      <c r="C739">
        <v>219.51</v>
      </c>
      <c r="D739">
        <v>145</v>
      </c>
      <c r="E739">
        <v>1.513862068965517</v>
      </c>
      <c r="F739">
        <v>0.02004464489089336</v>
      </c>
      <c r="G739">
        <v>-0.07958701178294947</v>
      </c>
      <c r="H739">
        <v>0.075</v>
      </c>
      <c r="I739">
        <v>0.01119949954737454</v>
      </c>
      <c r="J739" t="s">
        <v>782</v>
      </c>
      <c r="K739" t="s">
        <v>782</v>
      </c>
      <c r="L739">
        <v>6.05</v>
      </c>
      <c r="M739">
        <v>4.4</v>
      </c>
      <c r="N739">
        <v>0.7272727272727274</v>
      </c>
      <c r="O739">
        <v>11</v>
      </c>
      <c r="P739">
        <v>0.02793993925053573</v>
      </c>
      <c r="Q739">
        <v>0.656660968870991</v>
      </c>
      <c r="R739" t="s">
        <v>786</v>
      </c>
      <c r="S739" t="s">
        <v>798</v>
      </c>
      <c r="T739">
        <v>8777.225057</v>
      </c>
      <c r="U739" s="2">
        <v>44500</v>
      </c>
      <c r="V739" t="s">
        <v>799</v>
      </c>
    </row>
    <row r="740" spans="1:22">
      <c r="A740" s="1" t="s">
        <v>760</v>
      </c>
      <c r="B740">
        <f>HYPERLINK("https://www.suredividend.com/sure-analysis-GLAD/","Gladstone Capital Corp.")</f>
        <v>0</v>
      </c>
      <c r="C740">
        <v>11.33</v>
      </c>
      <c r="D740">
        <v>8</v>
      </c>
      <c r="E740">
        <v>1.41625</v>
      </c>
      <c r="F740">
        <v>0.06884377758164166</v>
      </c>
      <c r="G740">
        <v>-0.06723548610227204</v>
      </c>
      <c r="H740">
        <v>0</v>
      </c>
      <c r="I740">
        <v>0.009865208499199474</v>
      </c>
      <c r="J740" t="s">
        <v>782</v>
      </c>
      <c r="K740" t="s">
        <v>349</v>
      </c>
      <c r="L740">
        <v>0.8</v>
      </c>
      <c r="M740">
        <v>0.78</v>
      </c>
      <c r="N740">
        <v>0.975</v>
      </c>
      <c r="O740">
        <v>0</v>
      </c>
      <c r="P740">
        <v>0</v>
      </c>
      <c r="Q740">
        <v>0.392895613307415</v>
      </c>
      <c r="R740" t="s">
        <v>784</v>
      </c>
      <c r="S740" t="s">
        <v>794</v>
      </c>
      <c r="T740">
        <v>385.924174</v>
      </c>
      <c r="U740" s="2">
        <v>44520</v>
      </c>
      <c r="V740" t="s">
        <v>804</v>
      </c>
    </row>
    <row r="741" spans="1:22">
      <c r="A741" s="1" t="s">
        <v>761</v>
      </c>
      <c r="B741">
        <f>HYPERLINK("https://www.suredividend.com/sure-analysis-HP/","Helmerich &amp; Payne, Inc.")</f>
        <v>0</v>
      </c>
      <c r="C741">
        <v>23.62</v>
      </c>
      <c r="D741">
        <v>9</v>
      </c>
      <c r="E741">
        <v>2.624444444444444</v>
      </c>
      <c r="F741">
        <v>0.04233700254022015</v>
      </c>
      <c r="G741">
        <v>-0.1754964626434554</v>
      </c>
      <c r="H741">
        <v>0.17</v>
      </c>
      <c r="I741">
        <v>0.009243549708722432</v>
      </c>
      <c r="J741" t="s">
        <v>782</v>
      </c>
      <c r="K741" t="s">
        <v>530</v>
      </c>
      <c r="L741">
        <v>0.55</v>
      </c>
      <c r="M741">
        <v>1</v>
      </c>
      <c r="N741">
        <v>1.818181818181818</v>
      </c>
      <c r="O741">
        <v>0</v>
      </c>
      <c r="P741">
        <v>0</v>
      </c>
      <c r="Q741">
        <v>0.003286926293689</v>
      </c>
      <c r="R741" t="s">
        <v>784</v>
      </c>
      <c r="S741" t="s">
        <v>797</v>
      </c>
      <c r="T741">
        <v>2518.612773</v>
      </c>
      <c r="U741" s="2">
        <v>44524</v>
      </c>
      <c r="V741" t="s">
        <v>807</v>
      </c>
    </row>
    <row r="742" spans="1:22">
      <c r="A742" s="1" t="s">
        <v>762</v>
      </c>
      <c r="B742">
        <f>HYPERLINK("https://www.suredividend.com/sure-analysis-STAG/","STAG Industrial Inc")</f>
        <v>0</v>
      </c>
      <c r="C742">
        <v>45.54</v>
      </c>
      <c r="D742">
        <v>31</v>
      </c>
      <c r="E742">
        <v>1.469032258064516</v>
      </c>
      <c r="F742">
        <v>0.03184014053579271</v>
      </c>
      <c r="G742">
        <v>-0.07403678637325706</v>
      </c>
      <c r="H742">
        <v>0.05</v>
      </c>
      <c r="I742">
        <v>0.006177273890218604</v>
      </c>
      <c r="J742" t="s">
        <v>782</v>
      </c>
      <c r="K742" t="s">
        <v>530</v>
      </c>
      <c r="L742">
        <v>2.04</v>
      </c>
      <c r="M742">
        <v>1.45</v>
      </c>
      <c r="N742">
        <v>0.7107843137254901</v>
      </c>
      <c r="O742">
        <v>10</v>
      </c>
      <c r="P742">
        <v>0.006803348678863008</v>
      </c>
      <c r="Q742">
        <v>0.544306312540466</v>
      </c>
      <c r="R742" t="s">
        <v>786</v>
      </c>
      <c r="S742" t="s">
        <v>798</v>
      </c>
      <c r="T742">
        <v>7653.288536</v>
      </c>
      <c r="U742" s="2">
        <v>44516</v>
      </c>
      <c r="V742" t="s">
        <v>807</v>
      </c>
    </row>
    <row r="743" spans="1:22">
      <c r="A743" s="1" t="s">
        <v>763</v>
      </c>
      <c r="B743">
        <f>HYPERLINK("https://www.suredividend.com/sure-analysis-UBA/","Urstadt Biddle Properties, Inc.")</f>
        <v>0</v>
      </c>
      <c r="C743">
        <v>19.93</v>
      </c>
      <c r="D743">
        <v>14</v>
      </c>
      <c r="E743">
        <v>1.423571428571428</v>
      </c>
      <c r="F743">
        <v>0.04616156547917712</v>
      </c>
      <c r="G743">
        <v>-0.06819690765112607</v>
      </c>
      <c r="H743">
        <v>0.018</v>
      </c>
      <c r="I743">
        <v>0.005000665824908435</v>
      </c>
      <c r="J743" t="s">
        <v>782</v>
      </c>
      <c r="K743" t="s">
        <v>349</v>
      </c>
      <c r="L743">
        <v>1.37</v>
      </c>
      <c r="M743">
        <v>0.92</v>
      </c>
      <c r="N743">
        <v>0.6715328467153284</v>
      </c>
      <c r="O743">
        <v>0</v>
      </c>
      <c r="P743">
        <v>0.03638464900130689</v>
      </c>
      <c r="Q743">
        <v>0.4344470029398561</v>
      </c>
      <c r="R743" t="s">
        <v>786</v>
      </c>
      <c r="S743" t="s">
        <v>798</v>
      </c>
      <c r="T743">
        <v>776.3912309999999</v>
      </c>
      <c r="U743" s="2">
        <v>44452</v>
      </c>
      <c r="V743" t="s">
        <v>808</v>
      </c>
    </row>
    <row r="744" spans="1:22">
      <c r="A744" s="1" t="s">
        <v>764</v>
      </c>
      <c r="B744">
        <f>HYPERLINK("https://www.suredividend.com/sure-analysis-UDR/","UDR Inc")</f>
        <v>0</v>
      </c>
      <c r="C744">
        <v>59.62</v>
      </c>
      <c r="D744">
        <v>40</v>
      </c>
      <c r="E744">
        <v>1.4905</v>
      </c>
      <c r="F744">
        <v>0.02432069775243207</v>
      </c>
      <c r="G744">
        <v>-0.07671962603201721</v>
      </c>
      <c r="H744">
        <v>0.055</v>
      </c>
      <c r="I744">
        <v>0.00356212263726241</v>
      </c>
      <c r="J744" t="s">
        <v>782</v>
      </c>
      <c r="K744" t="s">
        <v>782</v>
      </c>
      <c r="L744">
        <v>1.82</v>
      </c>
      <c r="M744">
        <v>1.45</v>
      </c>
      <c r="N744">
        <v>0.7967032967032966</v>
      </c>
      <c r="O744">
        <v>11</v>
      </c>
      <c r="P744">
        <v>0.0499309672496191</v>
      </c>
      <c r="Q744">
        <v>0.608757969653536</v>
      </c>
      <c r="R744" t="s">
        <v>786</v>
      </c>
      <c r="S744" t="s">
        <v>798</v>
      </c>
      <c r="T744">
        <v>18115.229946</v>
      </c>
      <c r="U744" s="2">
        <v>44512</v>
      </c>
      <c r="V744" t="s">
        <v>805</v>
      </c>
    </row>
    <row r="745" spans="1:22">
      <c r="A745" s="1" t="s">
        <v>765</v>
      </c>
      <c r="B745">
        <f>HYPERLINK("https://www.suredividend.com/sure-analysis-MPC/","Marathon Petroleum Corp")</f>
        <v>0</v>
      </c>
      <c r="C745">
        <v>62.48</v>
      </c>
      <c r="D745">
        <v>49</v>
      </c>
      <c r="E745">
        <v>1.275102040816326</v>
      </c>
      <c r="F745">
        <v>0.03713188220230473</v>
      </c>
      <c r="G745">
        <v>-0.04744291449092863</v>
      </c>
      <c r="H745">
        <v>0.01</v>
      </c>
      <c r="I745">
        <v>0.003108248292736482</v>
      </c>
      <c r="J745" t="s">
        <v>782</v>
      </c>
      <c r="K745" t="s">
        <v>530</v>
      </c>
      <c r="L745">
        <v>1.5</v>
      </c>
      <c r="M745">
        <v>2.32</v>
      </c>
      <c r="N745">
        <v>1.546666666666667</v>
      </c>
      <c r="O745">
        <v>9</v>
      </c>
      <c r="P745">
        <v>0.01013720758985226</v>
      </c>
      <c r="Q745">
        <v>0.576068988665931</v>
      </c>
      <c r="R745" t="s">
        <v>784</v>
      </c>
      <c r="S745" t="s">
        <v>797</v>
      </c>
      <c r="T745">
        <v>38443.450678</v>
      </c>
      <c r="U745" s="2">
        <v>44504</v>
      </c>
      <c r="V745" t="s">
        <v>807</v>
      </c>
    </row>
    <row r="746" spans="1:22">
      <c r="A746" s="1" t="s">
        <v>766</v>
      </c>
      <c r="B746">
        <f>HYPERLINK("https://www.suredividend.com/sure-analysis-LXP/","Lexington Realty Trust")</f>
        <v>0</v>
      </c>
      <c r="C746">
        <v>15.3</v>
      </c>
      <c r="D746">
        <v>11</v>
      </c>
      <c r="E746">
        <v>1.390909090909091</v>
      </c>
      <c r="F746">
        <v>0.03137254901960784</v>
      </c>
      <c r="G746">
        <v>-0.06386118897208415</v>
      </c>
      <c r="H746">
        <v>0.035</v>
      </c>
      <c r="I746">
        <v>0.002913984762232591</v>
      </c>
      <c r="J746" t="s">
        <v>782</v>
      </c>
      <c r="K746" t="s">
        <v>530</v>
      </c>
      <c r="L746">
        <v>0.76</v>
      </c>
      <c r="M746">
        <v>0.48</v>
      </c>
      <c r="N746">
        <v>0.631578947368421</v>
      </c>
      <c r="O746">
        <v>2</v>
      </c>
      <c r="P746">
        <v>0.008197818497166498</v>
      </c>
      <c r="Q746">
        <v>0.4709146888783791</v>
      </c>
      <c r="R746" t="s">
        <v>786</v>
      </c>
      <c r="S746" t="s">
        <v>798</v>
      </c>
      <c r="T746">
        <v>4310.137664</v>
      </c>
      <c r="U746" s="2">
        <v>44513</v>
      </c>
      <c r="V746" t="s">
        <v>805</v>
      </c>
    </row>
    <row r="747" spans="1:22">
      <c r="A747" s="1" t="s">
        <v>767</v>
      </c>
      <c r="B747">
        <f>HYPERLINK("https://www.suredividend.com/sure-analysis-PPRQF/","Choice Properties Real Estate Investment Trust")</f>
        <v>0</v>
      </c>
      <c r="C747">
        <v>11.39</v>
      </c>
      <c r="D747">
        <v>6.7</v>
      </c>
      <c r="E747">
        <v>1.7</v>
      </c>
      <c r="F747">
        <v>0.05179982440737489</v>
      </c>
      <c r="G747">
        <v>-0.1006883577224251</v>
      </c>
      <c r="H747">
        <v>0.049</v>
      </c>
      <c r="I747">
        <v>0.0001784896112493328</v>
      </c>
      <c r="J747" t="s">
        <v>782</v>
      </c>
      <c r="K747" t="s">
        <v>530</v>
      </c>
      <c r="L747">
        <v>0.67</v>
      </c>
      <c r="M747">
        <v>0.59</v>
      </c>
      <c r="N747">
        <v>0.880597014925373</v>
      </c>
      <c r="O747">
        <v>1</v>
      </c>
      <c r="P747">
        <v>-0.006873503878979115</v>
      </c>
      <c r="Q747">
        <v>0.058521734227885</v>
      </c>
      <c r="R747" t="s">
        <v>786</v>
      </c>
      <c r="S747" t="s">
        <v>794</v>
      </c>
      <c r="T747">
        <v>3689.464575</v>
      </c>
      <c r="U747" s="2">
        <v>44509</v>
      </c>
      <c r="V747" t="s">
        <v>808</v>
      </c>
    </row>
    <row r="748" spans="1:22">
      <c r="A748" s="1" t="s">
        <v>768</v>
      </c>
      <c r="B748">
        <f>HYPERLINK("https://www.suredividend.com/sure-analysis-GROW/","U.S. Global Investors, Inc.")</f>
        <v>0</v>
      </c>
      <c r="C748">
        <v>4.74</v>
      </c>
      <c r="D748">
        <v>7</v>
      </c>
      <c r="E748">
        <v>0.6771428571428572</v>
      </c>
      <c r="F748">
        <v>0.0189873417721519</v>
      </c>
      <c r="G748">
        <v>0.08109520138946125</v>
      </c>
      <c r="H748">
        <v>-0.099</v>
      </c>
      <c r="I748">
        <v>-0.007018784049796611</v>
      </c>
      <c r="J748" t="s">
        <v>782</v>
      </c>
      <c r="K748" t="s">
        <v>782</v>
      </c>
      <c r="L748">
        <v>0.06</v>
      </c>
      <c r="M748">
        <v>0.09</v>
      </c>
      <c r="N748">
        <v>1.5</v>
      </c>
      <c r="O748">
        <v>0</v>
      </c>
      <c r="P748">
        <v>-0.02328131613882611</v>
      </c>
      <c r="Q748">
        <v>0.07288710458918801</v>
      </c>
      <c r="R748" t="s">
        <v>784</v>
      </c>
      <c r="S748" t="s">
        <v>794</v>
      </c>
      <c r="T748">
        <v>60.230804</v>
      </c>
      <c r="U748" s="2">
        <v>44542</v>
      </c>
      <c r="V748" t="s">
        <v>808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18.24</v>
      </c>
      <c r="D749">
        <v>11.2</v>
      </c>
      <c r="E749">
        <v>1.628571428571429</v>
      </c>
      <c r="F749">
        <v>0.04440789473684211</v>
      </c>
      <c r="G749">
        <v>-0.09293452348537057</v>
      </c>
      <c r="H749">
        <v>0.039</v>
      </c>
      <c r="I749">
        <v>-0.00733176136810898</v>
      </c>
      <c r="J749" t="s">
        <v>782</v>
      </c>
      <c r="K749" t="s">
        <v>349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0.05324993361461</v>
      </c>
      <c r="R749" t="s">
        <v>784</v>
      </c>
      <c r="S749" t="s">
        <v>794</v>
      </c>
      <c r="T749">
        <v>887.10336</v>
      </c>
      <c r="U749" s="2">
        <v>44509</v>
      </c>
      <c r="V749" t="s">
        <v>808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47.86</v>
      </c>
      <c r="D750">
        <v>35.5</v>
      </c>
      <c r="E750">
        <v>1.348169014084507</v>
      </c>
      <c r="F750">
        <v>0.07480150438779774</v>
      </c>
      <c r="G750">
        <v>-0.0579995033718147</v>
      </c>
      <c r="H750">
        <v>-0.053</v>
      </c>
      <c r="I750">
        <v>-0.02047346654937643</v>
      </c>
      <c r="J750" t="s">
        <v>782</v>
      </c>
      <c r="K750" t="s">
        <v>349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0.629901754267707</v>
      </c>
      <c r="R750" t="s">
        <v>784</v>
      </c>
      <c r="S750" t="s">
        <v>794</v>
      </c>
      <c r="T750">
        <v>4775.750597</v>
      </c>
      <c r="U750" s="2">
        <v>44504</v>
      </c>
      <c r="V750" t="s">
        <v>808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82.95</v>
      </c>
      <c r="D751">
        <v>56</v>
      </c>
      <c r="E751">
        <v>1.48125</v>
      </c>
      <c r="F751">
        <v>0.02941531042796865</v>
      </c>
      <c r="G751">
        <v>-0.07556936912723389</v>
      </c>
      <c r="H751">
        <v>0.012</v>
      </c>
      <c r="I751">
        <v>-0.02367022109563011</v>
      </c>
      <c r="J751" t="s">
        <v>782</v>
      </c>
      <c r="K751" t="s">
        <v>530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0.34129942359538</v>
      </c>
      <c r="R751" t="s">
        <v>786</v>
      </c>
      <c r="S751" t="s">
        <v>798</v>
      </c>
      <c r="T751">
        <v>35775.213456</v>
      </c>
      <c r="U751" s="2">
        <v>44505</v>
      </c>
      <c r="V751" t="s">
        <v>809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114.58</v>
      </c>
      <c r="D752">
        <v>78</v>
      </c>
      <c r="E752">
        <v>1.468974358974359</v>
      </c>
      <c r="F752">
        <v>0.03491010647582475</v>
      </c>
      <c r="G752">
        <v>-0.07402948718766744</v>
      </c>
      <c r="H752">
        <v>0.001</v>
      </c>
      <c r="I752">
        <v>-0.03000584387236738</v>
      </c>
      <c r="J752" t="s">
        <v>782</v>
      </c>
      <c r="K752" t="s">
        <v>530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0.492650958604863</v>
      </c>
      <c r="R752" t="s">
        <v>786</v>
      </c>
      <c r="S752" t="s">
        <v>798</v>
      </c>
      <c r="T752">
        <v>9871.365212000001</v>
      </c>
      <c r="U752" s="2">
        <v>44509</v>
      </c>
      <c r="V752" t="s">
        <v>808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31.01</v>
      </c>
      <c r="D753">
        <v>15</v>
      </c>
      <c r="E753">
        <v>2.067333333333333</v>
      </c>
      <c r="F753">
        <v>0.01741373750403096</v>
      </c>
      <c r="G753">
        <v>-0.1351955840993074</v>
      </c>
      <c r="H753">
        <v>0.06</v>
      </c>
      <c r="I753">
        <v>-0.05770261652169673</v>
      </c>
      <c r="J753" t="s">
        <v>782</v>
      </c>
      <c r="K753" t="s">
        <v>782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1.055639303823489</v>
      </c>
      <c r="R753" t="s">
        <v>786</v>
      </c>
      <c r="S753" t="s">
        <v>798</v>
      </c>
      <c r="T753">
        <v>1026.30039</v>
      </c>
      <c r="U753" s="2">
        <v>44527</v>
      </c>
      <c r="V753" t="s">
        <v>804</v>
      </c>
    </row>
    <row r="754" spans="1:22">
      <c r="A754" s="1" t="s">
        <v>774</v>
      </c>
      <c r="B754">
        <f>HYPERLINK("https://www.suredividend.com/sure-analysis-PBT/","Permian Basin Royalty Trust")</f>
        <v>0</v>
      </c>
      <c r="C754">
        <v>8.81</v>
      </c>
      <c r="D754">
        <v>2.7</v>
      </c>
      <c r="E754">
        <v>3.262962962962963</v>
      </c>
      <c r="F754">
        <v>0.02383654937570942</v>
      </c>
      <c r="G754">
        <v>-0.2106355361205323</v>
      </c>
      <c r="H754">
        <v>0.13</v>
      </c>
      <c r="I754">
        <v>-0.05841766722553576</v>
      </c>
      <c r="J754" t="s">
        <v>782</v>
      </c>
      <c r="K754" t="s">
        <v>782</v>
      </c>
      <c r="L754">
        <v>0.21</v>
      </c>
      <c r="M754">
        <v>0.21</v>
      </c>
      <c r="N754">
        <v>1</v>
      </c>
      <c r="O754">
        <v>0</v>
      </c>
      <c r="P754">
        <v>0.1317983656310018</v>
      </c>
      <c r="Q754">
        <v>1.753269507540204</v>
      </c>
      <c r="R754" t="s">
        <v>784</v>
      </c>
      <c r="S754" t="s">
        <v>797</v>
      </c>
      <c r="T754">
        <v>410.157405</v>
      </c>
      <c r="U754" s="2">
        <v>44519</v>
      </c>
      <c r="V754" t="s">
        <v>807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29.27</v>
      </c>
      <c r="D755">
        <v>11</v>
      </c>
      <c r="E755">
        <v>2.660909090909091</v>
      </c>
      <c r="F755">
        <v>0.0567133583874274</v>
      </c>
      <c r="G755">
        <v>-0.17776872379092</v>
      </c>
      <c r="H755">
        <v>0.02</v>
      </c>
      <c r="I755">
        <v>-0.09732915482817217</v>
      </c>
      <c r="J755" t="s">
        <v>782</v>
      </c>
      <c r="K755" t="s">
        <v>349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0.10614460836035</v>
      </c>
      <c r="R755" t="s">
        <v>784</v>
      </c>
      <c r="S755" t="s">
        <v>796</v>
      </c>
      <c r="T755">
        <v>22187.735935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790</v>
      </c>
      <c r="T756">
        <v>2694.766027</v>
      </c>
      <c r="U756" s="2">
        <v>44507</v>
      </c>
      <c r="V756" t="s">
        <v>802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8.289999999999999</v>
      </c>
      <c r="D757">
        <v>5.95</v>
      </c>
      <c r="E757">
        <v>1.393277310924369</v>
      </c>
      <c r="F757">
        <v>0.009650180940892643</v>
      </c>
      <c r="G757">
        <v>-0.06417964553713151</v>
      </c>
      <c r="H757">
        <v>-0.1</v>
      </c>
      <c r="I757">
        <v>-0.1394020919705736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0.512772677736936</v>
      </c>
      <c r="R757" t="s">
        <v>784</v>
      </c>
      <c r="S757" t="s">
        <v>797</v>
      </c>
      <c r="T757">
        <v>1761.768885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41.37</v>
      </c>
      <c r="D758">
        <v>12</v>
      </c>
      <c r="E758">
        <v>3.4475</v>
      </c>
      <c r="F758">
        <v>0.000241721053903795</v>
      </c>
      <c r="G758">
        <v>-0.219273096833976</v>
      </c>
      <c r="H758">
        <v>0.06</v>
      </c>
      <c r="I758">
        <v>-0.1688288145304011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0.397489738296913</v>
      </c>
      <c r="R758" t="s">
        <v>784</v>
      </c>
      <c r="S758" t="s">
        <v>792</v>
      </c>
      <c r="T758">
        <v>19335.214327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31.93</v>
      </c>
      <c r="D759">
        <v>39</v>
      </c>
      <c r="E759">
        <v>0.8187179487179487</v>
      </c>
      <c r="F759">
        <v>0</v>
      </c>
      <c r="G759">
        <v>0.04081402972929937</v>
      </c>
      <c r="H759">
        <v>0.03</v>
      </c>
      <c r="I759">
        <v>0.09125477226093826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0.236751870324189</v>
      </c>
      <c r="R759" t="s">
        <v>784</v>
      </c>
      <c r="S759" t="s">
        <v>797</v>
      </c>
      <c r="T759">
        <v>5157.630499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793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792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794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790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791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487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704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656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735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359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648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636</v>
      </c>
      <c r="B243">
        <v>43819</v>
      </c>
    </row>
    <row r="244" spans="1:2">
      <c r="A244" s="1" t="s">
        <v>695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652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659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683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655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708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774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699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584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731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553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744</v>
      </c>
      <c r="B341">
        <v>43853</v>
      </c>
    </row>
    <row r="342" spans="1:2">
      <c r="A342" s="1" t="s">
        <v>676</v>
      </c>
      <c r="B342">
        <v>43760</v>
      </c>
    </row>
    <row r="343" spans="1:2">
      <c r="A343" s="1" t="s">
        <v>647</v>
      </c>
      <c r="B343">
        <v>43854</v>
      </c>
    </row>
    <row r="344" spans="1:2">
      <c r="A344" s="1" t="s">
        <v>628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358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188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533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720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681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705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694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715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690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649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701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726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610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591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729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651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354</v>
      </c>
      <c r="B483">
        <v>43832</v>
      </c>
    </row>
    <row r="484" spans="1:2">
      <c r="A484" s="1" t="s">
        <v>337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707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689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544</v>
      </c>
      <c r="B561">
        <v>43845</v>
      </c>
    </row>
    <row r="562" spans="1:2">
      <c r="A562" s="1" t="s">
        <v>723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673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566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678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680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635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668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449</v>
      </c>
      <c r="B629">
        <v>43845</v>
      </c>
    </row>
    <row r="630" spans="1:2">
      <c r="A630" s="1" t="s">
        <v>662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751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760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739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752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736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710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692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396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340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395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218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698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749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696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693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347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669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634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554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365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737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712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741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525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199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631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761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361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750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512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515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653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682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643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338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716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578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644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205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596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183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543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697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376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717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499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581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758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273</v>
      </c>
      <c r="B1527">
        <v>43830</v>
      </c>
    </row>
    <row r="1528" spans="1:2">
      <c r="A1528" s="1" t="s">
        <v>364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599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381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264</v>
      </c>
      <c r="B1556">
        <v>43864</v>
      </c>
    </row>
    <row r="1557" spans="1:2">
      <c r="A1557" s="1" t="s">
        <v>344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355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432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363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600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489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82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391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732</v>
      </c>
      <c r="B1646">
        <v>43847</v>
      </c>
    </row>
    <row r="1647" spans="1:2">
      <c r="A1647" s="1" t="s">
        <v>563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742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671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650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536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574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560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524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245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592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393</v>
      </c>
      <c r="B1777">
        <v>43783</v>
      </c>
    </row>
    <row r="1778" spans="1:2">
      <c r="A1778" s="1" t="s">
        <v>618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508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727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392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620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203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528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243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521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569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762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523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763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703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430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738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530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579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398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675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629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545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684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213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535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388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685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505</v>
      </c>
      <c r="B2124" t="s">
        <v>783</v>
      </c>
    </row>
    <row r="2125" spans="1:2">
      <c r="A2125" s="1" t="s">
        <v>597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506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663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615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570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538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421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734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384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532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439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233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719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577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747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207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730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537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485</v>
      </c>
      <c r="B2358">
        <v>43809</v>
      </c>
    </row>
    <row r="2359" spans="1:2">
      <c r="A2359" s="1" t="s">
        <v>529</v>
      </c>
      <c r="B2359">
        <v>43809</v>
      </c>
    </row>
    <row r="2360" spans="1:2">
      <c r="A2360" s="1" t="s">
        <v>227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385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436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260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666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180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230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496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601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435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766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281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568</v>
      </c>
      <c r="B2436">
        <v>43832</v>
      </c>
    </row>
    <row r="2437" spans="1:2">
      <c r="A2437" s="1" t="s">
        <v>539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724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408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455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425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200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459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224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630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401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757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725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687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526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38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700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404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88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664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444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507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427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598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677</v>
      </c>
      <c r="B2602">
        <v>43798</v>
      </c>
    </row>
    <row r="2603" spans="1:2">
      <c r="A2603" s="1" t="s">
        <v>367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265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740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640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417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134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550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722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348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409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519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379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688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249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237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228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594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709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370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765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276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360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56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254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52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555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561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672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407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292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47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114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241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311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84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453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557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196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258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491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368</v>
      </c>
      <c r="B2987">
        <v>43803</v>
      </c>
    </row>
    <row r="2988" spans="1:2">
      <c r="A2988" s="1" t="s">
        <v>288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123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220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590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374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270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542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334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280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283</v>
      </c>
      <c r="B3062">
        <v>43801</v>
      </c>
    </row>
    <row r="3063" spans="1:2">
      <c r="A3063" s="1" t="s">
        <v>43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623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657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713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461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267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410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373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517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573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510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371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624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263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764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583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412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195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616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80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513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415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458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534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446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549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403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221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580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389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420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198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551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576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202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341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295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756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98</v>
      </c>
      <c r="B3364">
        <v>43818</v>
      </c>
    </row>
    <row r="3365" spans="1:2">
      <c r="A3365" s="1" t="s">
        <v>297</v>
      </c>
      <c r="B3365">
        <v>43837</v>
      </c>
    </row>
    <row r="3366" spans="1:2">
      <c r="A3366" s="1" t="s">
        <v>51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78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105</v>
      </c>
      <c r="B3400">
        <v>43845</v>
      </c>
    </row>
    <row r="3401" spans="1:2">
      <c r="A3401" s="1" t="s">
        <v>382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226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426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498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232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456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613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112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201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278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73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211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728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60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83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284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257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423</v>
      </c>
      <c r="B3529">
        <v>43801</v>
      </c>
    </row>
    <row r="3530" spans="1:2">
      <c r="A3530" s="1" t="s">
        <v>67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185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206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546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718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318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70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509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394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238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349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61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607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277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433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212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464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422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608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299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231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137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209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102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451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239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246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121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269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405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244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266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90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142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460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353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141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399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768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494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565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89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500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454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31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714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324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155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759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57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118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122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356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272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191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424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304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133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86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440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46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65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369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305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242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81</v>
      </c>
      <c r="B4199">
        <v>43812</v>
      </c>
    </row>
    <row r="4200" spans="1:2">
      <c r="A4200" s="1" t="s">
        <v>219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113</v>
      </c>
      <c r="B4207">
        <v>43879</v>
      </c>
    </row>
    <row r="4208" spans="1:2">
      <c r="A4208" s="1" t="s">
        <v>234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679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40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307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661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289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91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375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68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357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100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674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95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316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286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308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463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380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290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193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136</v>
      </c>
      <c r="B4409">
        <v>43840</v>
      </c>
    </row>
    <row r="4410" spans="1:2">
      <c r="A4410" s="1" t="s">
        <v>411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132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71</v>
      </c>
      <c r="B4446">
        <v>43801</v>
      </c>
    </row>
    <row r="4447" spans="1:2">
      <c r="A4447" s="1" t="s">
        <v>74</v>
      </c>
      <c r="B4447">
        <v>43815</v>
      </c>
    </row>
    <row r="4448" spans="1:2">
      <c r="A4448" s="1" t="s">
        <v>143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55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79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522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262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101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287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240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94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75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351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296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125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275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562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495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606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87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314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588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268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298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72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222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251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148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467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208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150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104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59</v>
      </c>
      <c r="B4809">
        <v>43816</v>
      </c>
    </row>
    <row r="4810" spans="1:2">
      <c r="A4810" s="1" t="s">
        <v>595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306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217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173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520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387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434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152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179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556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372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235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252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164</v>
      </c>
      <c r="B4990">
        <v>43791</v>
      </c>
    </row>
    <row r="4991" spans="1:2">
      <c r="A4991" s="1" t="s">
        <v>457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111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48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567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63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429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138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153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250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116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109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350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170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129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115</v>
      </c>
      <c r="B5207">
        <v>43871</v>
      </c>
    </row>
    <row r="5208" spans="1:2">
      <c r="A5208" s="1" t="s">
        <v>702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346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256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154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117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612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97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279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146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34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216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645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229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390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377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261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53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41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488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107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406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294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76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312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448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158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69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475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190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156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169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62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139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28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609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465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259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163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366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124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658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128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418</v>
      </c>
      <c r="B5927">
        <v>43784</v>
      </c>
    </row>
    <row r="5928" spans="1:2">
      <c r="A5928" s="1" t="s">
        <v>197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733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126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93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50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362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481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176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92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192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291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64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66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386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383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416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571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516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157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593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402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414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106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282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547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459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223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540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343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552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2021-12-16T07:13:34Z</dcterms:created>
  <dcterms:modified xsi:type="dcterms:W3CDTF">2021-12-16T07:13:34Z</dcterms:modified>
</cp:coreProperties>
</file>