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<sst xmlns="http://schemas.openxmlformats.org/spreadsheetml/2006/main" count="20825" uniqueCount="10144">
  <si>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</si>
  <si>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</si>
  <si>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</si>
  <si>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</si>
  <si>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</si>
  <si>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</si>
  <si>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</si>
  <si>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</si>
  <si>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</si>
  <si>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</si>
  <si>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</si>
  <si>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</si>
  <si>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</si>
  <si>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</si>
  <si>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</si>
  <si>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</si>
  <si>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</si>
  <si>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</si>
  <si>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</si>
  <si>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</si>
  <si>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</si>
  <si>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</si>
  <si>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</si>
  <si>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</si>
  <si>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</si>
  <si>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</si>
  <si>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</si>
  <si>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DCI</t>
  </si>
  <si>
    <t>UNM</t>
  </si>
  <si>
    <t>RGLD</t>
  </si>
  <si>
    <t>ADM</t>
  </si>
  <si>
    <t>FDX</t>
  </si>
  <si>
    <t>BBY</t>
  </si>
  <si>
    <t>SLGN</t>
  </si>
  <si>
    <t>ATO</t>
  </si>
  <si>
    <t>WBA</t>
  </si>
  <si>
    <t>NOC</t>
  </si>
  <si>
    <t>BDX</t>
  </si>
  <si>
    <t>CAH</t>
  </si>
  <si>
    <t>FMS</t>
  </si>
  <si>
    <t>SKM</t>
  </si>
  <si>
    <t>BANF</t>
  </si>
  <si>
    <t>MDU</t>
  </si>
  <si>
    <t>SYK</t>
  </si>
  <si>
    <t>LEG</t>
  </si>
  <si>
    <t>PH</t>
  </si>
  <si>
    <t>EFSI</t>
  </si>
  <si>
    <t>CINF</t>
  </si>
  <si>
    <t>TNC</t>
  </si>
  <si>
    <t>JW.A</t>
  </si>
  <si>
    <t>MCK</t>
  </si>
  <si>
    <t>MMM</t>
  </si>
  <si>
    <t>LHX</t>
  </si>
  <si>
    <t>MET</t>
  </si>
  <si>
    <t>UGI</t>
  </si>
  <si>
    <t>JNJ</t>
  </si>
  <si>
    <t>SEIC</t>
  </si>
  <si>
    <t>CTBI</t>
  </si>
  <si>
    <t>BKH</t>
  </si>
  <si>
    <t>MATW</t>
  </si>
  <si>
    <t>CP</t>
  </si>
  <si>
    <t>WMT</t>
  </si>
  <si>
    <t>SWK</t>
  </si>
  <si>
    <t>SYY</t>
  </si>
  <si>
    <t>ROP</t>
  </si>
  <si>
    <t>NIDB</t>
  </si>
  <si>
    <t>EBTC</t>
  </si>
  <si>
    <t>BRC</t>
  </si>
  <si>
    <t>INTU</t>
  </si>
  <si>
    <t>WSM</t>
  </si>
  <si>
    <t>ABC</t>
  </si>
  <si>
    <t>ANTM</t>
  </si>
  <si>
    <t>V</t>
  </si>
  <si>
    <t>EMR</t>
  </si>
  <si>
    <t>AFL</t>
  </si>
  <si>
    <t>ABBV</t>
  </si>
  <si>
    <t>KO</t>
  </si>
  <si>
    <t>TMO</t>
  </si>
  <si>
    <t>AIZ</t>
  </si>
  <si>
    <t>FMCB</t>
  </si>
  <si>
    <t>CPKF</t>
  </si>
  <si>
    <t>WHR</t>
  </si>
  <si>
    <t>NWN</t>
  </si>
  <si>
    <t>LANC</t>
  </si>
  <si>
    <t>SON</t>
  </si>
  <si>
    <t>BEN</t>
  </si>
  <si>
    <t>NFG</t>
  </si>
  <si>
    <t>TRV</t>
  </si>
  <si>
    <t>DG</t>
  </si>
  <si>
    <t>RNR</t>
  </si>
  <si>
    <t>EXPD</t>
  </si>
  <si>
    <t>AMP</t>
  </si>
  <si>
    <t>ADP</t>
  </si>
  <si>
    <t>QCOM</t>
  </si>
  <si>
    <t>CL</t>
  </si>
  <si>
    <t>TGT</t>
  </si>
  <si>
    <t>CBSH</t>
  </si>
  <si>
    <t>TSN</t>
  </si>
  <si>
    <t>MDT</t>
  </si>
  <si>
    <t>LOW</t>
  </si>
  <si>
    <t>FFMR</t>
  </si>
  <si>
    <t>SCL</t>
  </si>
  <si>
    <t>VFC</t>
  </si>
  <si>
    <t>GD</t>
  </si>
  <si>
    <t>HRL</t>
  </si>
  <si>
    <t>GPC</t>
  </si>
  <si>
    <t>LECO</t>
  </si>
  <si>
    <t>AROW</t>
  </si>
  <si>
    <t>TXT</t>
  </si>
  <si>
    <t>CAT</t>
  </si>
  <si>
    <t>PSBQ</t>
  </si>
  <si>
    <t>JKHY</t>
  </si>
  <si>
    <t>PPG</t>
  </si>
  <si>
    <t>PNR</t>
  </si>
  <si>
    <t>KR</t>
  </si>
  <si>
    <t>MKC</t>
  </si>
  <si>
    <t>CSX</t>
  </si>
  <si>
    <t>SBSI</t>
  </si>
  <si>
    <t>AXP</t>
  </si>
  <si>
    <t>RE</t>
  </si>
  <si>
    <t>DOV</t>
  </si>
  <si>
    <t>THFF</t>
  </si>
  <si>
    <t>COST</t>
  </si>
  <si>
    <t>OZK</t>
  </si>
  <si>
    <t>ORCL</t>
  </si>
  <si>
    <t>SPGI</t>
  </si>
  <si>
    <t>BRO</t>
  </si>
  <si>
    <t>TROW</t>
  </si>
  <si>
    <t>AMAT</t>
  </si>
  <si>
    <t>CSL</t>
  </si>
  <si>
    <t>MCO</t>
  </si>
  <si>
    <t>SRCE</t>
  </si>
  <si>
    <t>CHD</t>
  </si>
  <si>
    <t>FUL</t>
  </si>
  <si>
    <t>CSVI</t>
  </si>
  <si>
    <t>CB</t>
  </si>
  <si>
    <t>MCD</t>
  </si>
  <si>
    <t>GRC</t>
  </si>
  <si>
    <t>UBSI</t>
  </si>
  <si>
    <t>PG</t>
  </si>
  <si>
    <t>RPM</t>
  </si>
  <si>
    <t>ITW</t>
  </si>
  <si>
    <t>FELE</t>
  </si>
  <si>
    <t>NKE</t>
  </si>
  <si>
    <t>SJW</t>
  </si>
  <si>
    <t>ABT</t>
  </si>
  <si>
    <t>MGEE</t>
  </si>
  <si>
    <t>ATR</t>
  </si>
  <si>
    <t>LIN</t>
  </si>
  <si>
    <t>AOS</t>
  </si>
  <si>
    <t>GWW</t>
  </si>
  <si>
    <t>TMP</t>
  </si>
  <si>
    <t>TSCO</t>
  </si>
  <si>
    <t>MSFT</t>
  </si>
  <si>
    <t>EBAY</t>
  </si>
  <si>
    <t>UNF</t>
  </si>
  <si>
    <t>MSA</t>
  </si>
  <si>
    <t>TR</t>
  </si>
  <si>
    <t>ECL</t>
  </si>
  <si>
    <t>BF.B</t>
  </si>
  <si>
    <t>AAPL</t>
  </si>
  <si>
    <t>CTAS</t>
  </si>
  <si>
    <t>CWT</t>
  </si>
  <si>
    <t>SHW</t>
  </si>
  <si>
    <t>NDSN</t>
  </si>
  <si>
    <t>MORN</t>
  </si>
  <si>
    <t>BAM</t>
  </si>
  <si>
    <t>WST</t>
  </si>
  <si>
    <t>RLI</t>
  </si>
  <si>
    <t>AWR</t>
  </si>
  <si>
    <t>NUE</t>
  </si>
  <si>
    <t>MSEX</t>
  </si>
  <si>
    <t>BMI</t>
  </si>
  <si>
    <t>ALB</t>
  </si>
  <si>
    <t>CI</t>
  </si>
  <si>
    <t>LAD</t>
  </si>
  <si>
    <t>T</t>
  </si>
  <si>
    <t>CMCSA</t>
  </si>
  <si>
    <t>LAZ</t>
  </si>
  <si>
    <t>OGN</t>
  </si>
  <si>
    <t>VZ</t>
  </si>
  <si>
    <t>NC</t>
  </si>
  <si>
    <t>AMGN</t>
  </si>
  <si>
    <t>SAP</t>
  </si>
  <si>
    <t>PNGAY</t>
  </si>
  <si>
    <t>ENB</t>
  </si>
  <si>
    <t>INTC</t>
  </si>
  <si>
    <t>FNV</t>
  </si>
  <si>
    <t>TTE</t>
  </si>
  <si>
    <t>SUN</t>
  </si>
  <si>
    <t>NVS</t>
  </si>
  <si>
    <t>MURGF</t>
  </si>
  <si>
    <t>IPG</t>
  </si>
  <si>
    <t>OMC</t>
  </si>
  <si>
    <t>SRE</t>
  </si>
  <si>
    <t>EPD</t>
  </si>
  <si>
    <t>MRK</t>
  </si>
  <si>
    <t>WU</t>
  </si>
  <si>
    <t>FLIC</t>
  </si>
  <si>
    <t>MO</t>
  </si>
  <si>
    <t>SWX</t>
  </si>
  <si>
    <t>DDS</t>
  </si>
  <si>
    <t>BNS</t>
  </si>
  <si>
    <t>HRB</t>
  </si>
  <si>
    <t>BMO</t>
  </si>
  <si>
    <t>HII</t>
  </si>
  <si>
    <t>BIP</t>
  </si>
  <si>
    <t>LMT</t>
  </si>
  <si>
    <t>TDS</t>
  </si>
  <si>
    <t>BLK</t>
  </si>
  <si>
    <t>RDEIY</t>
  </si>
  <si>
    <t>YUM</t>
  </si>
  <si>
    <t>KDP</t>
  </si>
  <si>
    <t>EVRG</t>
  </si>
  <si>
    <t>SLF</t>
  </si>
  <si>
    <t>CDUAF</t>
  </si>
  <si>
    <t>FOXA</t>
  </si>
  <si>
    <t>CIO</t>
  </si>
  <si>
    <t>GILD</t>
  </si>
  <si>
    <t>HBI</t>
  </si>
  <si>
    <t>CMI</t>
  </si>
  <si>
    <t>NJR</t>
  </si>
  <si>
    <t>NTIOF</t>
  </si>
  <si>
    <t>FTS</t>
  </si>
  <si>
    <t>BR</t>
  </si>
  <si>
    <t>CM</t>
  </si>
  <si>
    <t>RY</t>
  </si>
  <si>
    <t>POR</t>
  </si>
  <si>
    <t>IMO</t>
  </si>
  <si>
    <t>MSM</t>
  </si>
  <si>
    <t>MDLZ</t>
  </si>
  <si>
    <t>ORI</t>
  </si>
  <si>
    <t>RBGLY</t>
  </si>
  <si>
    <t>TTC</t>
  </si>
  <si>
    <t>BAH</t>
  </si>
  <si>
    <t>PB</t>
  </si>
  <si>
    <t>SNA</t>
  </si>
  <si>
    <t>PBCT</t>
  </si>
  <si>
    <t>TD</t>
  </si>
  <si>
    <t>CHRW</t>
  </si>
  <si>
    <t>EMN</t>
  </si>
  <si>
    <t>FLO</t>
  </si>
  <si>
    <t>IBM</t>
  </si>
  <si>
    <t>UNH</t>
  </si>
  <si>
    <t>UHT</t>
  </si>
  <si>
    <t>EQIX</t>
  </si>
  <si>
    <t>AXS</t>
  </si>
  <si>
    <t>YORW</t>
  </si>
  <si>
    <t>TXN</t>
  </si>
  <si>
    <t>LNT</t>
  </si>
  <si>
    <t>XOM</t>
  </si>
  <si>
    <t>HD</t>
  </si>
  <si>
    <t>RBA</t>
  </si>
  <si>
    <t>K</t>
  </si>
  <si>
    <t>UVV</t>
  </si>
  <si>
    <t>EIX</t>
  </si>
  <si>
    <t>RELX</t>
  </si>
  <si>
    <t>ARTNA</t>
  </si>
  <si>
    <t>CSCO</t>
  </si>
  <si>
    <t>DTE</t>
  </si>
  <si>
    <t>KMB</t>
  </si>
  <si>
    <t>ICE</t>
  </si>
  <si>
    <t>UPS</t>
  </si>
  <si>
    <t>SPTN</t>
  </si>
  <si>
    <t>DPZ</t>
  </si>
  <si>
    <t>GEF</t>
  </si>
  <si>
    <t>SBUX</t>
  </si>
  <si>
    <t>CVX</t>
  </si>
  <si>
    <t>AMX</t>
  </si>
  <si>
    <t>SIEGY</t>
  </si>
  <si>
    <t>WABC</t>
  </si>
  <si>
    <t>CVS</t>
  </si>
  <si>
    <t>SJM</t>
  </si>
  <si>
    <t>RSG</t>
  </si>
  <si>
    <t>NEP</t>
  </si>
  <si>
    <t>PRGO</t>
  </si>
  <si>
    <t>CTSH</t>
  </si>
  <si>
    <t>OTTR</t>
  </si>
  <si>
    <t>CONE</t>
  </si>
  <si>
    <t>ETR</t>
  </si>
  <si>
    <t>RTX</t>
  </si>
  <si>
    <t>WEYS</t>
  </si>
  <si>
    <t>MTB</t>
  </si>
  <si>
    <t>DE</t>
  </si>
  <si>
    <t>AAP</t>
  </si>
  <si>
    <t>LRLCF</t>
  </si>
  <si>
    <t>CLX</t>
  </si>
  <si>
    <t>PEG</t>
  </si>
  <si>
    <t>SBAC</t>
  </si>
  <si>
    <t>ED</t>
  </si>
  <si>
    <t>AMT</t>
  </si>
  <si>
    <t>HON</t>
  </si>
  <si>
    <t>XEL</t>
  </si>
  <si>
    <t>NSC</t>
  </si>
  <si>
    <t>PEP</t>
  </si>
  <si>
    <t>INGR</t>
  </si>
  <si>
    <t>MWA</t>
  </si>
  <si>
    <t>MGRC</t>
  </si>
  <si>
    <t>AJG</t>
  </si>
  <si>
    <t>AUY</t>
  </si>
  <si>
    <t>HSY</t>
  </si>
  <si>
    <t>RHHBY</t>
  </si>
  <si>
    <t>AWK</t>
  </si>
  <si>
    <t>RMD</t>
  </si>
  <si>
    <t>NEE</t>
  </si>
  <si>
    <t>IFF</t>
  </si>
  <si>
    <t>UNP</t>
  </si>
  <si>
    <t>APD</t>
  </si>
  <si>
    <t>CARR</t>
  </si>
  <si>
    <t>ERIE</t>
  </si>
  <si>
    <t>NVO</t>
  </si>
  <si>
    <t>WTRG</t>
  </si>
  <si>
    <t>CNI</t>
  </si>
  <si>
    <t>FRT</t>
  </si>
  <si>
    <t>UMBF</t>
  </si>
  <si>
    <t>ROK</t>
  </si>
  <si>
    <t>OTIS</t>
  </si>
  <si>
    <t>ESS</t>
  </si>
  <si>
    <t>CFR</t>
  </si>
  <si>
    <t>TT</t>
  </si>
  <si>
    <t>WM</t>
  </si>
  <si>
    <t>CBU</t>
  </si>
  <si>
    <t>LLY</t>
  </si>
  <si>
    <t>ZTS</t>
  </si>
  <si>
    <t>XYL</t>
  </si>
  <si>
    <t>HMLP</t>
  </si>
  <si>
    <t>MFGP</t>
  </si>
  <si>
    <t>JACK</t>
  </si>
  <si>
    <t>VTRS</t>
  </si>
  <si>
    <t>DKS</t>
  </si>
  <si>
    <t>TRTN</t>
  </si>
  <si>
    <t>MMP</t>
  </si>
  <si>
    <t>MDC</t>
  </si>
  <si>
    <t>LYB</t>
  </si>
  <si>
    <t>FL</t>
  </si>
  <si>
    <t>THO</t>
  </si>
  <si>
    <t>ALLY</t>
  </si>
  <si>
    <t>ALL</t>
  </si>
  <si>
    <t>TFC</t>
  </si>
  <si>
    <t>FNF</t>
  </si>
  <si>
    <t>BTI</t>
  </si>
  <si>
    <t>PNW</t>
  </si>
  <si>
    <t>SNY</t>
  </si>
  <si>
    <t>AEG</t>
  </si>
  <si>
    <t>MCHP</t>
  </si>
  <si>
    <t>GWLIF</t>
  </si>
  <si>
    <t>SMG</t>
  </si>
  <si>
    <t>SVC</t>
  </si>
  <si>
    <t>TYCB</t>
  </si>
  <si>
    <t>TX</t>
  </si>
  <si>
    <t>C</t>
  </si>
  <si>
    <t>DHI</t>
  </si>
  <si>
    <t>LNC</t>
  </si>
  <si>
    <t>EQNR</t>
  </si>
  <si>
    <t>RLJ</t>
  </si>
  <si>
    <t>SYF</t>
  </si>
  <si>
    <t>BASFY</t>
  </si>
  <si>
    <t>SJI</t>
  </si>
  <si>
    <t>DFS</t>
  </si>
  <si>
    <t>MPLX</t>
  </si>
  <si>
    <t>NHI</t>
  </si>
  <si>
    <t>MKTX</t>
  </si>
  <si>
    <t>OGS</t>
  </si>
  <si>
    <t>JBL</t>
  </si>
  <si>
    <t>IVZ</t>
  </si>
  <si>
    <t>DGX</t>
  </si>
  <si>
    <t>DDAIF</t>
  </si>
  <si>
    <t>OGE</t>
  </si>
  <si>
    <t>GPS</t>
  </si>
  <si>
    <t>UL</t>
  </si>
  <si>
    <t>M</t>
  </si>
  <si>
    <t>HPQ</t>
  </si>
  <si>
    <t>SR</t>
  </si>
  <si>
    <t>PM</t>
  </si>
  <si>
    <t>ROST</t>
  </si>
  <si>
    <t>GLOP</t>
  </si>
  <si>
    <t>CC</t>
  </si>
  <si>
    <t>CE</t>
  </si>
  <si>
    <t>FAF</t>
  </si>
  <si>
    <t>HPE</t>
  </si>
  <si>
    <t>STN</t>
  </si>
  <si>
    <t>RCI</t>
  </si>
  <si>
    <t>PHM</t>
  </si>
  <si>
    <t>PFE</t>
  </si>
  <si>
    <t>PRU</t>
  </si>
  <si>
    <t>ALE</t>
  </si>
  <si>
    <t>PFG</t>
  </si>
  <si>
    <t>NAVI</t>
  </si>
  <si>
    <t>WRK</t>
  </si>
  <si>
    <t>PDCO</t>
  </si>
  <si>
    <t>VIAC</t>
  </si>
  <si>
    <t>LRCX</t>
  </si>
  <si>
    <t>HUN</t>
  </si>
  <si>
    <t>SAXPY</t>
  </si>
  <si>
    <t>NLSN</t>
  </si>
  <si>
    <t>O</t>
  </si>
  <si>
    <t>APLE</t>
  </si>
  <si>
    <t>AEP</t>
  </si>
  <si>
    <t>COLD</t>
  </si>
  <si>
    <t>R</t>
  </si>
  <si>
    <t>MGA</t>
  </si>
  <si>
    <t>OKE</t>
  </si>
  <si>
    <t>CPB</t>
  </si>
  <si>
    <t>KSS</t>
  </si>
  <si>
    <t>BK</t>
  </si>
  <si>
    <t>ASML</t>
  </si>
  <si>
    <t>BMWYY</t>
  </si>
  <si>
    <t>KLAC</t>
  </si>
  <si>
    <t>CFG</t>
  </si>
  <si>
    <t>GOLD</t>
  </si>
  <si>
    <t>WFC</t>
  </si>
  <si>
    <t>GIS</t>
  </si>
  <si>
    <t>JPM</t>
  </si>
  <si>
    <t>KEY</t>
  </si>
  <si>
    <t>AON</t>
  </si>
  <si>
    <t>GE</t>
  </si>
  <si>
    <t>SO</t>
  </si>
  <si>
    <t>MA</t>
  </si>
  <si>
    <t>CUBE</t>
  </si>
  <si>
    <t>PKX</t>
  </si>
  <si>
    <t>ESRT</t>
  </si>
  <si>
    <t>BUD</t>
  </si>
  <si>
    <t>PNC</t>
  </si>
  <si>
    <t>PSB</t>
  </si>
  <si>
    <t>USB</t>
  </si>
  <si>
    <t>COP</t>
  </si>
  <si>
    <t>AGM</t>
  </si>
  <si>
    <t>HAL</t>
  </si>
  <si>
    <t>BWA</t>
  </si>
  <si>
    <t>WEC</t>
  </si>
  <si>
    <t>WPC</t>
  </si>
  <si>
    <t>HOG</t>
  </si>
  <si>
    <t>WY</t>
  </si>
  <si>
    <t>BAC</t>
  </si>
  <si>
    <t>NNN</t>
  </si>
  <si>
    <t>DUK</t>
  </si>
  <si>
    <t>GNTX</t>
  </si>
  <si>
    <t>MMC</t>
  </si>
  <si>
    <t>PACW</t>
  </si>
  <si>
    <t>GS</t>
  </si>
  <si>
    <t>CMA</t>
  </si>
  <si>
    <t>FITB</t>
  </si>
  <si>
    <t>OSK</t>
  </si>
  <si>
    <t>EAF</t>
  </si>
  <si>
    <t>STZ</t>
  </si>
  <si>
    <t>PAYX</t>
  </si>
  <si>
    <t>LOGI</t>
  </si>
  <si>
    <t>DLR</t>
  </si>
  <si>
    <t>PSA</t>
  </si>
  <si>
    <t>OLN</t>
  </si>
  <si>
    <t>DEO</t>
  </si>
  <si>
    <t>NSRGY</t>
  </si>
  <si>
    <t>ABB</t>
  </si>
  <si>
    <t>OGZPY</t>
  </si>
  <si>
    <t>MT</t>
  </si>
  <si>
    <t>OXY</t>
  </si>
  <si>
    <t>AVB</t>
  </si>
  <si>
    <t>STLD</t>
  </si>
  <si>
    <t>FCX</t>
  </si>
  <si>
    <t>CF</t>
  </si>
  <si>
    <t>FAST</t>
  </si>
  <si>
    <t>HNI</t>
  </si>
  <si>
    <t>INFY</t>
  </si>
  <si>
    <t>KLIC</t>
  </si>
  <si>
    <t>KSU</t>
  </si>
  <si>
    <t>APA</t>
  </si>
  <si>
    <t>RACE</t>
  </si>
  <si>
    <t>MRVL</t>
  </si>
  <si>
    <t>TER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</si>
  <si>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</si>
  <si>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</si>
  <si>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</si>
  <si>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</si>
  <si>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</si>
  <si>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</si>
  <si>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</si>
  <si>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</si>
  <si>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</si>
  <si>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</si>
  <si>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PAA</t>
  </si>
  <si>
    <t>ARLP</t>
  </si>
  <si>
    <t>PBR</t>
  </si>
  <si>
    <t>SNP</t>
  </si>
  <si>
    <t>PHG</t>
  </si>
  <si>
    <t>EOG</t>
  </si>
  <si>
    <t>ERIC</t>
  </si>
  <si>
    <t>GORO</t>
  </si>
  <si>
    <t>AVAL</t>
  </si>
  <si>
    <t>LUMN</t>
  </si>
  <si>
    <t>AZN</t>
  </si>
  <si>
    <t>ET</t>
  </si>
  <si>
    <t>KRC</t>
  </si>
  <si>
    <t>TPR</t>
  </si>
  <si>
    <t>UNIT</t>
  </si>
  <si>
    <t>PSX</t>
  </si>
  <si>
    <t>PGR</t>
  </si>
  <si>
    <t>OPI</t>
  </si>
  <si>
    <t>BAYRY</t>
  </si>
  <si>
    <t>MS</t>
  </si>
  <si>
    <t>SMFG</t>
  </si>
  <si>
    <t>TS</t>
  </si>
  <si>
    <t>PTR</t>
  </si>
  <si>
    <t>MED</t>
  </si>
  <si>
    <t>DOW</t>
  </si>
  <si>
    <t>HSBC</t>
  </si>
  <si>
    <t>NTR</t>
  </si>
  <si>
    <t>MFC</t>
  </si>
  <si>
    <t>SLG</t>
  </si>
  <si>
    <t>NYCB</t>
  </si>
  <si>
    <t>TGP</t>
  </si>
  <si>
    <t>HAS</t>
  </si>
  <si>
    <t>WSBC</t>
  </si>
  <si>
    <t>TAP</t>
  </si>
  <si>
    <t>SAFE</t>
  </si>
  <si>
    <t>BP</t>
  </si>
  <si>
    <t>TRST</t>
  </si>
  <si>
    <t>PGRE</t>
  </si>
  <si>
    <t>IMBBY</t>
  </si>
  <si>
    <t>WEN</t>
  </si>
  <si>
    <t>PETS</t>
  </si>
  <si>
    <t>DRI</t>
  </si>
  <si>
    <t>RDS.B</t>
  </si>
  <si>
    <t>RF</t>
  </si>
  <si>
    <t>BDN</t>
  </si>
  <si>
    <t>WASH</t>
  </si>
  <si>
    <t>ITUB</t>
  </si>
  <si>
    <t>D</t>
  </si>
  <si>
    <t>DD</t>
  </si>
  <si>
    <t>SPG</t>
  </si>
  <si>
    <t>VALE</t>
  </si>
  <si>
    <t>CAG</t>
  </si>
  <si>
    <t>WMB</t>
  </si>
  <si>
    <t>AMCR</t>
  </si>
  <si>
    <t>KMI</t>
  </si>
  <si>
    <t>IP</t>
  </si>
  <si>
    <t>RIO</t>
  </si>
  <si>
    <t>HIW</t>
  </si>
  <si>
    <t>DTEGY</t>
  </si>
  <si>
    <t>HASI</t>
  </si>
  <si>
    <t>BHP</t>
  </si>
  <si>
    <t>GEL</t>
  </si>
  <si>
    <t>PDM</t>
  </si>
  <si>
    <t>CNA</t>
  </si>
  <si>
    <t>OFC</t>
  </si>
  <si>
    <t>REG</t>
  </si>
  <si>
    <t>SUUIF</t>
  </si>
  <si>
    <t>EMRAF</t>
  </si>
  <si>
    <t>DEI</t>
  </si>
  <si>
    <t>WSR</t>
  </si>
  <si>
    <t>ABEV</t>
  </si>
  <si>
    <t>FRFHF</t>
  </si>
  <si>
    <t>NXRT</t>
  </si>
  <si>
    <t>CUZ</t>
  </si>
  <si>
    <t>ING</t>
  </si>
  <si>
    <t>FE</t>
  </si>
  <si>
    <t>NWL</t>
  </si>
  <si>
    <t>KHC</t>
  </si>
  <si>
    <t>ADC</t>
  </si>
  <si>
    <t>AKR</t>
  </si>
  <si>
    <t>NGG</t>
  </si>
  <si>
    <t>AGNC</t>
  </si>
  <si>
    <t>MPW</t>
  </si>
  <si>
    <t>INVH</t>
  </si>
  <si>
    <t>PCAR</t>
  </si>
  <si>
    <t>KRG</t>
  </si>
  <si>
    <t>CNP</t>
  </si>
  <si>
    <t>LMRK</t>
  </si>
  <si>
    <t>NSP</t>
  </si>
  <si>
    <t>GRMN</t>
  </si>
  <si>
    <t>SBS</t>
  </si>
  <si>
    <t>HBAN</t>
  </si>
  <si>
    <t>MCY</t>
  </si>
  <si>
    <t>UE</t>
  </si>
  <si>
    <t>DEA</t>
  </si>
  <si>
    <t>TJX</t>
  </si>
  <si>
    <t>NTAP</t>
  </si>
  <si>
    <t>BBD</t>
  </si>
  <si>
    <t>GLW</t>
  </si>
  <si>
    <t>BXP</t>
  </si>
  <si>
    <t>WPP</t>
  </si>
  <si>
    <t>KTB</t>
  </si>
  <si>
    <t>APO</t>
  </si>
  <si>
    <t>RPT</t>
  </si>
  <si>
    <t>ALV</t>
  </si>
  <si>
    <t>CAJ</t>
  </si>
  <si>
    <t>AES</t>
  </si>
  <si>
    <t>JNPR</t>
  </si>
  <si>
    <t>DOC</t>
  </si>
  <si>
    <t>HMC</t>
  </si>
  <si>
    <t>TU</t>
  </si>
  <si>
    <t>MPWR</t>
  </si>
  <si>
    <t>MAC</t>
  </si>
  <si>
    <t>CCI</t>
  </si>
  <si>
    <t>PSO</t>
  </si>
  <si>
    <t>SKT</t>
  </si>
  <si>
    <t>TSM</t>
  </si>
  <si>
    <t>RGA</t>
  </si>
  <si>
    <t>STX</t>
  </si>
  <si>
    <t>CODI</t>
  </si>
  <si>
    <t>AVGO</t>
  </si>
  <si>
    <t>UBS</t>
  </si>
  <si>
    <t>BRX</t>
  </si>
  <si>
    <t>TM</t>
  </si>
  <si>
    <t>CNQ</t>
  </si>
  <si>
    <t>PLD</t>
  </si>
  <si>
    <t>ARE</t>
  </si>
  <si>
    <t>SLB</t>
  </si>
  <si>
    <t>ELS</t>
  </si>
  <si>
    <t>DRE</t>
  </si>
  <si>
    <t>JCI</t>
  </si>
  <si>
    <t>CWEN</t>
  </si>
  <si>
    <t>EXPO</t>
  </si>
  <si>
    <t>TRGP</t>
  </si>
  <si>
    <t>TRSWF</t>
  </si>
  <si>
    <t>COR</t>
  </si>
  <si>
    <t>EXC</t>
  </si>
  <si>
    <t>WPM</t>
  </si>
  <si>
    <t>FR</t>
  </si>
  <si>
    <t>CMP</t>
  </si>
  <si>
    <t>AMH</t>
  </si>
  <si>
    <t>CME</t>
  </si>
  <si>
    <t>MAA</t>
  </si>
  <si>
    <t>KIM</t>
  </si>
  <si>
    <t>ACN</t>
  </si>
  <si>
    <t>ETN</t>
  </si>
  <si>
    <t>CPT</t>
  </si>
  <si>
    <t>SCHL</t>
  </si>
  <si>
    <t>ORAN</t>
  </si>
  <si>
    <t>IIPR</t>
  </si>
  <si>
    <t>OHI</t>
  </si>
  <si>
    <t>KNOP</t>
  </si>
  <si>
    <t>APAM</t>
  </si>
  <si>
    <t>SCCO</t>
  </si>
  <si>
    <t>PSXP</t>
  </si>
  <si>
    <t>DHT</t>
  </si>
  <si>
    <t>IEP</t>
  </si>
  <si>
    <t>CLPR</t>
  </si>
  <si>
    <t>GECC</t>
  </si>
  <si>
    <t>TEF</t>
  </si>
  <si>
    <t>SU</t>
  </si>
  <si>
    <t>EIFZF</t>
  </si>
  <si>
    <t>SBRA</t>
  </si>
  <si>
    <t>VICI</t>
  </si>
  <si>
    <t>LTC</t>
  </si>
  <si>
    <t>VGR</t>
  </si>
  <si>
    <t>TRP</t>
  </si>
  <si>
    <t>PINE</t>
  </si>
  <si>
    <t>CQP</t>
  </si>
  <si>
    <t>CORR</t>
  </si>
  <si>
    <t>TWO</t>
  </si>
  <si>
    <t>MGP</t>
  </si>
  <si>
    <t>USAC</t>
  </si>
  <si>
    <t>NEWT</t>
  </si>
  <si>
    <t>ORC</t>
  </si>
  <si>
    <t>EFC</t>
  </si>
  <si>
    <t>CTO</t>
  </si>
  <si>
    <t>EPR</t>
  </si>
  <si>
    <t>NYMT</t>
  </si>
  <si>
    <t>QSR</t>
  </si>
  <si>
    <t>CTRE</t>
  </si>
  <si>
    <t>AAT</t>
  </si>
  <si>
    <t>EPRT</t>
  </si>
  <si>
    <t>CWCO</t>
  </si>
  <si>
    <t>SRC</t>
  </si>
  <si>
    <t>NTST</t>
  </si>
  <si>
    <t>AFIN</t>
  </si>
  <si>
    <t>AQN</t>
  </si>
  <si>
    <t>FCPT</t>
  </si>
  <si>
    <t>VOD</t>
  </si>
  <si>
    <t>ORCC</t>
  </si>
  <si>
    <t>SFL</t>
  </si>
  <si>
    <t>GNL</t>
  </si>
  <si>
    <t>HR</t>
  </si>
  <si>
    <t>GSBD</t>
  </si>
  <si>
    <t>ACRE</t>
  </si>
  <si>
    <t>KREF</t>
  </si>
  <si>
    <t>ILPT</t>
  </si>
  <si>
    <t>CBRL</t>
  </si>
  <si>
    <t>VST</t>
  </si>
  <si>
    <t>WSO</t>
  </si>
  <si>
    <t>IDEXY</t>
  </si>
  <si>
    <t>PMT</t>
  </si>
  <si>
    <t>CHCT</t>
  </si>
  <si>
    <t>BEP</t>
  </si>
  <si>
    <t>NRZ</t>
  </si>
  <si>
    <t>NLY</t>
  </si>
  <si>
    <t>SSREY</t>
  </si>
  <si>
    <t>UMH</t>
  </si>
  <si>
    <t>MRCC</t>
  </si>
  <si>
    <t>VTR</t>
  </si>
  <si>
    <t>E</t>
  </si>
  <si>
    <t>SACH</t>
  </si>
  <si>
    <t>GBDC</t>
  </si>
  <si>
    <t>EXR</t>
  </si>
  <si>
    <t>NMFC</t>
  </si>
  <si>
    <t>VNO</t>
  </si>
  <si>
    <t>EIC</t>
  </si>
  <si>
    <t>HRZN</t>
  </si>
  <si>
    <t>TSLX</t>
  </si>
  <si>
    <t>BRMK</t>
  </si>
  <si>
    <t>STWD</t>
  </si>
  <si>
    <t>FDUS</t>
  </si>
  <si>
    <t>CRT</t>
  </si>
  <si>
    <t>AM</t>
  </si>
  <si>
    <t>PFLT</t>
  </si>
  <si>
    <t>ARR</t>
  </si>
  <si>
    <t>VIA</t>
  </si>
  <si>
    <t>NEM</t>
  </si>
  <si>
    <t>VLO</t>
  </si>
  <si>
    <t>CSWC</t>
  </si>
  <si>
    <t>BFS</t>
  </si>
  <si>
    <t>TPVG</t>
  </si>
  <si>
    <t>UBP</t>
  </si>
  <si>
    <t>LWSCF</t>
  </si>
  <si>
    <t>DANOY</t>
  </si>
  <si>
    <t>GSK</t>
  </si>
  <si>
    <t>SUNS</t>
  </si>
  <si>
    <t>GMRE</t>
  </si>
  <si>
    <t>GLPI</t>
  </si>
  <si>
    <t>STOR</t>
  </si>
  <si>
    <t>ARI</t>
  </si>
  <si>
    <t>PBA</t>
  </si>
  <si>
    <t>DX</t>
  </si>
  <si>
    <t>MAIN</t>
  </si>
  <si>
    <t>NSA</t>
  </si>
  <si>
    <t>XRX</t>
  </si>
  <si>
    <t>GOOD</t>
  </si>
  <si>
    <t>SCM</t>
  </si>
  <si>
    <t>ARCC</t>
  </si>
  <si>
    <t>BX</t>
  </si>
  <si>
    <t>BGS</t>
  </si>
  <si>
    <t>CIM</t>
  </si>
  <si>
    <t>HTA</t>
  </si>
  <si>
    <t>APTS</t>
  </si>
  <si>
    <t>HTGC</t>
  </si>
  <si>
    <t>GWRS</t>
  </si>
  <si>
    <t>SJT</t>
  </si>
  <si>
    <t>OXSQ</t>
  </si>
  <si>
    <t>MNR</t>
  </si>
  <si>
    <t>BXMT</t>
  </si>
  <si>
    <t>PRT</t>
  </si>
  <si>
    <t>SBR</t>
  </si>
  <si>
    <t>BCE</t>
  </si>
  <si>
    <t>PSEC</t>
  </si>
  <si>
    <t>ACC</t>
  </si>
  <si>
    <t>LADR</t>
  </si>
  <si>
    <t>IRT</t>
  </si>
  <si>
    <t>OLP</t>
  </si>
  <si>
    <t>LSI</t>
  </si>
  <si>
    <t>EVA</t>
  </si>
  <si>
    <t>IRM</t>
  </si>
  <si>
    <t>EQR</t>
  </si>
  <si>
    <t>PEAK</t>
  </si>
  <si>
    <t>SJR</t>
  </si>
  <si>
    <t>PLYM</t>
  </si>
  <si>
    <t>EGP</t>
  </si>
  <si>
    <t>BKR</t>
  </si>
  <si>
    <t>GAIN</t>
  </si>
  <si>
    <t>STAG</t>
  </si>
  <si>
    <t>ABR</t>
  </si>
  <si>
    <t>DREUF</t>
  </si>
  <si>
    <t>UDR</t>
  </si>
  <si>
    <t>UBA</t>
  </si>
  <si>
    <t>GLAD</t>
  </si>
  <si>
    <t>LXP</t>
  </si>
  <si>
    <t>PPRQF</t>
  </si>
  <si>
    <t>MPC</t>
  </si>
  <si>
    <t>HP</t>
  </si>
  <si>
    <t>DRETF</t>
  </si>
  <si>
    <t>WELL</t>
  </si>
  <si>
    <t>LAMR</t>
  </si>
  <si>
    <t>AB</t>
  </si>
  <si>
    <t>GROW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</si>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</sst>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59.44</v>
      </c>
      <c r="D2">
        <v>70</v>
      </c>
      <c r="E2">
        <v>0.8491428571428571</v>
      </c>
      <c r="F2">
        <v>0.004542395693135936</v>
      </c>
      <c r="G2">
        <v>0.03324627402276681</v>
      </c>
      <c r="H2">
        <v>0.15</v>
      </c>
      <c r="I2">
        <v>0.1923079524990281</v>
      </c>
      <c r="J2" t="s">
        <v>780</v>
      </c>
      <c r="K2" t="s">
        <v>350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-0.208943305829119</v>
      </c>
      <c r="R2" t="s">
        <v>784</v>
      </c>
      <c r="S2" t="s">
        <v>788</v>
      </c>
      <c r="T2">
        <v>570850.1034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56.37</v>
      </c>
      <c r="D3">
        <v>101</v>
      </c>
      <c r="E3">
        <v>0.5581188118811881</v>
      </c>
      <c r="F3">
        <v>0.03477026787298208</v>
      </c>
      <c r="G3">
        <v>0.1237110921174869</v>
      </c>
      <c r="H3">
        <v>0.03</v>
      </c>
      <c r="I3">
        <v>0.1790712131152046</v>
      </c>
      <c r="J3" t="s">
        <v>780</v>
      </c>
      <c r="K3" t="s">
        <v>780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-0.042397201271593</v>
      </c>
      <c r="R3" t="s">
        <v>784</v>
      </c>
      <c r="S3" t="s">
        <v>789</v>
      </c>
      <c r="T3">
        <v>125099.188537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HYPERLINK("https://www.suredividend.com/sure-analysis-PII/","Polaris Inc")</f>
        <v>0</v>
      </c>
      <c r="C4">
        <v>106.43</v>
      </c>
      <c r="D4">
        <v>144</v>
      </c>
      <c r="E4">
        <v>0.7390972222222223</v>
      </c>
      <c r="F4">
        <v>0.02367753452973785</v>
      </c>
      <c r="G4">
        <v>0.06233058692637528</v>
      </c>
      <c r="H4">
        <v>0.05</v>
      </c>
      <c r="I4">
        <v>0.133399634721054</v>
      </c>
      <c r="J4" t="s">
        <v>780</v>
      </c>
      <c r="K4" t="s">
        <v>781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0.157454231456045</v>
      </c>
      <c r="R4" t="s">
        <v>784</v>
      </c>
      <c r="S4" t="s">
        <v>790</v>
      </c>
      <c r="T4">
        <v>6458.359823</v>
      </c>
      <c r="U4" s="2">
        <v>44496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162.48</v>
      </c>
      <c r="D5">
        <v>174</v>
      </c>
      <c r="E5">
        <v>0.9337931034482758</v>
      </c>
      <c r="F5">
        <v>0.0137863121614968</v>
      </c>
      <c r="G5">
        <v>0.01379435247288496</v>
      </c>
      <c r="H5">
        <v>0.1</v>
      </c>
      <c r="I5">
        <v>0.1265756356239824</v>
      </c>
      <c r="J5" t="s">
        <v>780</v>
      </c>
      <c r="K5" t="s">
        <v>350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0.181262077619562</v>
      </c>
      <c r="R5" t="s">
        <v>784</v>
      </c>
      <c r="S5" t="s">
        <v>791</v>
      </c>
      <c r="T5">
        <v>26872.120867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45.59</v>
      </c>
      <c r="D6">
        <v>61</v>
      </c>
      <c r="E6">
        <v>0.7473770491803279</v>
      </c>
      <c r="F6">
        <v>0.01667032243913139</v>
      </c>
      <c r="G6">
        <v>0.05996627755398154</v>
      </c>
      <c r="H6">
        <v>0.05</v>
      </c>
      <c r="I6">
        <v>0.1245929500584164</v>
      </c>
      <c r="J6" t="s">
        <v>780</v>
      </c>
      <c r="K6" t="s">
        <v>781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0.152747955882985</v>
      </c>
      <c r="R6" t="s">
        <v>784</v>
      </c>
      <c r="S6" t="s">
        <v>792</v>
      </c>
      <c r="T6">
        <v>3064.850979</v>
      </c>
      <c r="U6" s="2">
        <v>44453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59.03</v>
      </c>
      <c r="D7">
        <v>64</v>
      </c>
      <c r="E7">
        <v>0.92234375</v>
      </c>
      <c r="F7">
        <v>0.01490767406403524</v>
      </c>
      <c r="G7">
        <v>0.01629885936632647</v>
      </c>
      <c r="H7">
        <v>0.09</v>
      </c>
      <c r="I7">
        <v>0.1200179486515356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0.08067528472552801</v>
      </c>
      <c r="R7" t="s">
        <v>784</v>
      </c>
      <c r="S7" t="s">
        <v>792</v>
      </c>
      <c r="T7">
        <v>7290.860883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HYPERLINK("https://www.suredividend.com/sure-analysis-UNM/","Unum Group")</f>
        <v>0</v>
      </c>
      <c r="C8">
        <v>24.01</v>
      </c>
      <c r="D8">
        <v>32</v>
      </c>
      <c r="E8">
        <v>0.7503125</v>
      </c>
      <c r="F8">
        <v>0.04997917534360682</v>
      </c>
      <c r="G8">
        <v>0.05913559445581429</v>
      </c>
      <c r="H8">
        <v>0.02</v>
      </c>
      <c r="I8">
        <v>0.1166565992091024</v>
      </c>
      <c r="J8" t="s">
        <v>780</v>
      </c>
      <c r="K8" t="s">
        <v>780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0.077740022712888</v>
      </c>
      <c r="R8" t="s">
        <v>784</v>
      </c>
      <c r="S8" t="s">
        <v>793</v>
      </c>
      <c r="T8">
        <v>4908.923901</v>
      </c>
      <c r="U8" s="2">
        <v>44503</v>
      </c>
      <c r="V8" t="s">
        <v>801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98.15000000000001</v>
      </c>
      <c r="D9">
        <v>128</v>
      </c>
      <c r="E9">
        <v>0.766796875</v>
      </c>
      <c r="F9">
        <v>0.01426388181355069</v>
      </c>
      <c r="G9">
        <v>0.05454212569394312</v>
      </c>
      <c r="H9">
        <v>0.045</v>
      </c>
      <c r="I9">
        <v>0.1143213498699447</v>
      </c>
      <c r="J9" t="s">
        <v>780</v>
      </c>
      <c r="K9" t="s">
        <v>350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-0.09148971620045501</v>
      </c>
      <c r="R9" t="s">
        <v>784</v>
      </c>
      <c r="S9" t="s">
        <v>794</v>
      </c>
      <c r="T9">
        <v>6442.300112</v>
      </c>
      <c r="U9" s="2">
        <v>44508</v>
      </c>
      <c r="V9" t="s">
        <v>805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63.46</v>
      </c>
      <c r="D10">
        <v>74</v>
      </c>
      <c r="E10">
        <v>0.8575675675675676</v>
      </c>
      <c r="F10">
        <v>0.02332177749763631</v>
      </c>
      <c r="G10">
        <v>0.03120813492860064</v>
      </c>
      <c r="H10">
        <v>0.06</v>
      </c>
      <c r="I10">
        <v>0.1104158965297553</v>
      </c>
      <c r="J10" t="s">
        <v>780</v>
      </c>
      <c r="K10" t="s">
        <v>780</v>
      </c>
      <c r="L10">
        <v>4.9</v>
      </c>
      <c r="M10">
        <v>1.48</v>
      </c>
      <c r="N10">
        <v>0.3020408163265306</v>
      </c>
      <c r="O10">
        <v>46</v>
      </c>
      <c r="P10">
        <v>0.03051269507716325</v>
      </c>
      <c r="Q10">
        <v>0.304669668743445</v>
      </c>
      <c r="R10" t="s">
        <v>784</v>
      </c>
      <c r="S10" t="s">
        <v>795</v>
      </c>
      <c r="T10">
        <v>35496.547947</v>
      </c>
      <c r="U10" s="2">
        <v>44507</v>
      </c>
      <c r="V10" t="s">
        <v>802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246.28</v>
      </c>
      <c r="D11">
        <v>296</v>
      </c>
      <c r="E11">
        <v>0.832027027027027</v>
      </c>
      <c r="F11">
        <v>0.01218125710573331</v>
      </c>
      <c r="G11">
        <v>0.03746275206714644</v>
      </c>
      <c r="H11">
        <v>0.06</v>
      </c>
      <c r="I11">
        <v>0.1094814683073335</v>
      </c>
      <c r="J11" t="s">
        <v>780</v>
      </c>
      <c r="K11" t="s">
        <v>350</v>
      </c>
      <c r="L11">
        <v>20.4</v>
      </c>
      <c r="M11">
        <v>3</v>
      </c>
      <c r="N11">
        <v>0.1470588235294118</v>
      </c>
      <c r="O11">
        <v>1</v>
      </c>
      <c r="P11">
        <v>0.05975292415044642</v>
      </c>
      <c r="Q11">
        <v>-0.139827609270498</v>
      </c>
      <c r="R11" t="s">
        <v>784</v>
      </c>
      <c r="S11" t="s">
        <v>792</v>
      </c>
      <c r="T11">
        <v>65424.295792</v>
      </c>
      <c r="U11" s="2">
        <v>44464</v>
      </c>
      <c r="V11" t="s">
        <v>799</v>
      </c>
    </row>
    <row r="12" spans="1:22">
      <c r="A12" s="1" t="s">
        <v>32</v>
      </c>
      <c r="B12">
        <f>HYPERLINK("https://www.suredividend.com/sure-analysis-BBY/","Best Buy Co. Inc.")</f>
        <v>0</v>
      </c>
      <c r="C12">
        <v>103.84</v>
      </c>
      <c r="D12">
        <v>116</v>
      </c>
      <c r="E12">
        <v>0.8951724137931035</v>
      </c>
      <c r="F12">
        <v>0.02696456086286594</v>
      </c>
      <c r="G12">
        <v>0.02239487062080392</v>
      </c>
      <c r="H12">
        <v>0.06</v>
      </c>
      <c r="I12">
        <v>0.1074343496291428</v>
      </c>
      <c r="J12" t="s">
        <v>780</v>
      </c>
      <c r="K12" t="s">
        <v>781</v>
      </c>
      <c r="L12">
        <v>9.69</v>
      </c>
      <c r="M12">
        <v>2.8</v>
      </c>
      <c r="N12">
        <v>0.2889576883384933</v>
      </c>
      <c r="O12">
        <v>18</v>
      </c>
      <c r="P12">
        <v>0.07978367728709435</v>
      </c>
      <c r="Q12">
        <v>0.057263518502111</v>
      </c>
      <c r="R12" t="s">
        <v>784</v>
      </c>
      <c r="S12" t="s">
        <v>790</v>
      </c>
      <c r="T12">
        <v>24975.03243</v>
      </c>
      <c r="U12" s="2">
        <v>44452</v>
      </c>
      <c r="V12" t="s">
        <v>806</v>
      </c>
    </row>
    <row r="13" spans="1:22">
      <c r="A13" s="1" t="s">
        <v>33</v>
      </c>
      <c r="B13">
        <f>HYPERLINK("https://www.suredividend.com/sure-analysis-SLGN/","Silgan Holdings Inc.")</f>
        <v>0</v>
      </c>
      <c r="C13">
        <v>42.16</v>
      </c>
      <c r="D13">
        <v>43</v>
      </c>
      <c r="E13">
        <v>0.9804651162790697</v>
      </c>
      <c r="F13">
        <v>0.01328273244781784</v>
      </c>
      <c r="G13">
        <v>0.003953436586433989</v>
      </c>
      <c r="H13">
        <v>0.09</v>
      </c>
      <c r="I13">
        <v>0.106460419305304</v>
      </c>
      <c r="J13" t="s">
        <v>780</v>
      </c>
      <c r="K13" t="s">
        <v>350</v>
      </c>
      <c r="L13">
        <v>3.06</v>
      </c>
      <c r="M13">
        <v>0.5600000000000001</v>
      </c>
      <c r="N13">
        <v>0.1830065359477124</v>
      </c>
      <c r="O13">
        <v>17</v>
      </c>
      <c r="P13">
        <v>0.09953965407958165</v>
      </c>
      <c r="Q13">
        <v>0.204330562458936</v>
      </c>
      <c r="R13" t="s">
        <v>784</v>
      </c>
      <c r="S13" t="s">
        <v>794</v>
      </c>
      <c r="T13">
        <v>4654.895255</v>
      </c>
      <c r="U13" s="2">
        <v>44500</v>
      </c>
      <c r="V13" t="s">
        <v>799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95.75</v>
      </c>
      <c r="D14">
        <v>104</v>
      </c>
      <c r="E14">
        <v>0.9206730769230769</v>
      </c>
      <c r="F14">
        <v>0.02840731070496084</v>
      </c>
      <c r="G14">
        <v>0.0166674314696158</v>
      </c>
      <c r="H14">
        <v>0.06</v>
      </c>
      <c r="I14">
        <v>0.103138066789489</v>
      </c>
      <c r="J14" t="s">
        <v>780</v>
      </c>
      <c r="K14" t="s">
        <v>780</v>
      </c>
      <c r="L14">
        <v>5.45</v>
      </c>
      <c r="M14">
        <v>2.72</v>
      </c>
      <c r="N14">
        <v>0.4990825688073395</v>
      </c>
      <c r="O14">
        <v>38</v>
      </c>
      <c r="P14">
        <v>0.0801851873035635</v>
      </c>
      <c r="Q14">
        <v>-0.014655633773825</v>
      </c>
      <c r="R14" t="s">
        <v>784</v>
      </c>
      <c r="S14" t="s">
        <v>796</v>
      </c>
      <c r="T14">
        <v>12678.44772</v>
      </c>
      <c r="U14" s="2">
        <v>44524</v>
      </c>
      <c r="V14" t="s">
        <v>804</v>
      </c>
    </row>
    <row r="15" spans="1:22">
      <c r="A15" s="1" t="s">
        <v>35</v>
      </c>
      <c r="B15">
        <f>HYPERLINK("https://www.suredividend.com/sure-analysis-WBA/","Walgreens Boots Alliance Inc")</f>
        <v>0</v>
      </c>
      <c r="C15">
        <v>49.5</v>
      </c>
      <c r="D15">
        <v>54</v>
      </c>
      <c r="E15">
        <v>0.9166666666666666</v>
      </c>
      <c r="F15">
        <v>0.03858585858585858</v>
      </c>
      <c r="G15">
        <v>0.01755457717558762</v>
      </c>
      <c r="H15">
        <v>0.05</v>
      </c>
      <c r="I15">
        <v>0.1007911445505201</v>
      </c>
      <c r="J15" t="s">
        <v>780</v>
      </c>
      <c r="K15" t="s">
        <v>780</v>
      </c>
      <c r="L15">
        <v>5.35</v>
      </c>
      <c r="M15">
        <v>1.91</v>
      </c>
      <c r="N15">
        <v>0.3570093457943925</v>
      </c>
      <c r="O15">
        <v>46</v>
      </c>
      <c r="P15">
        <v>0.0501982537579746</v>
      </c>
      <c r="Q15">
        <v>0.237379355512837</v>
      </c>
      <c r="R15" t="s">
        <v>784</v>
      </c>
      <c r="S15" t="s">
        <v>789</v>
      </c>
      <c r="T15">
        <v>42847.811721</v>
      </c>
      <c r="U15" s="2">
        <v>44483</v>
      </c>
      <c r="V15" t="s">
        <v>801</v>
      </c>
    </row>
    <row r="16" spans="1:22">
      <c r="A16" s="1" t="s">
        <v>36</v>
      </c>
      <c r="B16">
        <f>HYPERLINK("https://www.suredividend.com/sure-analysis-NOC/","Northrop Grumman Corp.")</f>
        <v>0</v>
      </c>
      <c r="C16">
        <v>371.06</v>
      </c>
      <c r="D16">
        <v>381</v>
      </c>
      <c r="E16">
        <v>0.9739107611548556</v>
      </c>
      <c r="F16">
        <v>0.01692448660593974</v>
      </c>
      <c r="G16">
        <v>0.005301121590066904</v>
      </c>
      <c r="H16">
        <v>0.08</v>
      </c>
      <c r="I16">
        <v>0.1007407761770616</v>
      </c>
      <c r="J16" t="s">
        <v>780</v>
      </c>
      <c r="K16" t="s">
        <v>781</v>
      </c>
      <c r="L16">
        <v>25.4</v>
      </c>
      <c r="M16">
        <v>6.28</v>
      </c>
      <c r="N16">
        <v>0.247244094488189</v>
      </c>
      <c r="O16">
        <v>18</v>
      </c>
      <c r="P16">
        <v>0.0800613160089807</v>
      </c>
      <c r="Q16">
        <v>0.25111435696377</v>
      </c>
      <c r="R16" t="s">
        <v>784</v>
      </c>
      <c r="S16" t="s">
        <v>792</v>
      </c>
      <c r="T16">
        <v>58826.977812</v>
      </c>
      <c r="U16" s="2">
        <v>44504</v>
      </c>
      <c r="V16" t="s">
        <v>806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244.98</v>
      </c>
      <c r="D17">
        <v>231</v>
      </c>
      <c r="E17">
        <v>1.06051948051948</v>
      </c>
      <c r="F17">
        <v>0.0142052412441832</v>
      </c>
      <c r="G17">
        <v>-0.01168299042744825</v>
      </c>
      <c r="H17">
        <v>0.1</v>
      </c>
      <c r="I17">
        <v>0.1004697852770591</v>
      </c>
      <c r="J17" t="s">
        <v>780</v>
      </c>
      <c r="K17" t="s">
        <v>781</v>
      </c>
      <c r="L17">
        <v>12.4</v>
      </c>
      <c r="M17">
        <v>3.48</v>
      </c>
      <c r="N17">
        <v>0.2806451612903226</v>
      </c>
      <c r="O17">
        <v>50</v>
      </c>
      <c r="P17">
        <v>0.09982036375468772</v>
      </c>
      <c r="Q17">
        <v>0.023226322775964</v>
      </c>
      <c r="R17" t="s">
        <v>784</v>
      </c>
      <c r="S17" t="s">
        <v>789</v>
      </c>
      <c r="T17">
        <v>69577.25688299999</v>
      </c>
      <c r="U17" s="2">
        <v>44507</v>
      </c>
      <c r="V17" t="s">
        <v>800</v>
      </c>
    </row>
    <row r="18" spans="1:22">
      <c r="A18" s="1" t="s">
        <v>38</v>
      </c>
      <c r="B18">
        <f>HYPERLINK("https://www.suredividend.com/sure-analysis-CAH/","Cardinal Health, Inc.")</f>
        <v>0</v>
      </c>
      <c r="C18">
        <v>48.5</v>
      </c>
      <c r="D18">
        <v>58</v>
      </c>
      <c r="E18">
        <v>0.8362068965517241</v>
      </c>
      <c r="F18">
        <v>0.04041237113402062</v>
      </c>
      <c r="G18">
        <v>0.03642349837162251</v>
      </c>
      <c r="H18">
        <v>0.03</v>
      </c>
      <c r="I18">
        <v>0.1004378063045277</v>
      </c>
      <c r="J18" t="s">
        <v>780</v>
      </c>
      <c r="K18" t="s">
        <v>780</v>
      </c>
      <c r="L18">
        <v>5.75</v>
      </c>
      <c r="M18">
        <v>1.96</v>
      </c>
      <c r="N18">
        <v>0.3408695652173913</v>
      </c>
      <c r="O18">
        <v>34</v>
      </c>
      <c r="P18">
        <v>0.03959498820755258</v>
      </c>
      <c r="Q18">
        <v>-0.074752516810538</v>
      </c>
      <c r="R18" t="s">
        <v>784</v>
      </c>
      <c r="S18" t="s">
        <v>789</v>
      </c>
      <c r="T18">
        <v>13663.900217</v>
      </c>
      <c r="U18" s="2">
        <v>44511</v>
      </c>
      <c r="V18" t="s">
        <v>801</v>
      </c>
    </row>
    <row r="19" spans="1:22">
      <c r="A19" s="1" t="s">
        <v>39</v>
      </c>
      <c r="B19">
        <f>HYPERLINK("https://www.suredividend.com/sure-analysis-FMS/","Fresenius Medical Care AG &amp; Co. KGaA")</f>
        <v>0</v>
      </c>
      <c r="C19">
        <v>30.5</v>
      </c>
      <c r="D19">
        <v>33</v>
      </c>
      <c r="E19">
        <v>0.9242424242424242</v>
      </c>
      <c r="F19">
        <v>0.02688524590163934</v>
      </c>
      <c r="G19">
        <v>0.01588095861135153</v>
      </c>
      <c r="H19">
        <v>0.06</v>
      </c>
      <c r="I19">
        <v>0.09976717045814842</v>
      </c>
      <c r="J19" t="s">
        <v>780</v>
      </c>
      <c r="K19" t="s">
        <v>781</v>
      </c>
      <c r="L19">
        <v>2.04</v>
      </c>
      <c r="M19">
        <v>0.82</v>
      </c>
      <c r="N19">
        <v>0.4019607843137254</v>
      </c>
      <c r="O19">
        <v>24</v>
      </c>
      <c r="P19">
        <v>0.06051243834129849</v>
      </c>
      <c r="Q19">
        <v>-0.238935358179635</v>
      </c>
      <c r="R19" t="s">
        <v>784</v>
      </c>
      <c r="S19" t="s">
        <v>789</v>
      </c>
      <c r="T19">
        <v>17866.786865</v>
      </c>
      <c r="U19" s="2">
        <v>44503</v>
      </c>
      <c r="V19" t="s">
        <v>800</v>
      </c>
    </row>
    <row r="20" spans="1:22">
      <c r="A20" s="1" t="s">
        <v>40</v>
      </c>
      <c r="B20">
        <f>HYPERLINK("https://www.suredividend.com/sure-analysis-SKM/","SK Telecom Co Ltd")</f>
        <v>0</v>
      </c>
      <c r="C20">
        <v>44.42</v>
      </c>
      <c r="D20">
        <v>49.4</v>
      </c>
      <c r="E20">
        <v>0.8991902834008098</v>
      </c>
      <c r="F20">
        <v>0.03714542998649257</v>
      </c>
      <c r="G20">
        <v>0.02147955577077143</v>
      </c>
      <c r="H20">
        <v>0.05</v>
      </c>
      <c r="I20">
        <v>0.09925926654475936</v>
      </c>
      <c r="J20" t="s">
        <v>780</v>
      </c>
      <c r="K20" t="s">
        <v>780</v>
      </c>
      <c r="L20">
        <v>18.11</v>
      </c>
      <c r="M20">
        <v>1.65</v>
      </c>
      <c r="N20">
        <v>0.09110988404196577</v>
      </c>
      <c r="O20">
        <v>0</v>
      </c>
      <c r="P20">
        <v>0</v>
      </c>
      <c r="Q20">
        <v>0.148474302822837</v>
      </c>
      <c r="R20" t="s">
        <v>784</v>
      </c>
      <c r="S20" t="s">
        <v>788</v>
      </c>
      <c r="T20">
        <v>28808.203969</v>
      </c>
      <c r="U20" s="2">
        <v>44515</v>
      </c>
      <c r="V20" t="s">
        <v>805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67.20999999999999</v>
      </c>
      <c r="D21">
        <v>74</v>
      </c>
      <c r="E21">
        <v>0.9082432432432431</v>
      </c>
      <c r="F21">
        <v>0.02142538312751079</v>
      </c>
      <c r="G21">
        <v>0.01943505829958858</v>
      </c>
      <c r="H21">
        <v>0.06</v>
      </c>
      <c r="I21">
        <v>0.0987757538826608</v>
      </c>
      <c r="J21" t="s">
        <v>780</v>
      </c>
      <c r="K21" t="s">
        <v>781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0.178622409433187</v>
      </c>
      <c r="R21" t="s">
        <v>784</v>
      </c>
      <c r="S21" t="s">
        <v>793</v>
      </c>
      <c r="T21">
        <v>2189.178705</v>
      </c>
      <c r="U21" s="2">
        <v>44492</v>
      </c>
      <c r="V21" t="s">
        <v>802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28.58</v>
      </c>
      <c r="D22">
        <v>32</v>
      </c>
      <c r="E22">
        <v>0.8931249999999999</v>
      </c>
      <c r="F22">
        <v>0.0304408677396781</v>
      </c>
      <c r="G22">
        <v>0.02286319219778798</v>
      </c>
      <c r="H22">
        <v>0.05</v>
      </c>
      <c r="I22">
        <v>0.09753894344673131</v>
      </c>
      <c r="J22" t="s">
        <v>780</v>
      </c>
      <c r="K22" t="s">
        <v>780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0.185744513131145</v>
      </c>
      <c r="R22" t="s">
        <v>784</v>
      </c>
      <c r="S22" t="s">
        <v>794</v>
      </c>
      <c r="T22">
        <v>5785.475979</v>
      </c>
      <c r="U22" s="2">
        <v>44524</v>
      </c>
      <c r="V22" t="s">
        <v>804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260.2</v>
      </c>
      <c r="D23">
        <v>223</v>
      </c>
      <c r="E23">
        <v>1.166816143497758</v>
      </c>
      <c r="F23">
        <v>0.01068408916218294</v>
      </c>
      <c r="G23">
        <v>-0.03038457863813437</v>
      </c>
      <c r="H23">
        <v>0.12</v>
      </c>
      <c r="I23">
        <v>0.09604354281012073</v>
      </c>
      <c r="J23" t="s">
        <v>780</v>
      </c>
      <c r="K23" t="s">
        <v>350</v>
      </c>
      <c r="L23">
        <v>9.119999999999999</v>
      </c>
      <c r="M23">
        <v>2.78</v>
      </c>
      <c r="N23">
        <v>0.3048245614035088</v>
      </c>
      <c r="O23">
        <v>28</v>
      </c>
      <c r="P23">
        <v>0.09816509304403764</v>
      </c>
      <c r="Q23">
        <v>0.131851573456384</v>
      </c>
      <c r="R23" t="s">
        <v>784</v>
      </c>
      <c r="S23" t="s">
        <v>789</v>
      </c>
      <c r="T23">
        <v>98120.449974</v>
      </c>
      <c r="U23" s="2">
        <v>44500</v>
      </c>
      <c r="V23" t="s">
        <v>800</v>
      </c>
    </row>
    <row r="24" spans="1:22">
      <c r="A24" s="1" t="s">
        <v>44</v>
      </c>
      <c r="B24">
        <f>HYPERLINK("https://www.suredividend.com/sure-analysis-LEG/","Leggett &amp; Platt, Inc.")</f>
        <v>0</v>
      </c>
      <c r="C24">
        <v>41.81</v>
      </c>
      <c r="D24">
        <v>44</v>
      </c>
      <c r="E24">
        <v>0.9502272727272728</v>
      </c>
      <c r="F24">
        <v>0.04018177469504903</v>
      </c>
      <c r="G24">
        <v>0.01026312599430113</v>
      </c>
      <c r="H24">
        <v>0.05</v>
      </c>
      <c r="I24">
        <v>0.09429879271042241</v>
      </c>
      <c r="J24" t="s">
        <v>780</v>
      </c>
      <c r="K24" t="s">
        <v>780</v>
      </c>
      <c r="L24">
        <v>2.75</v>
      </c>
      <c r="M24">
        <v>1.68</v>
      </c>
      <c r="N24">
        <v>0.6109090909090908</v>
      </c>
      <c r="O24">
        <v>48</v>
      </c>
      <c r="P24">
        <v>0.03959498820755258</v>
      </c>
      <c r="Q24">
        <v>0.05140598202475401</v>
      </c>
      <c r="R24" t="s">
        <v>784</v>
      </c>
      <c r="S24" t="s">
        <v>790</v>
      </c>
      <c r="T24">
        <v>5576.500648</v>
      </c>
      <c r="U24" s="2">
        <v>44506</v>
      </c>
      <c r="V24" t="s">
        <v>803</v>
      </c>
    </row>
    <row r="25" spans="1:22">
      <c r="A25" s="1" t="s">
        <v>45</v>
      </c>
      <c r="B25">
        <f>HYPERLINK("https://www.suredividend.com/sure-analysis-PH/","Parker-Hannifin Corp.")</f>
        <v>0</v>
      </c>
      <c r="C25">
        <v>318.93</v>
      </c>
      <c r="D25">
        <v>289</v>
      </c>
      <c r="E25">
        <v>1.10356401384083</v>
      </c>
      <c r="F25">
        <v>0.012918195215251</v>
      </c>
      <c r="G25">
        <v>-0.01951603852062844</v>
      </c>
      <c r="H25">
        <v>0.1</v>
      </c>
      <c r="I25">
        <v>0.0910662757188847</v>
      </c>
      <c r="J25" t="s">
        <v>780</v>
      </c>
      <c r="K25" t="s">
        <v>781</v>
      </c>
      <c r="L25">
        <v>17.5</v>
      </c>
      <c r="M25">
        <v>4.12</v>
      </c>
      <c r="N25">
        <v>0.2354285714285714</v>
      </c>
      <c r="O25">
        <v>65</v>
      </c>
      <c r="P25">
        <v>0.10015574926841</v>
      </c>
      <c r="Q25">
        <v>0.176243228201808</v>
      </c>
      <c r="R25" t="s">
        <v>784</v>
      </c>
      <c r="S25" t="s">
        <v>792</v>
      </c>
      <c r="T25">
        <v>40987.27396</v>
      </c>
      <c r="U25" s="2">
        <v>44508</v>
      </c>
      <c r="V25" t="s">
        <v>807</v>
      </c>
    </row>
    <row r="26" spans="1:22">
      <c r="A26" s="1" t="s">
        <v>46</v>
      </c>
      <c r="B26">
        <f>HYPERLINK("https://www.suredividend.com/sure-analysis-EFSI/","Eagle Financial Services, Inc.")</f>
        <v>0</v>
      </c>
      <c r="C26">
        <v>35.5</v>
      </c>
      <c r="D26">
        <v>37</v>
      </c>
      <c r="E26">
        <v>0.9594594594594594</v>
      </c>
      <c r="F26">
        <v>0.03154929577464789</v>
      </c>
      <c r="G26">
        <v>0.008311392660068861</v>
      </c>
      <c r="H26">
        <v>0.055</v>
      </c>
      <c r="I26">
        <v>0.09060358515957989</v>
      </c>
      <c r="J26" t="s">
        <v>780</v>
      </c>
      <c r="K26" t="s">
        <v>780</v>
      </c>
      <c r="L26">
        <v>3.4</v>
      </c>
      <c r="M26">
        <v>1.12</v>
      </c>
      <c r="N26">
        <v>0.3294117647058824</v>
      </c>
      <c r="O26">
        <v>35</v>
      </c>
      <c r="P26">
        <v>0.04563955259127317</v>
      </c>
      <c r="Q26">
        <v>0.225917625242162</v>
      </c>
      <c r="R26" t="s">
        <v>784</v>
      </c>
      <c r="S26" t="s">
        <v>793</v>
      </c>
      <c r="T26">
        <v>122.621544</v>
      </c>
      <c r="U26" s="2">
        <v>44505</v>
      </c>
      <c r="V26" t="s">
        <v>803</v>
      </c>
    </row>
    <row r="27" spans="1:22">
      <c r="A27" s="1" t="s">
        <v>47</v>
      </c>
      <c r="B27">
        <f>HYPERLINK("https://www.suredividend.com/sure-analysis-CINF/","Cincinnati Financial Corp.")</f>
        <v>0</v>
      </c>
      <c r="C27">
        <v>116.38</v>
      </c>
      <c r="D27">
        <v>112.03</v>
      </c>
      <c r="E27">
        <v>1.038828885120057</v>
      </c>
      <c r="F27">
        <v>0.02165320501804434</v>
      </c>
      <c r="G27">
        <v>-0.007589851831530714</v>
      </c>
      <c r="H27">
        <v>0.08</v>
      </c>
      <c r="I27">
        <v>0.09021321800870274</v>
      </c>
      <c r="J27" t="s">
        <v>780</v>
      </c>
      <c r="K27" t="s">
        <v>781</v>
      </c>
      <c r="L27">
        <v>5.58</v>
      </c>
      <c r="M27">
        <v>2.52</v>
      </c>
      <c r="N27">
        <v>0.4516129032258064</v>
      </c>
      <c r="O27">
        <v>60</v>
      </c>
      <c r="P27">
        <v>0.05024607263868264</v>
      </c>
      <c r="Q27">
        <v>0.486830220546056</v>
      </c>
      <c r="R27" t="s">
        <v>784</v>
      </c>
      <c r="S27" t="s">
        <v>793</v>
      </c>
      <c r="T27">
        <v>18753.589347</v>
      </c>
      <c r="U27" s="2">
        <v>44499</v>
      </c>
      <c r="V27" t="s">
        <v>802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82.11</v>
      </c>
      <c r="D28">
        <v>82</v>
      </c>
      <c r="E28">
        <v>1.001341463414634</v>
      </c>
      <c r="F28">
        <v>0.01217878455730118</v>
      </c>
      <c r="G28">
        <v>-0.0002680769522396265</v>
      </c>
      <c r="H28">
        <v>0.08</v>
      </c>
      <c r="I28">
        <v>0.08993247113437408</v>
      </c>
      <c r="J28" t="s">
        <v>780</v>
      </c>
      <c r="K28" t="s">
        <v>781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0.195596779125471</v>
      </c>
      <c r="R28" t="s">
        <v>784</v>
      </c>
      <c r="S28" t="s">
        <v>792</v>
      </c>
      <c r="T28">
        <v>1522.008614</v>
      </c>
      <c r="U28" s="2">
        <v>44510</v>
      </c>
      <c r="V28" t="s">
        <v>803</v>
      </c>
    </row>
    <row r="29" spans="1:22">
      <c r="A29" s="1" t="s">
        <v>49</v>
      </c>
      <c r="B29">
        <f>HYPERLINK("https://www.suredividend.com/sure-analysis-JW.A/","John Wiley &amp; Sons Inc.")</f>
        <v>0</v>
      </c>
      <c r="C29">
        <v>55.66</v>
      </c>
      <c r="D29">
        <v>62</v>
      </c>
      <c r="E29">
        <v>0.8977419354838709</v>
      </c>
      <c r="F29">
        <v>0.02479338842975207</v>
      </c>
      <c r="G29">
        <v>0.02180893861767874</v>
      </c>
      <c r="H29">
        <v>0.045</v>
      </c>
      <c r="I29">
        <v>0.08788013582321286</v>
      </c>
      <c r="J29" t="s">
        <v>780</v>
      </c>
      <c r="K29" t="s">
        <v>781</v>
      </c>
      <c r="L29">
        <v>4.12</v>
      </c>
      <c r="M29">
        <v>1.38</v>
      </c>
      <c r="N29">
        <v>0.3349514563106796</v>
      </c>
      <c r="O29">
        <v>28</v>
      </c>
      <c r="P29">
        <v>0.03002598081465924</v>
      </c>
      <c r="Q29">
        <v>0.314409861616209</v>
      </c>
      <c r="R29" t="s">
        <v>784</v>
      </c>
      <c r="S29" t="s">
        <v>788</v>
      </c>
      <c r="T29">
        <v>3099.261882</v>
      </c>
      <c r="U29" s="2">
        <v>44453</v>
      </c>
      <c r="V29" t="s">
        <v>803</v>
      </c>
    </row>
    <row r="30" spans="1:22">
      <c r="A30" s="1" t="s">
        <v>50</v>
      </c>
      <c r="B30">
        <f>HYPERLINK("https://www.suredividend.com/sure-analysis-MCK/","Mckesson Corporation")</f>
        <v>0</v>
      </c>
      <c r="C30">
        <v>233.09</v>
      </c>
      <c r="D30">
        <v>269</v>
      </c>
      <c r="E30">
        <v>0.8665055762081785</v>
      </c>
      <c r="F30">
        <v>0.008065554077824015</v>
      </c>
      <c r="G30">
        <v>0.02907191937746423</v>
      </c>
      <c r="H30">
        <v>0.05</v>
      </c>
      <c r="I30">
        <v>0.08771638988631292</v>
      </c>
      <c r="J30" t="s">
        <v>780</v>
      </c>
      <c r="K30" t="s">
        <v>350</v>
      </c>
      <c r="L30">
        <v>22.45</v>
      </c>
      <c r="M30">
        <v>1.88</v>
      </c>
      <c r="N30">
        <v>0.08374164810690422</v>
      </c>
      <c r="O30">
        <v>14</v>
      </c>
      <c r="P30">
        <v>0.0702598056972048</v>
      </c>
      <c r="Q30">
        <v>0.346722949120461</v>
      </c>
      <c r="R30" t="s">
        <v>784</v>
      </c>
      <c r="S30" t="s">
        <v>789</v>
      </c>
      <c r="T30">
        <v>35588.686073</v>
      </c>
      <c r="U30" s="2">
        <v>44524</v>
      </c>
      <c r="V30" t="s">
        <v>804</v>
      </c>
    </row>
    <row r="31" spans="1:22">
      <c r="A31" s="1" t="s">
        <v>51</v>
      </c>
      <c r="B31">
        <f>HYPERLINK("https://www.suredividend.com/sure-analysis-MMM/","3M Co.")</f>
        <v>0</v>
      </c>
      <c r="C31">
        <v>177.1</v>
      </c>
      <c r="D31">
        <v>186</v>
      </c>
      <c r="E31">
        <v>0.9521505376344086</v>
      </c>
      <c r="F31">
        <v>0.0334274421230943</v>
      </c>
      <c r="G31">
        <v>0.009854666338407814</v>
      </c>
      <c r="H31">
        <v>0.05</v>
      </c>
      <c r="I31">
        <v>0.08705067534019983</v>
      </c>
      <c r="J31" t="s">
        <v>780</v>
      </c>
      <c r="K31" t="s">
        <v>780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0.050002905146377</v>
      </c>
      <c r="R31" t="s">
        <v>784</v>
      </c>
      <c r="S31" t="s">
        <v>792</v>
      </c>
      <c r="T31">
        <v>102476.834606</v>
      </c>
      <c r="U31" s="2">
        <v>44496</v>
      </c>
      <c r="V31" t="s">
        <v>800</v>
      </c>
    </row>
    <row r="32" spans="1:22">
      <c r="A32" s="1" t="s">
        <v>52</v>
      </c>
      <c r="B32">
        <f>HYPERLINK("https://www.suredividend.com/sure-analysis-LHX/","L3Harris Technologies Inc")</f>
        <v>0</v>
      </c>
      <c r="C32">
        <v>216.8</v>
      </c>
      <c r="D32">
        <v>206</v>
      </c>
      <c r="E32">
        <v>1.05242718446602</v>
      </c>
      <c r="F32">
        <v>0.01881918819188192</v>
      </c>
      <c r="G32">
        <v>-0.0101677752406274</v>
      </c>
      <c r="H32">
        <v>0.08</v>
      </c>
      <c r="I32">
        <v>0.08667639189682586</v>
      </c>
      <c r="J32" t="s">
        <v>780</v>
      </c>
      <c r="K32" t="s">
        <v>781</v>
      </c>
      <c r="L32">
        <v>12.9</v>
      </c>
      <c r="M32">
        <v>4.08</v>
      </c>
      <c r="N32">
        <v>0.3162790697674419</v>
      </c>
      <c r="O32">
        <v>20</v>
      </c>
      <c r="P32">
        <v>0.07982488529298792</v>
      </c>
      <c r="Q32">
        <v>0.168027929228713</v>
      </c>
      <c r="R32" t="s">
        <v>784</v>
      </c>
      <c r="S32" t="s">
        <v>792</v>
      </c>
      <c r="T32">
        <v>42541.681679</v>
      </c>
      <c r="U32" s="2">
        <v>44509</v>
      </c>
      <c r="V32" t="s">
        <v>806</v>
      </c>
    </row>
    <row r="33" spans="1:22">
      <c r="A33" s="1" t="s">
        <v>53</v>
      </c>
      <c r="B33">
        <f>HYPERLINK("https://www.suredividend.com/sure-analysis-MET/","Metlife Inc")</f>
        <v>0</v>
      </c>
      <c r="C33">
        <v>60.63</v>
      </c>
      <c r="D33">
        <v>77</v>
      </c>
      <c r="E33">
        <v>0.7874025974025974</v>
      </c>
      <c r="F33">
        <v>0.03166749134092033</v>
      </c>
      <c r="G33">
        <v>0.04896411530969558</v>
      </c>
      <c r="H33">
        <v>0.01</v>
      </c>
      <c r="I33">
        <v>0.08639565328492549</v>
      </c>
      <c r="J33" t="s">
        <v>780</v>
      </c>
      <c r="K33" t="s">
        <v>780</v>
      </c>
      <c r="L33">
        <v>8.5</v>
      </c>
      <c r="M33">
        <v>1.92</v>
      </c>
      <c r="N33">
        <v>0.2258823529411765</v>
      </c>
      <c r="O33">
        <v>9</v>
      </c>
      <c r="P33">
        <v>0.0403582746309219</v>
      </c>
      <c r="Q33">
        <v>0.326585535557218</v>
      </c>
      <c r="R33" t="s">
        <v>784</v>
      </c>
      <c r="S33" t="s">
        <v>793</v>
      </c>
      <c r="T33">
        <v>50999.542502</v>
      </c>
      <c r="U33" s="2">
        <v>44511</v>
      </c>
      <c r="V33" t="s">
        <v>801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45.73</v>
      </c>
      <c r="D34">
        <v>49.9</v>
      </c>
      <c r="E34">
        <v>0.9164328657314629</v>
      </c>
      <c r="F34">
        <v>0.03061447627378089</v>
      </c>
      <c r="G34">
        <v>0.01760649171217032</v>
      </c>
      <c r="H34">
        <v>0.04</v>
      </c>
      <c r="I34">
        <v>0.08507599795347276</v>
      </c>
      <c r="J34" t="s">
        <v>780</v>
      </c>
      <c r="K34" t="s">
        <v>780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0.335634842749661</v>
      </c>
      <c r="R34" t="s">
        <v>784</v>
      </c>
      <c r="S34" t="s">
        <v>796</v>
      </c>
      <c r="T34">
        <v>9567.708112</v>
      </c>
      <c r="U34" s="2">
        <v>44521</v>
      </c>
      <c r="V34" t="s">
        <v>808</v>
      </c>
    </row>
    <row r="35" spans="1:22">
      <c r="A35" s="1" t="s">
        <v>55</v>
      </c>
      <c r="B35">
        <f>HYPERLINK("https://www.suredividend.com/sure-analysis-JNJ/","Johnson &amp; Johnson")</f>
        <v>0</v>
      </c>
      <c r="C35">
        <v>165.49</v>
      </c>
      <c r="D35">
        <v>167</v>
      </c>
      <c r="E35">
        <v>0.9909580838323354</v>
      </c>
      <c r="F35">
        <v>0.02562088343706568</v>
      </c>
      <c r="G35">
        <v>0.001818259509968945</v>
      </c>
      <c r="H35">
        <v>0.06</v>
      </c>
      <c r="I35">
        <v>0.08497168381009712</v>
      </c>
      <c r="J35" t="s">
        <v>780</v>
      </c>
      <c r="K35" t="s">
        <v>780</v>
      </c>
      <c r="L35">
        <v>9.800000000000001</v>
      </c>
      <c r="M35">
        <v>4.24</v>
      </c>
      <c r="N35">
        <v>0.4326530612244898</v>
      </c>
      <c r="O35">
        <v>59</v>
      </c>
      <c r="P35">
        <v>0.05984764821935884</v>
      </c>
      <c r="Q35">
        <v>0.109255909071714</v>
      </c>
      <c r="R35" t="s">
        <v>784</v>
      </c>
      <c r="S35" t="s">
        <v>789</v>
      </c>
      <c r="T35">
        <v>435668.4724</v>
      </c>
      <c r="U35" s="2">
        <v>44489</v>
      </c>
      <c r="V35" t="s">
        <v>800</v>
      </c>
    </row>
    <row r="36" spans="1:22">
      <c r="A36" s="1" t="s">
        <v>56</v>
      </c>
      <c r="B36">
        <f>HYPERLINK("https://www.suredividend.com/sure-analysis-SEIC/","SEI Investments Co.")</f>
        <v>0</v>
      </c>
      <c r="C36">
        <v>60.46</v>
      </c>
      <c r="D36">
        <v>64</v>
      </c>
      <c r="E36">
        <v>0.9446875</v>
      </c>
      <c r="F36">
        <v>0.01223949718822362</v>
      </c>
      <c r="G36">
        <v>0.0114452198329611</v>
      </c>
      <c r="H36">
        <v>0.06</v>
      </c>
      <c r="I36">
        <v>0.08363907183982588</v>
      </c>
      <c r="J36" t="s">
        <v>780</v>
      </c>
      <c r="K36" t="s">
        <v>781</v>
      </c>
      <c r="L36">
        <v>3.75</v>
      </c>
      <c r="M36">
        <v>0.74</v>
      </c>
      <c r="N36">
        <v>0.1973333333333333</v>
      </c>
      <c r="O36">
        <v>30</v>
      </c>
      <c r="P36">
        <v>0.08053529061413389</v>
      </c>
      <c r="Q36">
        <v>0.08698583466524701</v>
      </c>
      <c r="R36" t="s">
        <v>784</v>
      </c>
      <c r="S36" t="s">
        <v>793</v>
      </c>
      <c r="T36">
        <v>8431.298573</v>
      </c>
      <c r="U36" s="2">
        <v>44493</v>
      </c>
      <c r="V36" t="s">
        <v>804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43.23</v>
      </c>
      <c r="D37">
        <v>48</v>
      </c>
      <c r="E37">
        <v>0.9006249999999999</v>
      </c>
      <c r="F37">
        <v>0.03701133472125839</v>
      </c>
      <c r="G37">
        <v>0.0211539000495351</v>
      </c>
      <c r="H37">
        <v>0.03</v>
      </c>
      <c r="I37">
        <v>0.08320481537877367</v>
      </c>
      <c r="J37" t="s">
        <v>780</v>
      </c>
      <c r="K37" t="s">
        <v>780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0.200623224269086</v>
      </c>
      <c r="R37" t="s">
        <v>784</v>
      </c>
      <c r="S37" t="s">
        <v>793</v>
      </c>
      <c r="T37">
        <v>771.356392</v>
      </c>
      <c r="U37" s="2">
        <v>44490</v>
      </c>
      <c r="V37" t="s">
        <v>807</v>
      </c>
    </row>
    <row r="38" spans="1:22">
      <c r="A38" s="1" t="s">
        <v>58</v>
      </c>
      <c r="B38">
        <f>HYPERLINK("https://www.suredividend.com/sure-analysis-BKH/","Black Hills Corporation")</f>
        <v>0</v>
      </c>
      <c r="C38">
        <v>67.29000000000001</v>
      </c>
      <c r="D38">
        <v>71</v>
      </c>
      <c r="E38">
        <v>0.9477464788732395</v>
      </c>
      <c r="F38">
        <v>0.0353692970723733</v>
      </c>
      <c r="G38">
        <v>0.01079146022790223</v>
      </c>
      <c r="H38">
        <v>0.04</v>
      </c>
      <c r="I38">
        <v>0.08288300485475508</v>
      </c>
      <c r="J38" t="s">
        <v>780</v>
      </c>
      <c r="K38" t="s">
        <v>780</v>
      </c>
      <c r="L38">
        <v>3.92</v>
      </c>
      <c r="M38">
        <v>2.38</v>
      </c>
      <c r="N38">
        <v>0.6071428571428571</v>
      </c>
      <c r="O38">
        <v>50</v>
      </c>
      <c r="P38">
        <v>0.05016931709648742</v>
      </c>
      <c r="Q38">
        <v>0.177683527309199</v>
      </c>
      <c r="R38" t="s">
        <v>784</v>
      </c>
      <c r="S38" t="s">
        <v>796</v>
      </c>
      <c r="T38">
        <v>4270.952566</v>
      </c>
      <c r="U38" s="2">
        <v>44533</v>
      </c>
      <c r="V38" t="s">
        <v>803</v>
      </c>
    </row>
    <row r="39" spans="1:22">
      <c r="A39" s="1" t="s">
        <v>59</v>
      </c>
      <c r="B39">
        <f>HYPERLINK("https://www.suredividend.com/sure-analysis-MATW/","Matthews International Corp.")</f>
        <v>0</v>
      </c>
      <c r="C39">
        <v>36.16</v>
      </c>
      <c r="D39">
        <v>42</v>
      </c>
      <c r="E39">
        <v>0.8609523809523809</v>
      </c>
      <c r="F39">
        <v>0.02433628318584071</v>
      </c>
      <c r="G39">
        <v>0.03039602285319321</v>
      </c>
      <c r="H39">
        <v>0.03</v>
      </c>
      <c r="I39">
        <v>0.08265175302294581</v>
      </c>
      <c r="J39" t="s">
        <v>780</v>
      </c>
      <c r="K39" t="s">
        <v>781</v>
      </c>
      <c r="L39">
        <v>3.25</v>
      </c>
      <c r="M39">
        <v>0.88</v>
      </c>
      <c r="N39">
        <v>0.2707692307692308</v>
      </c>
      <c r="O39">
        <v>28</v>
      </c>
      <c r="P39">
        <v>0.04941452284458392</v>
      </c>
      <c r="Q39">
        <v>0.3313941714685461</v>
      </c>
      <c r="R39" t="s">
        <v>784</v>
      </c>
      <c r="S39" t="s">
        <v>792</v>
      </c>
      <c r="T39">
        <v>1137.95925</v>
      </c>
      <c r="U39" s="2">
        <v>44417</v>
      </c>
      <c r="V39" t="s">
        <v>805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72.59999999999999</v>
      </c>
      <c r="D40">
        <v>64</v>
      </c>
      <c r="E40">
        <v>1.134375</v>
      </c>
      <c r="F40">
        <v>0.008402203856749313</v>
      </c>
      <c r="G40">
        <v>-0.02490109070056845</v>
      </c>
      <c r="H40">
        <v>0.1</v>
      </c>
      <c r="I40">
        <v>0.0822924542107919</v>
      </c>
      <c r="J40" t="s">
        <v>780</v>
      </c>
      <c r="K40" t="s">
        <v>526</v>
      </c>
      <c r="L40">
        <v>3.06</v>
      </c>
      <c r="M40">
        <v>0.61</v>
      </c>
      <c r="N40">
        <v>0.1993464052287582</v>
      </c>
      <c r="O40">
        <v>5</v>
      </c>
      <c r="P40">
        <v>0.1505753231079818</v>
      </c>
      <c r="Q40">
        <v>0.08024117150651801</v>
      </c>
      <c r="R40" t="s">
        <v>784</v>
      </c>
      <c r="S40" t="s">
        <v>792</v>
      </c>
      <c r="T40">
        <v>48409.13891</v>
      </c>
      <c r="U40" s="2">
        <v>44491</v>
      </c>
      <c r="V40" t="s">
        <v>809</v>
      </c>
    </row>
    <row r="41" spans="1:22">
      <c r="A41" s="1" t="s">
        <v>61</v>
      </c>
      <c r="B41">
        <f>HYPERLINK("https://www.suredividend.com/sure-analysis-WMT/","Walmart Inc")</f>
        <v>0</v>
      </c>
      <c r="C41">
        <v>141.03</v>
      </c>
      <c r="D41">
        <v>154</v>
      </c>
      <c r="E41">
        <v>0.9157792207792208</v>
      </c>
      <c r="F41">
        <v>0.01559951783308516</v>
      </c>
      <c r="G41">
        <v>0.01775171525719199</v>
      </c>
      <c r="H41">
        <v>0.05</v>
      </c>
      <c r="I41">
        <v>0.08217848005212702</v>
      </c>
      <c r="J41" t="s">
        <v>780</v>
      </c>
      <c r="K41" t="s">
        <v>781</v>
      </c>
      <c r="L41">
        <v>6.4</v>
      </c>
      <c r="M41">
        <v>2.2</v>
      </c>
      <c r="N41">
        <v>0.34375</v>
      </c>
      <c r="O41">
        <v>48</v>
      </c>
      <c r="P41">
        <v>0.05016303610438722</v>
      </c>
      <c r="Q41">
        <v>-0.025355410441959</v>
      </c>
      <c r="R41" t="s">
        <v>784</v>
      </c>
      <c r="S41" t="s">
        <v>795</v>
      </c>
      <c r="T41">
        <v>391200.078932</v>
      </c>
      <c r="U41" s="2">
        <v>44534</v>
      </c>
      <c r="V41" t="s">
        <v>804</v>
      </c>
    </row>
    <row r="42" spans="1:22">
      <c r="A42" s="1" t="s">
        <v>62</v>
      </c>
      <c r="B42">
        <f>HYPERLINK("https://www.suredividend.com/sure-analysis-SWK/","Stanley Black &amp; Decker Inc")</f>
        <v>0</v>
      </c>
      <c r="C42">
        <v>194.56</v>
      </c>
      <c r="D42">
        <v>182</v>
      </c>
      <c r="E42">
        <v>1.069010989010989</v>
      </c>
      <c r="F42">
        <v>0.01624177631578947</v>
      </c>
      <c r="G42">
        <v>-0.01325810898051283</v>
      </c>
      <c r="H42">
        <v>0.08</v>
      </c>
      <c r="I42">
        <v>0.08117494431037064</v>
      </c>
      <c r="J42" t="s">
        <v>780</v>
      </c>
      <c r="K42" t="s">
        <v>781</v>
      </c>
      <c r="L42">
        <v>11</v>
      </c>
      <c r="M42">
        <v>3.16</v>
      </c>
      <c r="N42">
        <v>0.2872727272727273</v>
      </c>
      <c r="O42">
        <v>54</v>
      </c>
      <c r="P42">
        <v>0.07985683020954282</v>
      </c>
      <c r="Q42">
        <v>0.127823907362621</v>
      </c>
      <c r="R42" t="s">
        <v>784</v>
      </c>
      <c r="S42" t="s">
        <v>792</v>
      </c>
      <c r="T42">
        <v>31719.741532</v>
      </c>
      <c r="U42" s="2">
        <v>44500</v>
      </c>
      <c r="V42" t="s">
        <v>800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73.67</v>
      </c>
      <c r="D43">
        <v>69</v>
      </c>
      <c r="E43">
        <v>1.06768115942029</v>
      </c>
      <c r="F43">
        <v>0.02551920727568888</v>
      </c>
      <c r="G43">
        <v>-0.01301242790087198</v>
      </c>
      <c r="H43">
        <v>0.07000000000000001</v>
      </c>
      <c r="I43">
        <v>0.08086834752549366</v>
      </c>
      <c r="J43" t="s">
        <v>780</v>
      </c>
      <c r="K43" t="s">
        <v>781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-0.006064530926409</v>
      </c>
      <c r="R43" t="s">
        <v>784</v>
      </c>
      <c r="S43" t="s">
        <v>795</v>
      </c>
      <c r="T43">
        <v>37767.392789</v>
      </c>
      <c r="U43" s="2">
        <v>44513</v>
      </c>
      <c r="V43" t="s">
        <v>802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473.42</v>
      </c>
      <c r="D44">
        <v>423</v>
      </c>
      <c r="E44">
        <v>1.11919621749409</v>
      </c>
      <c r="F44">
        <v>0.005238477461873178</v>
      </c>
      <c r="G44">
        <v>-0.02227042263358092</v>
      </c>
      <c r="H44">
        <v>0.1</v>
      </c>
      <c r="I44">
        <v>0.08070715940847473</v>
      </c>
      <c r="J44" t="s">
        <v>780</v>
      </c>
      <c r="K44" t="s">
        <v>350</v>
      </c>
      <c r="L44">
        <v>14.1</v>
      </c>
      <c r="M44">
        <v>2.48</v>
      </c>
      <c r="N44">
        <v>0.175886524822695</v>
      </c>
      <c r="O44">
        <v>29</v>
      </c>
      <c r="P44">
        <v>0.09977601258252333</v>
      </c>
      <c r="Q44">
        <v>0.131826653750266</v>
      </c>
      <c r="R44" t="s">
        <v>784</v>
      </c>
      <c r="S44" t="s">
        <v>792</v>
      </c>
      <c r="T44">
        <v>49909.756226</v>
      </c>
      <c r="U44" s="2">
        <v>44494</v>
      </c>
      <c r="V44" t="s">
        <v>799</v>
      </c>
    </row>
    <row r="45" spans="1:22">
      <c r="A45" s="1" t="s">
        <v>65</v>
      </c>
      <c r="B45">
        <f>HYPERLINK("https://www.suredividend.com/sure-analysis-NIDB/","Northeast Indiana Bancorp Inc.")</f>
        <v>0</v>
      </c>
      <c r="C45">
        <v>47</v>
      </c>
      <c r="D45">
        <v>54</v>
      </c>
      <c r="E45">
        <v>0.8703703703703703</v>
      </c>
      <c r="F45">
        <v>0.02553191489361702</v>
      </c>
      <c r="G45">
        <v>0.02815639324725039</v>
      </c>
      <c r="H45">
        <v>0.03</v>
      </c>
      <c r="I45">
        <v>0.08031639016689662</v>
      </c>
      <c r="J45" t="s">
        <v>780</v>
      </c>
      <c r="K45" t="s">
        <v>780</v>
      </c>
      <c r="L45">
        <v>6</v>
      </c>
      <c r="M45">
        <v>1.2</v>
      </c>
      <c r="N45">
        <v>0.2</v>
      </c>
      <c r="O45">
        <v>27</v>
      </c>
      <c r="P45">
        <v>0.02983277847878951</v>
      </c>
      <c r="Q45">
        <v>0.182389937106918</v>
      </c>
      <c r="R45" t="s">
        <v>784</v>
      </c>
      <c r="S45" t="s">
        <v>793</v>
      </c>
      <c r="T45">
        <v>56.655445</v>
      </c>
      <c r="U45" s="2">
        <v>44503</v>
      </c>
      <c r="V45" t="s">
        <v>800</v>
      </c>
    </row>
    <row r="46" spans="1:22">
      <c r="A46" s="1" t="s">
        <v>66</v>
      </c>
      <c r="B46">
        <f>HYPERLINK("https://www.suredividend.com/sure-analysis-EBTC/","Enterprise Bancorp, Inc.")</f>
        <v>0</v>
      </c>
      <c r="C46">
        <v>38.61</v>
      </c>
      <c r="D46">
        <v>41</v>
      </c>
      <c r="E46">
        <v>0.9417073170731707</v>
      </c>
      <c r="F46">
        <v>0.01916601916601917</v>
      </c>
      <c r="G46">
        <v>0.01208458692025904</v>
      </c>
      <c r="H46">
        <v>0.05</v>
      </c>
      <c r="I46">
        <v>0.08017326444929451</v>
      </c>
      <c r="J46" t="s">
        <v>780</v>
      </c>
      <c r="K46" t="s">
        <v>781</v>
      </c>
      <c r="L46">
        <v>3.4</v>
      </c>
      <c r="M46">
        <v>0.74</v>
      </c>
      <c r="N46">
        <v>0.2176470588235294</v>
      </c>
      <c r="O46">
        <v>27</v>
      </c>
      <c r="P46">
        <v>0.06207125806326297</v>
      </c>
      <c r="Q46">
        <v>0.4403169368737541</v>
      </c>
      <c r="R46" t="s">
        <v>784</v>
      </c>
      <c r="S46" t="s">
        <v>793</v>
      </c>
      <c r="T46">
        <v>464.369613</v>
      </c>
      <c r="U46" s="2">
        <v>44494</v>
      </c>
      <c r="V46" t="s">
        <v>807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52.81</v>
      </c>
      <c r="D47">
        <v>57</v>
      </c>
      <c r="E47">
        <v>0.9264912280701755</v>
      </c>
      <c r="F47">
        <v>0.01704222685097519</v>
      </c>
      <c r="G47">
        <v>0.01538732452815728</v>
      </c>
      <c r="H47">
        <v>0.05</v>
      </c>
      <c r="I47">
        <v>0.07977554989583258</v>
      </c>
      <c r="J47" t="s">
        <v>780</v>
      </c>
      <c r="K47" t="s">
        <v>781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0.115032025493686</v>
      </c>
      <c r="R47" t="s">
        <v>784</v>
      </c>
      <c r="S47" t="s">
        <v>792</v>
      </c>
      <c r="T47">
        <v>2549.852501</v>
      </c>
      <c r="U47" s="2">
        <v>44519</v>
      </c>
      <c r="V47" t="s">
        <v>800</v>
      </c>
    </row>
    <row r="48" spans="1:22">
      <c r="A48" s="1" t="s">
        <v>68</v>
      </c>
      <c r="B48">
        <f>HYPERLINK("https://www.suredividend.com/sure-analysis-INTU/","Intuit Inc")</f>
        <v>0</v>
      </c>
      <c r="C48">
        <v>677.95</v>
      </c>
      <c r="D48">
        <v>462</v>
      </c>
      <c r="E48">
        <v>1.467424242424243</v>
      </c>
      <c r="F48">
        <v>0.004012095287263073</v>
      </c>
      <c r="G48">
        <v>-0.07383393963429252</v>
      </c>
      <c r="H48">
        <v>0.16</v>
      </c>
      <c r="I48">
        <v>0.07911347056567464</v>
      </c>
      <c r="J48" t="s">
        <v>780</v>
      </c>
      <c r="K48" t="s">
        <v>526</v>
      </c>
      <c r="L48">
        <v>11.56</v>
      </c>
      <c r="M48">
        <v>2.72</v>
      </c>
      <c r="N48">
        <v>0.2352941176470588</v>
      </c>
      <c r="O48">
        <v>10</v>
      </c>
      <c r="P48">
        <v>0.1598810174248351</v>
      </c>
      <c r="Q48">
        <v>0.871082821392525</v>
      </c>
      <c r="R48" t="s">
        <v>784</v>
      </c>
      <c r="S48" t="s">
        <v>791</v>
      </c>
      <c r="T48">
        <v>185788.802326</v>
      </c>
      <c r="U48" s="2">
        <v>44520</v>
      </c>
      <c r="V48" t="s">
        <v>799</v>
      </c>
    </row>
    <row r="49" spans="1:22">
      <c r="A49" s="1" t="s">
        <v>69</v>
      </c>
      <c r="B49">
        <f>HYPERLINK("https://www.suredividend.com/sure-analysis-WSM/","Williams-Sonoma, Inc.")</f>
        <v>0</v>
      </c>
      <c r="C49">
        <v>175.43</v>
      </c>
      <c r="D49">
        <v>216</v>
      </c>
      <c r="E49">
        <v>0.8121759259259259</v>
      </c>
      <c r="F49">
        <v>0.01618879325086929</v>
      </c>
      <c r="G49">
        <v>0.04248539077611624</v>
      </c>
      <c r="H49">
        <v>0.02</v>
      </c>
      <c r="I49">
        <v>0.07805356479696934</v>
      </c>
      <c r="J49" t="s">
        <v>780</v>
      </c>
      <c r="K49" t="s">
        <v>781</v>
      </c>
      <c r="L49">
        <v>13.5</v>
      </c>
      <c r="M49">
        <v>2.84</v>
      </c>
      <c r="N49">
        <v>0.2103703703703703</v>
      </c>
      <c r="O49">
        <v>15</v>
      </c>
      <c r="P49">
        <v>0.05996872493653238</v>
      </c>
      <c r="Q49">
        <v>0.6961836592820201</v>
      </c>
      <c r="R49" t="s">
        <v>784</v>
      </c>
      <c r="S49" t="s">
        <v>790</v>
      </c>
      <c r="T49">
        <v>12798.411268</v>
      </c>
      <c r="U49" s="2">
        <v>44520</v>
      </c>
      <c r="V49" t="s">
        <v>801</v>
      </c>
    </row>
    <row r="50" spans="1:22">
      <c r="A50" s="1" t="s">
        <v>70</v>
      </c>
      <c r="B50">
        <f>HYPERLINK("https://www.suredividend.com/sure-analysis-ABC/","Amerisource Bergen Corp.")</f>
        <v>0</v>
      </c>
      <c r="C50">
        <v>123.13</v>
      </c>
      <c r="D50">
        <v>138</v>
      </c>
      <c r="E50">
        <v>0.8922463768115941</v>
      </c>
      <c r="F50">
        <v>0.0149435555916511</v>
      </c>
      <c r="G50">
        <v>0.02306456203370355</v>
      </c>
      <c r="H50">
        <v>0.04</v>
      </c>
      <c r="I50">
        <v>0.07796253543647258</v>
      </c>
      <c r="J50" t="s">
        <v>780</v>
      </c>
      <c r="K50" t="s">
        <v>781</v>
      </c>
      <c r="L50">
        <v>10.65</v>
      </c>
      <c r="M50">
        <v>1.84</v>
      </c>
      <c r="N50">
        <v>0.1727699530516432</v>
      </c>
      <c r="O50">
        <v>18</v>
      </c>
      <c r="P50">
        <v>0.06994234673120125</v>
      </c>
      <c r="Q50">
        <v>0.274863355728602</v>
      </c>
      <c r="R50" t="s">
        <v>784</v>
      </c>
      <c r="S50" t="s">
        <v>789</v>
      </c>
      <c r="T50">
        <v>25627.46074</v>
      </c>
      <c r="U50" s="2">
        <v>44511</v>
      </c>
      <c r="V50" t="s">
        <v>801</v>
      </c>
    </row>
    <row r="51" spans="1:22">
      <c r="A51" s="1" t="s">
        <v>71</v>
      </c>
      <c r="B51">
        <f>HYPERLINK("https://www.suredividend.com/sure-analysis-ANTM/","Anthem Inc")</f>
        <v>0</v>
      </c>
      <c r="C51">
        <v>431.01</v>
      </c>
      <c r="D51">
        <v>388</v>
      </c>
      <c r="E51">
        <v>1.110850515463917</v>
      </c>
      <c r="F51">
        <v>0.01048699566135356</v>
      </c>
      <c r="G51">
        <v>-0.02080570205047538</v>
      </c>
      <c r="H51">
        <v>0.09</v>
      </c>
      <c r="I51">
        <v>0.07765834313660269</v>
      </c>
      <c r="J51" t="s">
        <v>780</v>
      </c>
      <c r="K51" t="s">
        <v>350</v>
      </c>
      <c r="L51">
        <v>25.85</v>
      </c>
      <c r="M51">
        <v>4.52</v>
      </c>
      <c r="N51">
        <v>0.1748549323017408</v>
      </c>
      <c r="O51">
        <v>11</v>
      </c>
      <c r="P51">
        <v>0.0898563876885603</v>
      </c>
      <c r="Q51">
        <v>0.400876148897208</v>
      </c>
      <c r="R51" t="s">
        <v>784</v>
      </c>
      <c r="S51" t="s">
        <v>789</v>
      </c>
      <c r="T51">
        <v>104610.025356</v>
      </c>
      <c r="U51" s="2">
        <v>44490</v>
      </c>
      <c r="V51" t="s">
        <v>800</v>
      </c>
    </row>
    <row r="52" spans="1:22">
      <c r="A52" s="1" t="s">
        <v>72</v>
      </c>
      <c r="B52">
        <f>HYPERLINK("https://www.suredividend.com/sure-analysis-V/","Visa Inc")</f>
        <v>0</v>
      </c>
      <c r="C52">
        <v>213.4</v>
      </c>
      <c r="D52">
        <v>178</v>
      </c>
      <c r="E52">
        <v>1.198876404494382</v>
      </c>
      <c r="F52">
        <v>0.007029053420805998</v>
      </c>
      <c r="G52">
        <v>-0.03562683409523715</v>
      </c>
      <c r="H52">
        <v>0.11</v>
      </c>
      <c r="I52">
        <v>0.07744627262735215</v>
      </c>
      <c r="J52" t="s">
        <v>780</v>
      </c>
      <c r="K52" t="s">
        <v>350</v>
      </c>
      <c r="L52">
        <v>7.1</v>
      </c>
      <c r="M52">
        <v>1.5</v>
      </c>
      <c r="N52">
        <v>0.2112676056338028</v>
      </c>
      <c r="O52">
        <v>14</v>
      </c>
      <c r="P52">
        <v>0.09487401536266371</v>
      </c>
      <c r="Q52">
        <v>0.041072607252675</v>
      </c>
      <c r="R52" t="s">
        <v>784</v>
      </c>
      <c r="S52" t="s">
        <v>793</v>
      </c>
      <c r="T52">
        <v>470333.6</v>
      </c>
      <c r="U52" s="2">
        <v>44497</v>
      </c>
      <c r="V52" t="s">
        <v>801</v>
      </c>
    </row>
    <row r="53" spans="1:22">
      <c r="A53" s="1" t="s">
        <v>73</v>
      </c>
      <c r="B53">
        <f>HYPERLINK("https://www.suredividend.com/sure-analysis-EMR/","Emerson Electric Co.")</f>
        <v>0</v>
      </c>
      <c r="C53">
        <v>92.59999999999999</v>
      </c>
      <c r="D53">
        <v>92</v>
      </c>
      <c r="E53">
        <v>1.006521739130435</v>
      </c>
      <c r="F53">
        <v>0.02224622030237581</v>
      </c>
      <c r="G53">
        <v>-0.001299268139958509</v>
      </c>
      <c r="H53">
        <v>0.06</v>
      </c>
      <c r="I53">
        <v>0.0773314782235115</v>
      </c>
      <c r="J53" t="s">
        <v>780</v>
      </c>
      <c r="K53" t="s">
        <v>781</v>
      </c>
      <c r="L53">
        <v>4.85</v>
      </c>
      <c r="M53">
        <v>2.06</v>
      </c>
      <c r="N53">
        <v>0.4247422680412372</v>
      </c>
      <c r="O53">
        <v>65</v>
      </c>
      <c r="P53">
        <v>0.03016344758557654</v>
      </c>
      <c r="Q53">
        <v>0.14784074778868</v>
      </c>
      <c r="R53" t="s">
        <v>784</v>
      </c>
      <c r="S53" t="s">
        <v>792</v>
      </c>
      <c r="T53">
        <v>55081.791</v>
      </c>
      <c r="U53" s="2">
        <v>44524</v>
      </c>
      <c r="V53" t="s">
        <v>804</v>
      </c>
    </row>
    <row r="54" spans="1:22">
      <c r="A54" s="1" t="s">
        <v>74</v>
      </c>
      <c r="B54">
        <f>HYPERLINK("https://www.suredividend.com/sure-analysis-AFL/","Aflac Inc.")</f>
        <v>0</v>
      </c>
      <c r="C54">
        <v>57.85</v>
      </c>
      <c r="D54">
        <v>61</v>
      </c>
      <c r="E54">
        <v>0.9483606557377049</v>
      </c>
      <c r="F54">
        <v>0.02765773552290406</v>
      </c>
      <c r="G54">
        <v>0.01066050464543822</v>
      </c>
      <c r="H54">
        <v>0.04</v>
      </c>
      <c r="I54">
        <v>0.07555721795513537</v>
      </c>
      <c r="J54" t="s">
        <v>780</v>
      </c>
      <c r="K54" t="s">
        <v>780</v>
      </c>
      <c r="L54">
        <v>6.1</v>
      </c>
      <c r="M54">
        <v>1.6</v>
      </c>
      <c r="N54">
        <v>0.2622950819672131</v>
      </c>
      <c r="O54">
        <v>40</v>
      </c>
      <c r="P54">
        <v>0.04142312668144399</v>
      </c>
      <c r="Q54">
        <v>0.312519997549236</v>
      </c>
      <c r="R54" t="s">
        <v>784</v>
      </c>
      <c r="S54" t="s">
        <v>793</v>
      </c>
      <c r="T54">
        <v>38262.792187</v>
      </c>
      <c r="U54" s="2">
        <v>44497</v>
      </c>
      <c r="V54" t="s">
        <v>801</v>
      </c>
    </row>
    <row r="55" spans="1:22">
      <c r="A55" s="1" t="s">
        <v>75</v>
      </c>
      <c r="B55">
        <f>HYPERLINK("https://www.suredividend.com/sure-analysis-ABBV/","Abbvie Inc")</f>
        <v>0</v>
      </c>
      <c r="C55">
        <v>125.49</v>
      </c>
      <c r="D55">
        <v>127</v>
      </c>
      <c r="E55">
        <v>0.9881102362204724</v>
      </c>
      <c r="F55">
        <v>0.0449438202247191</v>
      </c>
      <c r="G55">
        <v>0.002395066066578355</v>
      </c>
      <c r="H55">
        <v>0.03</v>
      </c>
      <c r="I55">
        <v>0.074759375914627</v>
      </c>
      <c r="J55" t="s">
        <v>780</v>
      </c>
      <c r="K55" t="s">
        <v>780</v>
      </c>
      <c r="L55">
        <v>12.65</v>
      </c>
      <c r="M55">
        <v>5.64</v>
      </c>
      <c r="N55">
        <v>0.4458498023715415</v>
      </c>
      <c r="O55">
        <v>50</v>
      </c>
      <c r="P55">
        <v>0.05005169060192549</v>
      </c>
      <c r="Q55">
        <v>0.236488990153026</v>
      </c>
      <c r="R55" t="s">
        <v>784</v>
      </c>
      <c r="S55" t="s">
        <v>789</v>
      </c>
      <c r="T55">
        <v>221727.514</v>
      </c>
      <c r="U55" s="2">
        <v>44504</v>
      </c>
      <c r="V55" t="s">
        <v>803</v>
      </c>
    </row>
    <row r="56" spans="1:22">
      <c r="A56" s="1" t="s">
        <v>76</v>
      </c>
      <c r="B56">
        <f>HYPERLINK("https://www.suredividend.com/sure-analysis-KO/","Coca-Cola Co")</f>
        <v>0</v>
      </c>
      <c r="C56">
        <v>56.28</v>
      </c>
      <c r="D56">
        <v>53</v>
      </c>
      <c r="E56">
        <v>1.06188679245283</v>
      </c>
      <c r="F56">
        <v>0.02985074626865672</v>
      </c>
      <c r="G56">
        <v>-0.01193763794644187</v>
      </c>
      <c r="H56">
        <v>0.06</v>
      </c>
      <c r="I56">
        <v>0.0738821856117029</v>
      </c>
      <c r="J56" t="s">
        <v>780</v>
      </c>
      <c r="K56" t="s">
        <v>780</v>
      </c>
      <c r="L56">
        <v>2.3</v>
      </c>
      <c r="M56">
        <v>1.68</v>
      </c>
      <c r="N56">
        <v>0.7304347826086957</v>
      </c>
      <c r="O56">
        <v>59</v>
      </c>
      <c r="P56">
        <v>0.03959498820755258</v>
      </c>
      <c r="Q56">
        <v>0.08817757325573501</v>
      </c>
      <c r="R56" t="s">
        <v>784</v>
      </c>
      <c r="S56" t="s">
        <v>795</v>
      </c>
      <c r="T56">
        <v>243096.970882</v>
      </c>
      <c r="U56" s="2">
        <v>44512</v>
      </c>
      <c r="V56" t="s">
        <v>804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642.51</v>
      </c>
      <c r="D57">
        <v>561</v>
      </c>
      <c r="E57">
        <v>1.145294117647059</v>
      </c>
      <c r="F57">
        <v>0.001618651849776657</v>
      </c>
      <c r="G57">
        <v>-0.02676752084744116</v>
      </c>
      <c r="H57">
        <v>0.1</v>
      </c>
      <c r="I57">
        <v>0.07245884976371753</v>
      </c>
      <c r="J57" t="s">
        <v>780</v>
      </c>
      <c r="K57" t="s">
        <v>526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0.365833645114111</v>
      </c>
      <c r="R57" t="s">
        <v>784</v>
      </c>
      <c r="S57" t="s">
        <v>789</v>
      </c>
      <c r="T57">
        <v>253179.836378</v>
      </c>
      <c r="U57" s="2">
        <v>44499</v>
      </c>
      <c r="V57" t="s">
        <v>799</v>
      </c>
    </row>
    <row r="58" spans="1:22">
      <c r="A58" s="1" t="s">
        <v>78</v>
      </c>
      <c r="B58">
        <f>HYPERLINK("https://www.suredividend.com/sure-analysis-AIZ/","Assurant Inc")</f>
        <v>0</v>
      </c>
      <c r="C58">
        <v>155.01</v>
      </c>
      <c r="D58">
        <v>138</v>
      </c>
      <c r="E58">
        <v>1.123260869565217</v>
      </c>
      <c r="F58">
        <v>0.01754725501580543</v>
      </c>
      <c r="G58">
        <v>-0.02297905506701892</v>
      </c>
      <c r="H58">
        <v>0.08</v>
      </c>
      <c r="I58">
        <v>0.07158073390441166</v>
      </c>
      <c r="J58" t="s">
        <v>780</v>
      </c>
      <c r="K58" t="s">
        <v>781</v>
      </c>
      <c r="L58">
        <v>10</v>
      </c>
      <c r="M58">
        <v>2.72</v>
      </c>
      <c r="N58">
        <v>0.272</v>
      </c>
      <c r="O58">
        <v>17</v>
      </c>
      <c r="P58">
        <v>0.06000153927394081</v>
      </c>
      <c r="Q58">
        <v>0.188156456442184</v>
      </c>
      <c r="R58" t="s">
        <v>784</v>
      </c>
      <c r="S58" t="s">
        <v>793</v>
      </c>
      <c r="T58">
        <v>8831.389895</v>
      </c>
      <c r="U58" s="2">
        <v>44512</v>
      </c>
      <c r="V58" t="s">
        <v>807</v>
      </c>
    </row>
    <row r="59" spans="1:22">
      <c r="A59" s="1" t="s">
        <v>79</v>
      </c>
      <c r="B59">
        <f>HYPERLINK("https://www.suredividend.com/sure-analysis-FMCB/","Farmers &amp; Merchants Bancorp")</f>
        <v>0</v>
      </c>
      <c r="C59">
        <v>976</v>
      </c>
      <c r="D59">
        <v>1008</v>
      </c>
      <c r="E59">
        <v>0.9682539682539683</v>
      </c>
      <c r="F59">
        <v>0.01567622950819672</v>
      </c>
      <c r="G59">
        <v>0.006473032548463653</v>
      </c>
      <c r="H59">
        <v>0.05</v>
      </c>
      <c r="I59">
        <v>0.07099534065050062</v>
      </c>
      <c r="J59" t="s">
        <v>780</v>
      </c>
      <c r="K59" t="s">
        <v>781</v>
      </c>
      <c r="L59">
        <v>84</v>
      </c>
      <c r="M59">
        <v>15.3</v>
      </c>
      <c r="N59">
        <v>0.1821428571428572</v>
      </c>
      <c r="O59">
        <v>56</v>
      </c>
      <c r="P59">
        <v>0.0500311005456211</v>
      </c>
      <c r="Q59">
        <v>0.352823603445264</v>
      </c>
      <c r="R59" t="s">
        <v>784</v>
      </c>
      <c r="S59" t="s">
        <v>793</v>
      </c>
      <c r="T59">
        <v>773.925056</v>
      </c>
      <c r="U59" s="2">
        <v>44498</v>
      </c>
      <c r="V59" t="s">
        <v>807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29.5</v>
      </c>
      <c r="D60">
        <v>38</v>
      </c>
      <c r="E60">
        <v>0.7763157894736842</v>
      </c>
      <c r="F60">
        <v>0.01898305084745763</v>
      </c>
      <c r="G60">
        <v>0.05194326186865594</v>
      </c>
      <c r="H60">
        <v>0</v>
      </c>
      <c r="I60">
        <v>0.06883585452756291</v>
      </c>
      <c r="J60" t="s">
        <v>780</v>
      </c>
      <c r="K60" t="s">
        <v>781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0.488042694214792</v>
      </c>
      <c r="R60" t="s">
        <v>784</v>
      </c>
      <c r="S60" t="s">
        <v>793</v>
      </c>
      <c r="T60">
        <v>139.836608</v>
      </c>
      <c r="U60" s="2">
        <v>44507</v>
      </c>
      <c r="V60" t="s">
        <v>804</v>
      </c>
    </row>
    <row r="61" spans="1:22">
      <c r="A61" s="1" t="s">
        <v>81</v>
      </c>
      <c r="B61">
        <f>HYPERLINK("https://www.suredividend.com/sure-analysis-WHR/","Whirlpool Corp.")</f>
        <v>0</v>
      </c>
      <c r="C61">
        <v>230.03</v>
      </c>
      <c r="D61">
        <v>289</v>
      </c>
      <c r="E61">
        <v>0.7959515570934256</v>
      </c>
      <c r="F61">
        <v>0.02434465069773508</v>
      </c>
      <c r="G61">
        <v>0.0467010809316255</v>
      </c>
      <c r="H61">
        <v>0</v>
      </c>
      <c r="I61">
        <v>0.06860769872750772</v>
      </c>
      <c r="J61" t="s">
        <v>780</v>
      </c>
      <c r="K61" t="s">
        <v>781</v>
      </c>
      <c r="L61">
        <v>26.25</v>
      </c>
      <c r="M61">
        <v>5.6</v>
      </c>
      <c r="N61">
        <v>0.2133333333333333</v>
      </c>
      <c r="O61">
        <v>11</v>
      </c>
      <c r="P61">
        <v>0.03990057173719119</v>
      </c>
      <c r="Q61">
        <v>0.281861957014186</v>
      </c>
      <c r="R61" t="s">
        <v>784</v>
      </c>
      <c r="S61" t="s">
        <v>790</v>
      </c>
      <c r="T61">
        <v>14423.684955</v>
      </c>
      <c r="U61" s="2">
        <v>44494</v>
      </c>
      <c r="V61" t="s">
        <v>801</v>
      </c>
    </row>
    <row r="62" spans="1:22">
      <c r="A62" s="1" t="s">
        <v>82</v>
      </c>
      <c r="B62">
        <f>HYPERLINK("https://www.suredividend.com/sure-analysis-NWN/","Northwest Natural Holding Co")</f>
        <v>0</v>
      </c>
      <c r="C62">
        <v>46.96</v>
      </c>
      <c r="D62">
        <v>50.8</v>
      </c>
      <c r="E62">
        <v>0.9244094488188977</v>
      </c>
      <c r="F62">
        <v>0.04088586030664395</v>
      </c>
      <c r="G62">
        <v>0.01584424558305519</v>
      </c>
      <c r="H62">
        <v>0.016</v>
      </c>
      <c r="I62">
        <v>0.06817757837008687</v>
      </c>
      <c r="J62" t="s">
        <v>780</v>
      </c>
      <c r="K62" t="s">
        <v>780</v>
      </c>
      <c r="L62">
        <v>2.54</v>
      </c>
      <c r="M62">
        <v>1.92</v>
      </c>
      <c r="N62">
        <v>0.7559055118110236</v>
      </c>
      <c r="O62">
        <v>66</v>
      </c>
      <c r="P62">
        <v>0.02383625553960966</v>
      </c>
      <c r="Q62">
        <v>-0.00024482931139</v>
      </c>
      <c r="R62" t="s">
        <v>784</v>
      </c>
      <c r="S62" t="s">
        <v>796</v>
      </c>
      <c r="T62">
        <v>1440.391025</v>
      </c>
      <c r="U62" s="2">
        <v>44509</v>
      </c>
      <c r="V62" t="s">
        <v>808</v>
      </c>
    </row>
    <row r="63" spans="1:22">
      <c r="A63" s="1" t="s">
        <v>83</v>
      </c>
      <c r="B63">
        <f>HYPERLINK("https://www.suredividend.com/sure-analysis-LANC/","Lancaster Colony Corp.")</f>
        <v>0</v>
      </c>
      <c r="C63">
        <v>153.18</v>
      </c>
      <c r="D63">
        <v>159</v>
      </c>
      <c r="E63">
        <v>0.9633962264150944</v>
      </c>
      <c r="F63">
        <v>0.02089045567306437</v>
      </c>
      <c r="G63">
        <v>0.007485981247905782</v>
      </c>
      <c r="H63">
        <v>0.04</v>
      </c>
      <c r="I63">
        <v>0.06771873479718638</v>
      </c>
      <c r="J63" t="s">
        <v>780</v>
      </c>
      <c r="K63" t="s">
        <v>781</v>
      </c>
      <c r="L63">
        <v>5.88</v>
      </c>
      <c r="M63">
        <v>3.2</v>
      </c>
      <c r="N63">
        <v>0.54421768707483</v>
      </c>
      <c r="O63">
        <v>59</v>
      </c>
      <c r="P63">
        <v>0.05988502997905321</v>
      </c>
      <c r="Q63">
        <v>-0.09676118301995901</v>
      </c>
      <c r="R63" t="s">
        <v>784</v>
      </c>
      <c r="S63" t="s">
        <v>795</v>
      </c>
      <c r="T63">
        <v>4217.0454</v>
      </c>
      <c r="U63" s="2">
        <v>44541</v>
      </c>
      <c r="V63" t="s">
        <v>804</v>
      </c>
    </row>
    <row r="64" spans="1:22">
      <c r="A64" s="1" t="s">
        <v>84</v>
      </c>
      <c r="B64">
        <f>HYPERLINK("https://www.suredividend.com/sure-analysis-SON/","Sonoco Products Co.")</f>
        <v>0</v>
      </c>
      <c r="C64">
        <v>59.89</v>
      </c>
      <c r="D64">
        <v>56</v>
      </c>
      <c r="E64">
        <v>1.069464285714286</v>
      </c>
      <c r="F64">
        <v>0.03005510101853398</v>
      </c>
      <c r="G64">
        <v>-0.01334177006301862</v>
      </c>
      <c r="H64">
        <v>0.05</v>
      </c>
      <c r="I64">
        <v>0.06465791837287571</v>
      </c>
      <c r="J64" t="s">
        <v>780</v>
      </c>
      <c r="K64" t="s">
        <v>780</v>
      </c>
      <c r="L64">
        <v>3.52</v>
      </c>
      <c r="M64">
        <v>1.8</v>
      </c>
      <c r="N64">
        <v>0.5113636363636364</v>
      </c>
      <c r="O64">
        <v>38</v>
      </c>
      <c r="P64">
        <v>0.05024607263868264</v>
      </c>
      <c r="Q64">
        <v>0.005896984996363001</v>
      </c>
      <c r="R64" t="s">
        <v>784</v>
      </c>
      <c r="S64" t="s">
        <v>790</v>
      </c>
      <c r="T64">
        <v>5888.762586</v>
      </c>
      <c r="U64" s="2">
        <v>44491</v>
      </c>
      <c r="V64" t="s">
        <v>800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34.06</v>
      </c>
      <c r="D65">
        <v>33</v>
      </c>
      <c r="E65">
        <v>1.032121212121212</v>
      </c>
      <c r="F65">
        <v>0.03288314738696418</v>
      </c>
      <c r="G65">
        <v>-0.006303273251146546</v>
      </c>
      <c r="H65">
        <v>0.04</v>
      </c>
      <c r="I65">
        <v>0.06402034798055989</v>
      </c>
      <c r="J65" t="s">
        <v>780</v>
      </c>
      <c r="K65" t="s">
        <v>780</v>
      </c>
      <c r="L65">
        <v>3.3</v>
      </c>
      <c r="M65">
        <v>1.12</v>
      </c>
      <c r="N65">
        <v>0.3393939393939395</v>
      </c>
      <c r="O65">
        <v>41</v>
      </c>
      <c r="P65">
        <v>0.03959498820755258</v>
      </c>
      <c r="Q65">
        <v>0.45433267272603</v>
      </c>
      <c r="R65" t="s">
        <v>784</v>
      </c>
      <c r="S65" t="s">
        <v>793</v>
      </c>
      <c r="T65">
        <v>17122.184965</v>
      </c>
      <c r="U65" s="2">
        <v>44507</v>
      </c>
      <c r="V65" t="s">
        <v>801</v>
      </c>
    </row>
    <row r="66" spans="1:22">
      <c r="A66" s="1" t="s">
        <v>86</v>
      </c>
      <c r="B66">
        <f>HYPERLINK("https://www.suredividend.com/sure-analysis-NFG/","National Fuel Gas Co.")</f>
        <v>0</v>
      </c>
      <c r="C66">
        <v>62.05</v>
      </c>
      <c r="D66">
        <v>71</v>
      </c>
      <c r="E66">
        <v>0.8739436619718309</v>
      </c>
      <c r="F66">
        <v>0.02933118452860596</v>
      </c>
      <c r="G66">
        <v>0.02731425063807902</v>
      </c>
      <c r="H66">
        <v>0.01</v>
      </c>
      <c r="I66">
        <v>0.06323909443628306</v>
      </c>
      <c r="J66" t="s">
        <v>780</v>
      </c>
      <c r="K66" t="s">
        <v>780</v>
      </c>
      <c r="L66">
        <v>5.1</v>
      </c>
      <c r="M66">
        <v>1.82</v>
      </c>
      <c r="N66">
        <v>0.3568627450980393</v>
      </c>
      <c r="O66">
        <v>51</v>
      </c>
      <c r="P66">
        <v>0.02107112828035462</v>
      </c>
      <c r="Q66">
        <v>0.493025729128318</v>
      </c>
      <c r="R66" t="s">
        <v>784</v>
      </c>
      <c r="S66" t="s">
        <v>796</v>
      </c>
      <c r="T66">
        <v>5658.344092</v>
      </c>
      <c r="U66" s="2">
        <v>44524</v>
      </c>
      <c r="V66" t="s">
        <v>807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154.25</v>
      </c>
      <c r="D67">
        <v>147</v>
      </c>
      <c r="E67">
        <v>1.049319727891157</v>
      </c>
      <c r="F67">
        <v>0.02282009724473258</v>
      </c>
      <c r="G67">
        <v>-0.00958221042354479</v>
      </c>
      <c r="H67">
        <v>0.05</v>
      </c>
      <c r="I67">
        <v>0.06292112772937331</v>
      </c>
      <c r="J67" t="s">
        <v>780</v>
      </c>
      <c r="K67" t="s">
        <v>781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0.168880277106087</v>
      </c>
      <c r="R67" t="s">
        <v>784</v>
      </c>
      <c r="S67" t="s">
        <v>793</v>
      </c>
      <c r="T67">
        <v>37946.83997</v>
      </c>
      <c r="U67" s="2">
        <v>44492</v>
      </c>
      <c r="V67" t="s">
        <v>804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222.42</v>
      </c>
      <c r="D68">
        <v>178</v>
      </c>
      <c r="E68">
        <v>1.249550561797753</v>
      </c>
      <c r="F68">
        <v>0.007283517669274347</v>
      </c>
      <c r="G68">
        <v>-0.04357871395425406</v>
      </c>
      <c r="H68">
        <v>0.1</v>
      </c>
      <c r="I68">
        <v>0.05970320573815835</v>
      </c>
      <c r="J68" t="s">
        <v>780</v>
      </c>
      <c r="K68" t="s">
        <v>350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0.084777508426048</v>
      </c>
      <c r="R68" t="s">
        <v>784</v>
      </c>
      <c r="S68" t="s">
        <v>795</v>
      </c>
      <c r="T68">
        <v>51531.52649</v>
      </c>
      <c r="U68" s="2">
        <v>44439</v>
      </c>
      <c r="V68" t="s">
        <v>806</v>
      </c>
    </row>
    <row r="69" spans="1:22">
      <c r="A69" s="1" t="s">
        <v>89</v>
      </c>
      <c r="B69">
        <f>HYPERLINK("https://www.suredividend.com/sure-analysis-RNR/","RenaissanceRe Holdings Ltd")</f>
        <v>0</v>
      </c>
      <c r="C69">
        <v>165.5</v>
      </c>
      <c r="D69">
        <v>167</v>
      </c>
      <c r="E69">
        <v>0.9910179640718563</v>
      </c>
      <c r="F69">
        <v>0.008700906344410876</v>
      </c>
      <c r="G69">
        <v>0.001806152652283011</v>
      </c>
      <c r="H69">
        <v>0.05</v>
      </c>
      <c r="I69">
        <v>0.05947520232803205</v>
      </c>
      <c r="J69" t="s">
        <v>780</v>
      </c>
      <c r="K69" t="s">
        <v>350</v>
      </c>
      <c r="L69">
        <v>11</v>
      </c>
      <c r="M69">
        <v>1.44</v>
      </c>
      <c r="N69">
        <v>0.1309090909090909</v>
      </c>
      <c r="O69">
        <v>26</v>
      </c>
      <c r="P69">
        <v>0.02635185407071083</v>
      </c>
      <c r="Q69">
        <v>-0.001053873074086</v>
      </c>
      <c r="R69" t="s">
        <v>784</v>
      </c>
      <c r="S69" t="s">
        <v>793</v>
      </c>
      <c r="T69">
        <v>7616.290471</v>
      </c>
      <c r="U69" s="2">
        <v>44495</v>
      </c>
      <c r="V69" t="s">
        <v>799</v>
      </c>
    </row>
    <row r="70" spans="1:22">
      <c r="A70" s="1" t="s">
        <v>90</v>
      </c>
      <c r="B70">
        <f>HYPERLINK("https://www.suredividend.com/sure-analysis-EXPD/","Expeditors International Of Washington, Inc.")</f>
        <v>0</v>
      </c>
      <c r="C70">
        <v>131.01</v>
      </c>
      <c r="D70">
        <v>138</v>
      </c>
      <c r="E70">
        <v>0.9493478260869564</v>
      </c>
      <c r="F70">
        <v>0.008854285932371574</v>
      </c>
      <c r="G70">
        <v>0.01045023201572071</v>
      </c>
      <c r="H70">
        <v>0.04</v>
      </c>
      <c r="I70">
        <v>0.05891877340111851</v>
      </c>
      <c r="J70" t="s">
        <v>780</v>
      </c>
      <c r="K70" t="s">
        <v>350</v>
      </c>
      <c r="L70">
        <v>7.67</v>
      </c>
      <c r="M70">
        <v>1.16</v>
      </c>
      <c r="N70">
        <v>0.151238591916558</v>
      </c>
      <c r="O70">
        <v>27</v>
      </c>
      <c r="P70">
        <v>0.03980577390781126</v>
      </c>
      <c r="Q70">
        <v>0.46121604047371</v>
      </c>
      <c r="R70" t="s">
        <v>784</v>
      </c>
      <c r="S70" t="s">
        <v>792</v>
      </c>
      <c r="T70">
        <v>22193.59472</v>
      </c>
      <c r="U70" s="2">
        <v>44513</v>
      </c>
      <c r="V70" t="s">
        <v>802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297.82</v>
      </c>
      <c r="D71">
        <v>250</v>
      </c>
      <c r="E71">
        <v>1.19128</v>
      </c>
      <c r="F71">
        <v>0.01517695252165738</v>
      </c>
      <c r="G71">
        <v>-0.03440006050560185</v>
      </c>
      <c r="H71">
        <v>0.08</v>
      </c>
      <c r="I71">
        <v>0.05862211796998995</v>
      </c>
      <c r="J71" t="s">
        <v>780</v>
      </c>
      <c r="K71" t="s">
        <v>781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0.5800841798985871</v>
      </c>
      <c r="R71" t="s">
        <v>784</v>
      </c>
      <c r="S71" t="s">
        <v>793</v>
      </c>
      <c r="T71">
        <v>33321.906401</v>
      </c>
      <c r="U71" s="2">
        <v>44496</v>
      </c>
      <c r="V71" t="s">
        <v>800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236.73</v>
      </c>
      <c r="D72">
        <v>196</v>
      </c>
      <c r="E72">
        <v>1.20780612244898</v>
      </c>
      <c r="F72">
        <v>0.01757276221856123</v>
      </c>
      <c r="G72">
        <v>-0.03705705722495067</v>
      </c>
      <c r="H72">
        <v>0.08</v>
      </c>
      <c r="I72">
        <v>0.0583493724343267</v>
      </c>
      <c r="J72" t="s">
        <v>780</v>
      </c>
      <c r="K72" t="s">
        <v>350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0.39011551705509</v>
      </c>
      <c r="R72" t="s">
        <v>784</v>
      </c>
      <c r="S72" t="s">
        <v>792</v>
      </c>
      <c r="T72">
        <v>99754.244263</v>
      </c>
      <c r="U72" s="2">
        <v>44512</v>
      </c>
      <c r="V72" t="s">
        <v>804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183.88</v>
      </c>
      <c r="D73">
        <v>162</v>
      </c>
      <c r="E73">
        <v>1.135061728395062</v>
      </c>
      <c r="F73">
        <v>0.0147922558190124</v>
      </c>
      <c r="G73">
        <v>-0.02501910899065707</v>
      </c>
      <c r="H73">
        <v>0.07000000000000001</v>
      </c>
      <c r="I73">
        <v>0.05815318474425091</v>
      </c>
      <c r="J73" t="s">
        <v>780</v>
      </c>
      <c r="K73" t="s">
        <v>350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0.297956924883954</v>
      </c>
      <c r="R73" t="s">
        <v>784</v>
      </c>
      <c r="S73" t="s">
        <v>791</v>
      </c>
      <c r="T73">
        <v>205945.6</v>
      </c>
      <c r="U73" s="2">
        <v>44505</v>
      </c>
      <c r="V73" t="s">
        <v>800</v>
      </c>
    </row>
    <row r="74" spans="1:22">
      <c r="A74" s="1" t="s">
        <v>94</v>
      </c>
      <c r="B74">
        <f>HYPERLINK("https://www.suredividend.com/sure-analysis-CL/","Colgate-Palmolive Co.")</f>
        <v>0</v>
      </c>
      <c r="C74">
        <v>79.48</v>
      </c>
      <c r="D74">
        <v>74</v>
      </c>
      <c r="E74">
        <v>1.074054054054054</v>
      </c>
      <c r="F74">
        <v>0.02264720684448918</v>
      </c>
      <c r="G74">
        <v>-0.01418647491362157</v>
      </c>
      <c r="H74">
        <v>0.05</v>
      </c>
      <c r="I74">
        <v>0.05706112100220051</v>
      </c>
      <c r="J74" t="s">
        <v>780</v>
      </c>
      <c r="K74" t="s">
        <v>781</v>
      </c>
      <c r="L74">
        <v>3.2</v>
      </c>
      <c r="M74">
        <v>1.8</v>
      </c>
      <c r="N74">
        <v>0.5625</v>
      </c>
      <c r="O74">
        <v>58</v>
      </c>
      <c r="P74">
        <v>0.05024607263868264</v>
      </c>
      <c r="Q74">
        <v>-0.040085229125749</v>
      </c>
      <c r="R74" t="s">
        <v>784</v>
      </c>
      <c r="S74" t="s">
        <v>795</v>
      </c>
      <c r="T74">
        <v>66981.185474</v>
      </c>
      <c r="U74" s="2">
        <v>44519</v>
      </c>
      <c r="V74" t="s">
        <v>804</v>
      </c>
    </row>
    <row r="75" spans="1:22">
      <c r="A75" s="1" t="s">
        <v>95</v>
      </c>
      <c r="B75">
        <f>HYPERLINK("https://www.suredividend.com/sure-analysis-TGT/","Target Corp")</f>
        <v>0</v>
      </c>
      <c r="C75">
        <v>238.18</v>
      </c>
      <c r="D75">
        <v>239</v>
      </c>
      <c r="E75">
        <v>0.9965690376569037</v>
      </c>
      <c r="F75">
        <v>0.01511461919556638</v>
      </c>
      <c r="G75">
        <v>0.0006876086128217995</v>
      </c>
      <c r="H75">
        <v>0.04</v>
      </c>
      <c r="I75">
        <v>0.05568107635481989</v>
      </c>
      <c r="J75" t="s">
        <v>780</v>
      </c>
      <c r="K75" t="s">
        <v>781</v>
      </c>
      <c r="L75">
        <v>13.25</v>
      </c>
      <c r="M75">
        <v>3.6</v>
      </c>
      <c r="N75">
        <v>0.2716981132075472</v>
      </c>
      <c r="O75">
        <v>54</v>
      </c>
      <c r="P75">
        <v>0.06010506010596317</v>
      </c>
      <c r="Q75">
        <v>0.401158553049952</v>
      </c>
      <c r="R75" t="s">
        <v>784</v>
      </c>
      <c r="S75" t="s">
        <v>795</v>
      </c>
      <c r="T75">
        <v>114117.734789</v>
      </c>
      <c r="U75" s="2">
        <v>44536</v>
      </c>
      <c r="V75" t="s">
        <v>804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68.31999999999999</v>
      </c>
      <c r="D76">
        <v>62</v>
      </c>
      <c r="E76">
        <v>1.101935483870968</v>
      </c>
      <c r="F76">
        <v>0.01536885245901639</v>
      </c>
      <c r="G76">
        <v>-0.01922640188502789</v>
      </c>
      <c r="H76">
        <v>0.06</v>
      </c>
      <c r="I76">
        <v>0.05531188295424183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0.150877476694394</v>
      </c>
      <c r="R76" t="s">
        <v>784</v>
      </c>
      <c r="S76" t="s">
        <v>793</v>
      </c>
      <c r="T76">
        <v>7936.829501</v>
      </c>
      <c r="U76" s="2">
        <v>44499</v>
      </c>
      <c r="V76" t="s">
        <v>803</v>
      </c>
    </row>
    <row r="77" spans="1:22">
      <c r="A77" s="1" t="s">
        <v>97</v>
      </c>
      <c r="B77">
        <f>HYPERLINK("https://www.suredividend.com/sure-analysis-TSN/","Tyson Foods, Inc.")</f>
        <v>0</v>
      </c>
      <c r="C77">
        <v>84.11</v>
      </c>
      <c r="D77">
        <v>81</v>
      </c>
      <c r="E77">
        <v>1.038395061728395</v>
      </c>
      <c r="F77">
        <v>0.02116276304838902</v>
      </c>
      <c r="G77">
        <v>-0.00750694334650559</v>
      </c>
      <c r="H77">
        <v>0.04</v>
      </c>
      <c r="I77">
        <v>0.05355814898643585</v>
      </c>
      <c r="J77" t="s">
        <v>780</v>
      </c>
      <c r="K77" t="s">
        <v>781</v>
      </c>
      <c r="L77">
        <v>6.75</v>
      </c>
      <c r="M77">
        <v>1.78</v>
      </c>
      <c r="N77">
        <v>0.2637037037037037</v>
      </c>
      <c r="O77">
        <v>10</v>
      </c>
      <c r="P77">
        <v>0.05981824312960904</v>
      </c>
      <c r="Q77">
        <v>0.242736176757834</v>
      </c>
      <c r="R77" t="s">
        <v>784</v>
      </c>
      <c r="S77" t="s">
        <v>795</v>
      </c>
      <c r="T77">
        <v>30627.47896</v>
      </c>
      <c r="U77" s="2">
        <v>44515</v>
      </c>
      <c r="V77" t="s">
        <v>801</v>
      </c>
    </row>
    <row r="78" spans="1:22">
      <c r="A78" s="1" t="s">
        <v>98</v>
      </c>
      <c r="B78">
        <f>HYPERLINK("https://www.suredividend.com/sure-analysis-MDT/","Medtronic Plc")</f>
        <v>0</v>
      </c>
      <c r="C78">
        <v>112.43</v>
      </c>
      <c r="D78">
        <v>97</v>
      </c>
      <c r="E78">
        <v>1.159072164948454</v>
      </c>
      <c r="F78">
        <v>0.02241394645557235</v>
      </c>
      <c r="G78">
        <v>-0.02909239087699489</v>
      </c>
      <c r="H78">
        <v>0.06</v>
      </c>
      <c r="I78">
        <v>0.05299261197832594</v>
      </c>
      <c r="J78" t="s">
        <v>780</v>
      </c>
      <c r="K78" t="s">
        <v>781</v>
      </c>
      <c r="L78">
        <v>5.7</v>
      </c>
      <c r="M78">
        <v>2.52</v>
      </c>
      <c r="N78">
        <v>0.4421052631578947</v>
      </c>
      <c r="O78">
        <v>44</v>
      </c>
      <c r="P78">
        <v>0.07513154857768045</v>
      </c>
      <c r="Q78">
        <v>0.020582302886823</v>
      </c>
      <c r="R78" t="s">
        <v>784</v>
      </c>
      <c r="S78" t="s">
        <v>789</v>
      </c>
      <c r="T78">
        <v>151168.631655</v>
      </c>
      <c r="U78" s="2">
        <v>44525</v>
      </c>
      <c r="V78" t="s">
        <v>801</v>
      </c>
    </row>
    <row r="79" spans="1:22">
      <c r="A79" s="1" t="s">
        <v>99</v>
      </c>
      <c r="B79">
        <f>HYPERLINK("https://www.suredividend.com/sure-analysis-LOW/","Lowe`s Cos., Inc.")</f>
        <v>0</v>
      </c>
      <c r="C79">
        <v>261.38</v>
      </c>
      <c r="D79">
        <v>226.94</v>
      </c>
      <c r="E79">
        <v>1.151758173966687</v>
      </c>
      <c r="F79">
        <v>0.01224271176065499</v>
      </c>
      <c r="G79">
        <v>-0.0278624035058318</v>
      </c>
      <c r="H79">
        <v>0.07000000000000001</v>
      </c>
      <c r="I79">
        <v>0.05275295880773845</v>
      </c>
      <c r="J79" t="s">
        <v>780</v>
      </c>
      <c r="K79" t="s">
        <v>781</v>
      </c>
      <c r="L79">
        <v>11.33</v>
      </c>
      <c r="M79">
        <v>3.2</v>
      </c>
      <c r="N79">
        <v>0.2824360105913504</v>
      </c>
      <c r="O79">
        <v>59</v>
      </c>
      <c r="P79">
        <v>0.07008745458377241</v>
      </c>
      <c r="Q79">
        <v>0.6740330182486121</v>
      </c>
      <c r="R79" t="s">
        <v>784</v>
      </c>
      <c r="S79" t="s">
        <v>790</v>
      </c>
      <c r="T79">
        <v>176104.040261</v>
      </c>
      <c r="U79" s="2">
        <v>44434</v>
      </c>
      <c r="V79" t="s">
        <v>805</v>
      </c>
    </row>
    <row r="80" spans="1:22">
      <c r="A80" s="1" t="s">
        <v>100</v>
      </c>
      <c r="B80">
        <f>HYPERLINK("https://www.suredividend.com/sure-analysis-FFMR/","First Farmers Financial Corp")</f>
        <v>0</v>
      </c>
      <c r="C80">
        <v>51</v>
      </c>
      <c r="D80">
        <v>45</v>
      </c>
      <c r="E80">
        <v>1.133333333333333</v>
      </c>
      <c r="F80">
        <v>0.02588235294117647</v>
      </c>
      <c r="G80">
        <v>-0.02472191044052729</v>
      </c>
      <c r="H80">
        <v>0.05</v>
      </c>
      <c r="I80">
        <v>0.05148276887809189</v>
      </c>
      <c r="J80" t="s">
        <v>780</v>
      </c>
      <c r="K80" t="s">
        <v>780</v>
      </c>
      <c r="L80">
        <v>4.5</v>
      </c>
      <c r="M80">
        <v>1.32</v>
      </c>
      <c r="N80">
        <v>0.2933333333333333</v>
      </c>
      <c r="O80">
        <v>30</v>
      </c>
      <c r="P80">
        <v>0.0698417929634616</v>
      </c>
      <c r="Q80">
        <v>0.193261581656527</v>
      </c>
      <c r="R80" t="s">
        <v>784</v>
      </c>
      <c r="S80" t="s">
        <v>793</v>
      </c>
      <c r="T80">
        <v>358.907451</v>
      </c>
      <c r="U80" s="2">
        <v>44253</v>
      </c>
      <c r="V80" t="s">
        <v>804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119.29</v>
      </c>
      <c r="D81">
        <v>113</v>
      </c>
      <c r="E81">
        <v>1.055663716814159</v>
      </c>
      <c r="F81">
        <v>0.01123312934864616</v>
      </c>
      <c r="G81">
        <v>-0.01077546118638872</v>
      </c>
      <c r="H81">
        <v>0.05</v>
      </c>
      <c r="I81">
        <v>0.0506410562099413</v>
      </c>
      <c r="J81" t="s">
        <v>780</v>
      </c>
      <c r="K81" t="s">
        <v>781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0.020808962649636</v>
      </c>
      <c r="R81" t="s">
        <v>784</v>
      </c>
      <c r="S81" t="s">
        <v>794</v>
      </c>
      <c r="T81">
        <v>2673.980305</v>
      </c>
      <c r="U81" s="2">
        <v>44499</v>
      </c>
      <c r="V81" t="s">
        <v>804</v>
      </c>
    </row>
    <row r="82" spans="1:22">
      <c r="A82" s="1" t="s">
        <v>102</v>
      </c>
      <c r="B82">
        <f>HYPERLINK("https://www.suredividend.com/sure-analysis-VFC/","VF Corp.")</f>
        <v>0</v>
      </c>
      <c r="C82">
        <v>75.98</v>
      </c>
      <c r="D82">
        <v>61</v>
      </c>
      <c r="E82">
        <v>1.245573770491803</v>
      </c>
      <c r="F82">
        <v>0.02632271650434325</v>
      </c>
      <c r="G82">
        <v>-0.0429687718034667</v>
      </c>
      <c r="H82">
        <v>0.07000000000000001</v>
      </c>
      <c r="I82">
        <v>0.04959207487923067</v>
      </c>
      <c r="J82" t="s">
        <v>780</v>
      </c>
      <c r="K82" t="s">
        <v>781</v>
      </c>
      <c r="L82">
        <v>3.2</v>
      </c>
      <c r="M82">
        <v>2</v>
      </c>
      <c r="N82">
        <v>0.625</v>
      </c>
      <c r="O82">
        <v>49</v>
      </c>
      <c r="P82">
        <v>0.03886011825408464</v>
      </c>
      <c r="Q82">
        <v>-0.100503732116325</v>
      </c>
      <c r="R82" t="s">
        <v>784</v>
      </c>
      <c r="S82" t="s">
        <v>790</v>
      </c>
      <c r="T82">
        <v>29843.597179</v>
      </c>
      <c r="U82" s="2">
        <v>44493</v>
      </c>
      <c r="V82" t="s">
        <v>801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204.94</v>
      </c>
      <c r="D83">
        <v>173</v>
      </c>
      <c r="E83">
        <v>1.184624277456647</v>
      </c>
      <c r="F83">
        <v>0.02322631013955304</v>
      </c>
      <c r="G83">
        <v>-0.03331746063212759</v>
      </c>
      <c r="H83">
        <v>0.06</v>
      </c>
      <c r="I83">
        <v>0.04870783452043992</v>
      </c>
      <c r="J83" t="s">
        <v>780</v>
      </c>
      <c r="K83" t="s">
        <v>781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0.389893986078678</v>
      </c>
      <c r="R83" t="s">
        <v>784</v>
      </c>
      <c r="S83" t="s">
        <v>792</v>
      </c>
      <c r="T83">
        <v>57221.134552</v>
      </c>
      <c r="U83" s="2">
        <v>44508</v>
      </c>
      <c r="V83" t="s">
        <v>806</v>
      </c>
    </row>
    <row r="84" spans="1:22">
      <c r="A84" s="1" t="s">
        <v>104</v>
      </c>
      <c r="B84">
        <f>HYPERLINK("https://www.suredividend.com/sure-analysis-HRL/","Hormel Foods Corp.")</f>
        <v>0</v>
      </c>
      <c r="C84">
        <v>46.01</v>
      </c>
      <c r="D84">
        <v>43</v>
      </c>
      <c r="E84">
        <v>1.07</v>
      </c>
      <c r="F84">
        <v>0.02260378178656814</v>
      </c>
      <c r="G84">
        <v>-0.01344058740792065</v>
      </c>
      <c r="H84">
        <v>0.04</v>
      </c>
      <c r="I84">
        <v>0.048694519841465</v>
      </c>
      <c r="J84" t="s">
        <v>780</v>
      </c>
      <c r="K84" t="s">
        <v>781</v>
      </c>
      <c r="L84">
        <v>1.95</v>
      </c>
      <c r="M84">
        <v>1.04</v>
      </c>
      <c r="N84">
        <v>0.5333333333333333</v>
      </c>
      <c r="O84">
        <v>56</v>
      </c>
      <c r="P84">
        <v>0.05042164036374652</v>
      </c>
      <c r="Q84">
        <v>-0.004294521022373</v>
      </c>
      <c r="R84" t="s">
        <v>784</v>
      </c>
      <c r="S84" t="s">
        <v>795</v>
      </c>
      <c r="T84">
        <v>24957.615514</v>
      </c>
      <c r="U84" s="2">
        <v>44542</v>
      </c>
      <c r="V84" t="s">
        <v>804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134.84</v>
      </c>
      <c r="D85">
        <v>114</v>
      </c>
      <c r="E85">
        <v>1.18280701754386</v>
      </c>
      <c r="F85">
        <v>0.02417680213586473</v>
      </c>
      <c r="G85">
        <v>-0.0330206015854132</v>
      </c>
      <c r="H85">
        <v>0.06</v>
      </c>
      <c r="I85">
        <v>0.04857819307128919</v>
      </c>
      <c r="J85" t="s">
        <v>780</v>
      </c>
      <c r="K85" t="s">
        <v>780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0.426854021287989</v>
      </c>
      <c r="R85" t="s">
        <v>784</v>
      </c>
      <c r="S85" t="s">
        <v>790</v>
      </c>
      <c r="T85">
        <v>19202.724283</v>
      </c>
      <c r="U85" s="2">
        <v>44499</v>
      </c>
      <c r="V85" t="s">
        <v>804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135.98</v>
      </c>
      <c r="D86">
        <v>112</v>
      </c>
      <c r="E86">
        <v>1.214107142857143</v>
      </c>
      <c r="F86">
        <v>0.01647301073687307</v>
      </c>
      <c r="G86">
        <v>-0.03805864235227718</v>
      </c>
      <c r="H86">
        <v>0.07000000000000001</v>
      </c>
      <c r="I86">
        <v>0.04723382839304313</v>
      </c>
      <c r="J86" t="s">
        <v>780</v>
      </c>
      <c r="K86" t="s">
        <v>781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0.145000244190374</v>
      </c>
      <c r="R86" t="s">
        <v>784</v>
      </c>
      <c r="S86" t="s">
        <v>792</v>
      </c>
      <c r="T86">
        <v>8029.385794</v>
      </c>
      <c r="U86" s="2">
        <v>44500</v>
      </c>
      <c r="V86" t="s">
        <v>803</v>
      </c>
    </row>
    <row r="87" spans="1:22">
      <c r="A87" s="1" t="s">
        <v>107</v>
      </c>
      <c r="B87">
        <f>HYPERLINK("https://www.suredividend.com/sure-analysis-AROW/","Arrow Financial Corp.")</f>
        <v>0</v>
      </c>
      <c r="C87">
        <v>34.65</v>
      </c>
      <c r="D87">
        <v>38</v>
      </c>
      <c r="E87">
        <v>0.9118421052631579</v>
      </c>
      <c r="F87">
        <v>0.03001443001443002</v>
      </c>
      <c r="G87">
        <v>0.0186290828200073</v>
      </c>
      <c r="H87">
        <v>0</v>
      </c>
      <c r="I87">
        <v>0.04666634419282101</v>
      </c>
      <c r="J87" t="s">
        <v>780</v>
      </c>
      <c r="K87" t="s">
        <v>780</v>
      </c>
      <c r="L87">
        <v>3.2</v>
      </c>
      <c r="M87">
        <v>1.04</v>
      </c>
      <c r="N87">
        <v>0.325</v>
      </c>
      <c r="O87">
        <v>26</v>
      </c>
      <c r="P87">
        <v>0.02031177855938826</v>
      </c>
      <c r="Q87">
        <v>0.179229229910562</v>
      </c>
      <c r="R87" t="s">
        <v>784</v>
      </c>
      <c r="S87" t="s">
        <v>793</v>
      </c>
      <c r="T87">
        <v>555.211191</v>
      </c>
      <c r="U87" s="2">
        <v>44518</v>
      </c>
      <c r="V87" t="s">
        <v>804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75.41</v>
      </c>
      <c r="D88">
        <v>70</v>
      </c>
      <c r="E88">
        <v>1.077285714285714</v>
      </c>
      <c r="F88">
        <v>0.00106086725898422</v>
      </c>
      <c r="G88">
        <v>-0.01477863796969292</v>
      </c>
      <c r="H88">
        <v>0.06</v>
      </c>
      <c r="I88">
        <v>0.04522499585035522</v>
      </c>
      <c r="J88" t="s">
        <v>780</v>
      </c>
      <c r="K88" t="s">
        <v>526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0.585172821885096</v>
      </c>
      <c r="R88" t="s">
        <v>784</v>
      </c>
      <c r="S88" t="s">
        <v>792</v>
      </c>
      <c r="T88">
        <v>16622.265614</v>
      </c>
      <c r="U88" s="2">
        <v>44504</v>
      </c>
      <c r="V88" t="s">
        <v>806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203.46</v>
      </c>
      <c r="D89">
        <v>168</v>
      </c>
      <c r="E89">
        <v>1.211071428571429</v>
      </c>
      <c r="F89">
        <v>0.02182247124741964</v>
      </c>
      <c r="G89">
        <v>-0.03757687793790443</v>
      </c>
      <c r="H89">
        <v>0.06</v>
      </c>
      <c r="I89">
        <v>0.04450070900751291</v>
      </c>
      <c r="J89" t="s">
        <v>780</v>
      </c>
      <c r="K89" t="s">
        <v>781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0.152384857801168</v>
      </c>
      <c r="R89" t="s">
        <v>784</v>
      </c>
      <c r="S89" t="s">
        <v>792</v>
      </c>
      <c r="T89">
        <v>110059.977936</v>
      </c>
      <c r="U89" s="2">
        <v>44503</v>
      </c>
      <c r="V89" t="s">
        <v>801</v>
      </c>
    </row>
    <row r="90" spans="1:22">
      <c r="A90" s="1" t="s">
        <v>110</v>
      </c>
      <c r="B90">
        <f>HYPERLINK("https://www.suredividend.com/sure-analysis-PSBQ/","PSB Holdings Inc (WI)")</f>
        <v>0</v>
      </c>
      <c r="C90">
        <v>26.35</v>
      </c>
      <c r="D90">
        <v>30</v>
      </c>
      <c r="E90">
        <v>0.8783333333333334</v>
      </c>
      <c r="F90">
        <v>0.0174573055028463</v>
      </c>
      <c r="G90">
        <v>0.02628534419727102</v>
      </c>
      <c r="H90">
        <v>0</v>
      </c>
      <c r="I90">
        <v>0.04398077505304476</v>
      </c>
      <c r="J90" t="s">
        <v>780</v>
      </c>
      <c r="K90" t="s">
        <v>781</v>
      </c>
      <c r="L90">
        <v>3</v>
      </c>
      <c r="M90">
        <v>0.46</v>
      </c>
      <c r="N90">
        <v>0.1533333333333333</v>
      </c>
      <c r="O90">
        <v>28</v>
      </c>
      <c r="P90">
        <v>0.05103901130952315</v>
      </c>
      <c r="Q90">
        <v>0.235951894031782</v>
      </c>
      <c r="R90" t="s">
        <v>784</v>
      </c>
      <c r="S90" t="s">
        <v>793</v>
      </c>
      <c r="T90">
        <v>117.975933</v>
      </c>
      <c r="U90" s="2">
        <v>44512</v>
      </c>
      <c r="V90" t="s">
        <v>804</v>
      </c>
    </row>
    <row r="91" spans="1:22">
      <c r="A91" s="1" t="s">
        <v>111</v>
      </c>
      <c r="B91">
        <f>HYPERLINK("https://www.suredividend.com/sure-analysis-JKHY/","Jack Henry &amp; Associates, Inc.")</f>
        <v>0</v>
      </c>
      <c r="C91">
        <v>158.25</v>
      </c>
      <c r="D91">
        <v>117</v>
      </c>
      <c r="E91">
        <v>1.352564102564103</v>
      </c>
      <c r="F91">
        <v>0.01162717219589258</v>
      </c>
      <c r="G91">
        <v>-0.05861249721876849</v>
      </c>
      <c r="H91">
        <v>0.095</v>
      </c>
      <c r="I91">
        <v>0.04391432407100493</v>
      </c>
      <c r="J91" t="s">
        <v>780</v>
      </c>
      <c r="K91" t="s">
        <v>350</v>
      </c>
      <c r="L91">
        <v>4.68</v>
      </c>
      <c r="M91">
        <v>1.84</v>
      </c>
      <c r="N91">
        <v>0.3931623931623932</v>
      </c>
      <c r="O91">
        <v>31</v>
      </c>
      <c r="P91">
        <v>0.08991774272866437</v>
      </c>
      <c r="Q91">
        <v>0.027698837807367</v>
      </c>
      <c r="R91" t="s">
        <v>784</v>
      </c>
      <c r="S91" t="s">
        <v>791</v>
      </c>
      <c r="T91">
        <v>11716.993314</v>
      </c>
      <c r="U91" s="2">
        <v>44512</v>
      </c>
      <c r="V91" t="s">
        <v>803</v>
      </c>
    </row>
    <row r="92" spans="1:22">
      <c r="A92" s="1" t="s">
        <v>112</v>
      </c>
      <c r="B92">
        <f>HYPERLINK("https://www.suredividend.com/sure-analysis-PPG/","PPG Industries, Inc.")</f>
        <v>0</v>
      </c>
      <c r="C92">
        <v>163.37</v>
      </c>
      <c r="D92">
        <v>127</v>
      </c>
      <c r="E92">
        <v>1.286377952755906</v>
      </c>
      <c r="F92">
        <v>0.01444573667135949</v>
      </c>
      <c r="G92">
        <v>-0.04911875315985414</v>
      </c>
      <c r="H92">
        <v>0.08</v>
      </c>
      <c r="I92">
        <v>0.04291306638778103</v>
      </c>
      <c r="J92" t="s">
        <v>780</v>
      </c>
      <c r="K92" t="s">
        <v>781</v>
      </c>
      <c r="L92">
        <v>6.7</v>
      </c>
      <c r="M92">
        <v>2.36</v>
      </c>
      <c r="N92">
        <v>0.3522388059701492</v>
      </c>
      <c r="O92">
        <v>50</v>
      </c>
      <c r="P92">
        <v>0.08014856837381279</v>
      </c>
      <c r="Q92">
        <v>0.15935467297214</v>
      </c>
      <c r="R92" t="s">
        <v>784</v>
      </c>
      <c r="S92" t="s">
        <v>794</v>
      </c>
      <c r="T92">
        <v>38784.177355</v>
      </c>
      <c r="U92" s="2">
        <v>44490</v>
      </c>
      <c r="V92" t="s">
        <v>800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75.22</v>
      </c>
      <c r="D93">
        <v>64</v>
      </c>
      <c r="E93">
        <v>1.1753125</v>
      </c>
      <c r="F93">
        <v>0.01116724275458655</v>
      </c>
      <c r="G93">
        <v>-0.0317905236573589</v>
      </c>
      <c r="H93">
        <v>0.065</v>
      </c>
      <c r="I93">
        <v>0.0423455568684592</v>
      </c>
      <c r="J93" t="s">
        <v>780</v>
      </c>
      <c r="K93" t="s">
        <v>781</v>
      </c>
      <c r="L93">
        <v>3.37</v>
      </c>
      <c r="M93">
        <v>0.84</v>
      </c>
      <c r="N93">
        <v>0.2492581602373887</v>
      </c>
      <c r="O93">
        <v>46</v>
      </c>
      <c r="P93">
        <v>0.04959293402845044</v>
      </c>
      <c r="Q93">
        <v>0.479610603941563</v>
      </c>
      <c r="R93" t="s">
        <v>784</v>
      </c>
      <c r="S93" t="s">
        <v>792</v>
      </c>
      <c r="T93">
        <v>12447.271633</v>
      </c>
      <c r="U93" s="2">
        <v>44503</v>
      </c>
      <c r="V93" t="s">
        <v>803</v>
      </c>
    </row>
    <row r="94" spans="1:22">
      <c r="A94" s="1" t="s">
        <v>114</v>
      </c>
      <c r="B94">
        <f>HYPERLINK("https://www.suredividend.com/sure-analysis-KR/","Kroger Co.")</f>
        <v>0</v>
      </c>
      <c r="C94">
        <v>44.6</v>
      </c>
      <c r="D94">
        <v>45</v>
      </c>
      <c r="E94">
        <v>0.9911111111111112</v>
      </c>
      <c r="F94">
        <v>0.01883408071748879</v>
      </c>
      <c r="G94">
        <v>0.00178732150728278</v>
      </c>
      <c r="H94">
        <v>0.02</v>
      </c>
      <c r="I94">
        <v>0.04227000781900125</v>
      </c>
      <c r="J94" t="s">
        <v>780</v>
      </c>
      <c r="K94" t="s">
        <v>781</v>
      </c>
      <c r="L94">
        <v>3.45</v>
      </c>
      <c r="M94">
        <v>0.84</v>
      </c>
      <c r="N94">
        <v>0.2434782608695652</v>
      </c>
      <c r="O94">
        <v>16</v>
      </c>
      <c r="P94">
        <v>0.07033701387905711</v>
      </c>
      <c r="Q94">
        <v>0.4521018034062531</v>
      </c>
      <c r="R94" t="s">
        <v>784</v>
      </c>
      <c r="S94" t="s">
        <v>795</v>
      </c>
      <c r="T94">
        <v>33166.276609</v>
      </c>
      <c r="U94" s="2">
        <v>44534</v>
      </c>
      <c r="V94" t="s">
        <v>801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90.51000000000001</v>
      </c>
      <c r="D95">
        <v>69</v>
      </c>
      <c r="E95">
        <v>1.311739130434783</v>
      </c>
      <c r="F95">
        <v>0.01635178433322285</v>
      </c>
      <c r="G95">
        <v>-0.05282439254481408</v>
      </c>
      <c r="H95">
        <v>0.08</v>
      </c>
      <c r="I95">
        <v>0.04077393528346951</v>
      </c>
      <c r="J95" t="s">
        <v>780</v>
      </c>
      <c r="K95" t="s">
        <v>350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-0.012421384334041</v>
      </c>
      <c r="R95" t="s">
        <v>784</v>
      </c>
      <c r="S95" t="s">
        <v>795</v>
      </c>
      <c r="T95">
        <v>24190.42406</v>
      </c>
      <c r="U95" s="2">
        <v>44470</v>
      </c>
      <c r="V95" t="s">
        <v>800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36.74</v>
      </c>
      <c r="D96">
        <v>28</v>
      </c>
      <c r="E96">
        <v>1.312142857142857</v>
      </c>
      <c r="F96">
        <v>0.01007076755579749</v>
      </c>
      <c r="G96">
        <v>-0.05288268606980451</v>
      </c>
      <c r="H96">
        <v>0.08</v>
      </c>
      <c r="I96">
        <v>0.03525701925437841</v>
      </c>
      <c r="J96" t="s">
        <v>780</v>
      </c>
      <c r="K96" t="s">
        <v>350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0.232579829169937</v>
      </c>
      <c r="R96" t="s">
        <v>784</v>
      </c>
      <c r="S96" t="s">
        <v>792</v>
      </c>
      <c r="T96">
        <v>82830.179733</v>
      </c>
      <c r="U96" s="2">
        <v>44493</v>
      </c>
      <c r="V96" t="s">
        <v>804</v>
      </c>
    </row>
    <row r="97" spans="1:22">
      <c r="A97" s="1" t="s">
        <v>117</v>
      </c>
      <c r="B97">
        <f>HYPERLINK("https://www.suredividend.com/sure-analysis-SBSI/","Southside Bancshares Inc")</f>
        <v>0</v>
      </c>
      <c r="C97">
        <v>41.51</v>
      </c>
      <c r="D97">
        <v>36</v>
      </c>
      <c r="E97">
        <v>1.153055555555556</v>
      </c>
      <c r="F97">
        <v>0.03179956636954951</v>
      </c>
      <c r="G97">
        <v>-0.02808126571709879</v>
      </c>
      <c r="H97">
        <v>0.03</v>
      </c>
      <c r="I97">
        <v>0.03352884229787723</v>
      </c>
      <c r="J97" t="s">
        <v>780</v>
      </c>
      <c r="K97" t="s">
        <v>780</v>
      </c>
      <c r="L97">
        <v>3.01</v>
      </c>
      <c r="M97">
        <v>1.32</v>
      </c>
      <c r="N97">
        <v>0.4385382059800665</v>
      </c>
      <c r="O97">
        <v>27</v>
      </c>
      <c r="P97">
        <v>0.02996744995959233</v>
      </c>
      <c r="Q97">
        <v>0.378849884403816</v>
      </c>
      <c r="R97" t="s">
        <v>784</v>
      </c>
      <c r="S97" t="s">
        <v>793</v>
      </c>
      <c r="T97">
        <v>1339.779126</v>
      </c>
      <c r="U97" s="2">
        <v>44495</v>
      </c>
      <c r="V97" t="s">
        <v>800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167.04</v>
      </c>
      <c r="D98">
        <v>131</v>
      </c>
      <c r="E98">
        <v>1.275114503816794</v>
      </c>
      <c r="F98">
        <v>0.01029693486590038</v>
      </c>
      <c r="G98">
        <v>-0.04744477656147683</v>
      </c>
      <c r="H98">
        <v>0.07000000000000001</v>
      </c>
      <c r="I98">
        <v>0.03105570659562673</v>
      </c>
      <c r="J98" t="s">
        <v>780</v>
      </c>
      <c r="K98" t="s">
        <v>350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0.4054499787537491</v>
      </c>
      <c r="R98" t="s">
        <v>784</v>
      </c>
      <c r="S98" t="s">
        <v>793</v>
      </c>
      <c r="T98">
        <v>129374.04876</v>
      </c>
      <c r="U98" s="2">
        <v>44491</v>
      </c>
      <c r="V98" t="s">
        <v>803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269.97</v>
      </c>
      <c r="D99">
        <v>252</v>
      </c>
      <c r="E99">
        <v>1.071309523809524</v>
      </c>
      <c r="F99">
        <v>0.02296551468681705</v>
      </c>
      <c r="G99">
        <v>-0.01368189118656848</v>
      </c>
      <c r="H99">
        <v>0.02</v>
      </c>
      <c r="I99">
        <v>0.03080354331980883</v>
      </c>
      <c r="J99" t="s">
        <v>780</v>
      </c>
      <c r="K99" t="s">
        <v>781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0.193347277893393</v>
      </c>
      <c r="R99" t="s">
        <v>784</v>
      </c>
      <c r="S99" t="s">
        <v>793</v>
      </c>
      <c r="T99">
        <v>10713.649572</v>
      </c>
      <c r="U99" s="2">
        <v>44508</v>
      </c>
      <c r="V99" t="s">
        <v>803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171.37</v>
      </c>
      <c r="D100">
        <v>127</v>
      </c>
      <c r="E100">
        <v>1.349370078740157</v>
      </c>
      <c r="F100">
        <v>0.01167065414016456</v>
      </c>
      <c r="G100">
        <v>-0.05816725668973188</v>
      </c>
      <c r="H100">
        <v>0.08</v>
      </c>
      <c r="I100">
        <v>0.02951891034556775</v>
      </c>
      <c r="J100" t="s">
        <v>780</v>
      </c>
      <c r="K100" t="s">
        <v>781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0.430461585979206</v>
      </c>
      <c r="R100" t="s">
        <v>784</v>
      </c>
      <c r="S100" t="s">
        <v>792</v>
      </c>
      <c r="T100">
        <v>24673.210138</v>
      </c>
      <c r="U100" s="2">
        <v>44488</v>
      </c>
      <c r="V100" t="s">
        <v>800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44.45</v>
      </c>
      <c r="D101">
        <v>48</v>
      </c>
      <c r="E101">
        <v>0.9260416666666668</v>
      </c>
      <c r="F101">
        <v>0.02384701912260967</v>
      </c>
      <c r="G101">
        <v>0.01548589251943078</v>
      </c>
      <c r="H101">
        <v>-0.01</v>
      </c>
      <c r="I101">
        <v>0.02897232824658547</v>
      </c>
      <c r="J101" t="s">
        <v>780</v>
      </c>
      <c r="K101" t="s">
        <v>780</v>
      </c>
      <c r="L101">
        <v>4.4</v>
      </c>
      <c r="M101">
        <v>1.06</v>
      </c>
      <c r="N101">
        <v>0.2409090909090909</v>
      </c>
      <c r="O101">
        <v>32</v>
      </c>
      <c r="P101">
        <v>0.01994322923769842</v>
      </c>
      <c r="Q101">
        <v>0.201893827754689</v>
      </c>
      <c r="R101" t="s">
        <v>784</v>
      </c>
      <c r="S101" t="s">
        <v>793</v>
      </c>
      <c r="T101">
        <v>572.157555</v>
      </c>
      <c r="U101" s="2">
        <v>44518</v>
      </c>
      <c r="V101" t="s">
        <v>804</v>
      </c>
    </row>
    <row r="102" spans="1:22">
      <c r="A102" s="1" t="s">
        <v>122</v>
      </c>
      <c r="B102">
        <f>HYPERLINK("https://www.suredividend.com/sure-analysis-COST/","Costco Wholesale Corp")</f>
        <v>0</v>
      </c>
      <c r="C102">
        <v>558.8200000000001</v>
      </c>
      <c r="D102">
        <v>405</v>
      </c>
      <c r="E102">
        <v>1.379802469135803</v>
      </c>
      <c r="F102">
        <v>0.005654772556458251</v>
      </c>
      <c r="G102">
        <v>-0.06235894156318667</v>
      </c>
      <c r="H102">
        <v>0.09</v>
      </c>
      <c r="I102">
        <v>0.02889759535714065</v>
      </c>
      <c r="J102" t="s">
        <v>780</v>
      </c>
      <c r="K102" t="s">
        <v>526</v>
      </c>
      <c r="L102">
        <v>12.65</v>
      </c>
      <c r="M102">
        <v>3.16</v>
      </c>
      <c r="N102">
        <v>0.249802371541502</v>
      </c>
      <c r="O102">
        <v>18</v>
      </c>
      <c r="P102">
        <v>0.1000340793951375</v>
      </c>
      <c r="Q102">
        <v>0.501157526176639</v>
      </c>
      <c r="R102" t="s">
        <v>784</v>
      </c>
      <c r="S102" t="s">
        <v>795</v>
      </c>
      <c r="T102">
        <v>246899.982063</v>
      </c>
      <c r="U102" s="2">
        <v>44542</v>
      </c>
      <c r="V102" t="s">
        <v>804</v>
      </c>
    </row>
    <row r="103" spans="1:22">
      <c r="A103" s="1" t="s">
        <v>123</v>
      </c>
      <c r="B103">
        <f>HYPERLINK("https://www.suredividend.com/sure-analysis-OZK/","Bank OZK")</f>
        <v>0</v>
      </c>
      <c r="C103">
        <v>45.41</v>
      </c>
      <c r="D103">
        <v>46</v>
      </c>
      <c r="E103">
        <v>0.9871739130434782</v>
      </c>
      <c r="F103">
        <v>0.02554503413345078</v>
      </c>
      <c r="G103">
        <v>0.002585146018130757</v>
      </c>
      <c r="H103">
        <v>0</v>
      </c>
      <c r="I103">
        <v>0.02877218132798931</v>
      </c>
      <c r="J103" t="s">
        <v>780</v>
      </c>
      <c r="K103" t="s">
        <v>781</v>
      </c>
      <c r="L103">
        <v>4.2</v>
      </c>
      <c r="M103">
        <v>1.16</v>
      </c>
      <c r="N103">
        <v>0.2761904761904762</v>
      </c>
      <c r="O103">
        <v>25</v>
      </c>
      <c r="P103">
        <v>0.02927011184548056</v>
      </c>
      <c r="Q103">
        <v>0.5071357451045461</v>
      </c>
      <c r="R103" t="s">
        <v>784</v>
      </c>
      <c r="S103" t="s">
        <v>793</v>
      </c>
      <c r="T103">
        <v>5520.819608</v>
      </c>
      <c r="U103" s="2">
        <v>44493</v>
      </c>
      <c r="V103" t="s">
        <v>801</v>
      </c>
    </row>
    <row r="104" spans="1:22">
      <c r="A104" s="1" t="s">
        <v>124</v>
      </c>
      <c r="B104">
        <f>HYPERLINK("https://www.suredividend.com/sure-analysis-ORCL/","Oracle Corp.")</f>
        <v>0</v>
      </c>
      <c r="C104">
        <v>102.63</v>
      </c>
      <c r="D104">
        <v>75</v>
      </c>
      <c r="E104">
        <v>1.3684</v>
      </c>
      <c r="F104">
        <v>0.01247198674851408</v>
      </c>
      <c r="G104">
        <v>-0.06080150733585765</v>
      </c>
      <c r="H104">
        <v>0.08</v>
      </c>
      <c r="I104">
        <v>0.02845880862572581</v>
      </c>
      <c r="J104" t="s">
        <v>780</v>
      </c>
      <c r="K104" t="s">
        <v>350</v>
      </c>
      <c r="L104">
        <v>4.7</v>
      </c>
      <c r="M104">
        <v>1.28</v>
      </c>
      <c r="N104">
        <v>0.2723404255319149</v>
      </c>
      <c r="O104">
        <v>12</v>
      </c>
      <c r="P104">
        <v>0.07056368416916192</v>
      </c>
      <c r="Q104">
        <v>0.719374839798091</v>
      </c>
      <c r="R104" t="s">
        <v>784</v>
      </c>
      <c r="S104" t="s">
        <v>791</v>
      </c>
      <c r="T104">
        <v>281019.31077</v>
      </c>
      <c r="U104" s="2">
        <v>44476</v>
      </c>
      <c r="V104" t="s">
        <v>803</v>
      </c>
    </row>
    <row r="105" spans="1:22">
      <c r="A105" s="1" t="s">
        <v>125</v>
      </c>
      <c r="B105">
        <f>HYPERLINK("https://www.suredividend.com/sure-analysis-SPGI/","S&amp;P Global Inc")</f>
        <v>0</v>
      </c>
      <c r="C105">
        <v>473.67</v>
      </c>
      <c r="D105">
        <v>355</v>
      </c>
      <c r="E105">
        <v>1.334281690140845</v>
      </c>
      <c r="F105">
        <v>0.006502417294741065</v>
      </c>
      <c r="G105">
        <v>-0.0560467311938625</v>
      </c>
      <c r="H105">
        <v>0.08</v>
      </c>
      <c r="I105">
        <v>0.02789737254845659</v>
      </c>
      <c r="J105" t="s">
        <v>780</v>
      </c>
      <c r="K105" t="s">
        <v>350</v>
      </c>
      <c r="L105">
        <v>13.65</v>
      </c>
      <c r="M105">
        <v>3.08</v>
      </c>
      <c r="N105">
        <v>0.2256410256410256</v>
      </c>
      <c r="O105">
        <v>48</v>
      </c>
      <c r="P105">
        <v>0.1200820117377759</v>
      </c>
      <c r="Q105">
        <v>0.4696565123527841</v>
      </c>
      <c r="R105" t="s">
        <v>784</v>
      </c>
      <c r="S105" t="s">
        <v>793</v>
      </c>
      <c r="T105">
        <v>114154.47</v>
      </c>
      <c r="U105" s="2">
        <v>44512</v>
      </c>
      <c r="V105" t="s">
        <v>804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67.22</v>
      </c>
      <c r="D106">
        <v>53</v>
      </c>
      <c r="E106">
        <v>1.268301886792453</v>
      </c>
      <c r="F106">
        <v>0.006099375185956561</v>
      </c>
      <c r="G106">
        <v>-0.04642364810747368</v>
      </c>
      <c r="H106">
        <v>0.07000000000000001</v>
      </c>
      <c r="I106">
        <v>0.02755948313287337</v>
      </c>
      <c r="J106" t="s">
        <v>780</v>
      </c>
      <c r="K106" t="s">
        <v>350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0.504003365601936</v>
      </c>
      <c r="R106" t="s">
        <v>784</v>
      </c>
      <c r="S106" t="s">
        <v>793</v>
      </c>
      <c r="T106">
        <v>18981.907849</v>
      </c>
      <c r="U106" s="2">
        <v>44507</v>
      </c>
      <c r="V106" t="s">
        <v>804</v>
      </c>
    </row>
    <row r="107" spans="1:22">
      <c r="A107" s="1" t="s">
        <v>127</v>
      </c>
      <c r="B107">
        <f>HYPERLINK("https://www.suredividend.com/sure-analysis-TROW/","T. Rowe Price Group Inc.")</f>
        <v>0</v>
      </c>
      <c r="C107">
        <v>196.17</v>
      </c>
      <c r="D107">
        <v>179</v>
      </c>
      <c r="E107">
        <v>1.095921787709497</v>
      </c>
      <c r="F107">
        <v>0.02202171585869399</v>
      </c>
      <c r="G107">
        <v>-0.01815238893064386</v>
      </c>
      <c r="H107">
        <v>0.02</v>
      </c>
      <c r="I107">
        <v>0.02539298349839925</v>
      </c>
      <c r="J107" t="s">
        <v>780</v>
      </c>
      <c r="K107" t="s">
        <v>781</v>
      </c>
      <c r="L107">
        <v>12.74</v>
      </c>
      <c r="M107">
        <v>4.32</v>
      </c>
      <c r="N107">
        <v>0.3390894819466248</v>
      </c>
      <c r="O107">
        <v>35</v>
      </c>
      <c r="P107">
        <v>0.04563955259127317</v>
      </c>
      <c r="Q107">
        <v>0.3453016281873501</v>
      </c>
      <c r="R107" t="s">
        <v>784</v>
      </c>
      <c r="S107" t="s">
        <v>793</v>
      </c>
      <c r="T107">
        <v>44089.471152</v>
      </c>
      <c r="U107" s="2">
        <v>44502</v>
      </c>
      <c r="V107" t="s">
        <v>801</v>
      </c>
    </row>
    <row r="108" spans="1:22">
      <c r="A108" s="1" t="s">
        <v>128</v>
      </c>
      <c r="B108">
        <f>HYPERLINK("https://www.suredividend.com/sure-analysis-AMAT/","Applied Materials Inc.")</f>
        <v>0</v>
      </c>
      <c r="C108">
        <v>152.73</v>
      </c>
      <c r="D108">
        <v>130</v>
      </c>
      <c r="E108">
        <v>1.174846153846154</v>
      </c>
      <c r="F108">
        <v>0.006285602042820664</v>
      </c>
      <c r="G108">
        <v>-0.03171367119630741</v>
      </c>
      <c r="H108">
        <v>0.05</v>
      </c>
      <c r="I108">
        <v>0.02449413309963289</v>
      </c>
      <c r="J108" t="s">
        <v>780</v>
      </c>
      <c r="K108" t="s">
        <v>526</v>
      </c>
      <c r="L108">
        <v>8.15</v>
      </c>
      <c r="M108">
        <v>0.96</v>
      </c>
      <c r="N108">
        <v>0.1177914110429448</v>
      </c>
      <c r="O108">
        <v>4</v>
      </c>
      <c r="P108">
        <v>0.1005558662160053</v>
      </c>
      <c r="Q108">
        <v>0.7419679344683361</v>
      </c>
      <c r="R108" t="s">
        <v>784</v>
      </c>
      <c r="S108" t="s">
        <v>791</v>
      </c>
      <c r="T108">
        <v>137904.269805</v>
      </c>
      <c r="U108" s="2">
        <v>44535</v>
      </c>
      <c r="V108" t="s">
        <v>804</v>
      </c>
    </row>
    <row r="109" spans="1:22">
      <c r="A109" s="1" t="s">
        <v>129</v>
      </c>
      <c r="B109">
        <f>HYPERLINK("https://www.suredividend.com/sure-analysis-CSL/","Carlisle Companies Inc.")</f>
        <v>0</v>
      </c>
      <c r="C109">
        <v>241.09</v>
      </c>
      <c r="D109">
        <v>184</v>
      </c>
      <c r="E109">
        <v>1.310271739130435</v>
      </c>
      <c r="F109">
        <v>0.00895930980131901</v>
      </c>
      <c r="G109">
        <v>-0.05261233652474184</v>
      </c>
      <c r="H109">
        <v>0.07000000000000001</v>
      </c>
      <c r="I109">
        <v>0.02364621820229607</v>
      </c>
      <c r="J109" t="s">
        <v>780</v>
      </c>
      <c r="K109" t="s">
        <v>350</v>
      </c>
      <c r="L109">
        <v>9.199999999999999</v>
      </c>
      <c r="M109">
        <v>2.16</v>
      </c>
      <c r="N109">
        <v>0.2347826086956522</v>
      </c>
      <c r="O109">
        <v>45</v>
      </c>
      <c r="P109">
        <v>0.05995839365595068</v>
      </c>
      <c r="Q109">
        <v>0.568129530048986</v>
      </c>
      <c r="R109" t="s">
        <v>784</v>
      </c>
      <c r="S109" t="s">
        <v>792</v>
      </c>
      <c r="T109">
        <v>12604.764136</v>
      </c>
      <c r="U109" s="2">
        <v>44509</v>
      </c>
      <c r="V109" t="s">
        <v>803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397.75</v>
      </c>
      <c r="D110">
        <v>320</v>
      </c>
      <c r="E110">
        <v>1.24296875</v>
      </c>
      <c r="F110">
        <v>0.006235072281583909</v>
      </c>
      <c r="G110">
        <v>-0.04256795745058084</v>
      </c>
      <c r="H110">
        <v>0.06</v>
      </c>
      <c r="I110">
        <v>0.02287810205390395</v>
      </c>
      <c r="J110" t="s">
        <v>780</v>
      </c>
      <c r="K110" t="s">
        <v>526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0.45905475994835</v>
      </c>
      <c r="R110" t="s">
        <v>784</v>
      </c>
      <c r="S110" t="s">
        <v>793</v>
      </c>
      <c r="T110">
        <v>73941.72500000001</v>
      </c>
      <c r="U110" s="2">
        <v>44518</v>
      </c>
      <c r="V110" t="s">
        <v>804</v>
      </c>
    </row>
    <row r="111" spans="1:22">
      <c r="A111" s="1" t="s">
        <v>131</v>
      </c>
      <c r="B111">
        <f>HYPERLINK("https://www.suredividend.com/sure-analysis-SRCE/","1st Source Corp.")</f>
        <v>0</v>
      </c>
      <c r="C111">
        <v>47.4</v>
      </c>
      <c r="D111">
        <v>60</v>
      </c>
      <c r="E111">
        <v>0.7899999999999999</v>
      </c>
      <c r="F111">
        <v>0.02616033755274262</v>
      </c>
      <c r="G111">
        <v>0.04827343874993084</v>
      </c>
      <c r="H111">
        <v>-0.05</v>
      </c>
      <c r="I111">
        <v>0.02263024554895021</v>
      </c>
      <c r="J111" t="s">
        <v>780</v>
      </c>
      <c r="K111" t="s">
        <v>780</v>
      </c>
      <c r="L111">
        <v>4.8</v>
      </c>
      <c r="M111">
        <v>1.24</v>
      </c>
      <c r="N111">
        <v>0.2583333333333334</v>
      </c>
      <c r="O111">
        <v>34</v>
      </c>
      <c r="P111">
        <v>0.02013999925026777</v>
      </c>
      <c r="Q111">
        <v>0.214341527149756</v>
      </c>
      <c r="R111" t="s">
        <v>784</v>
      </c>
      <c r="S111" t="s">
        <v>793</v>
      </c>
      <c r="T111">
        <v>1185.293738</v>
      </c>
      <c r="U111" s="2">
        <v>44498</v>
      </c>
      <c r="V111" t="s">
        <v>804</v>
      </c>
    </row>
    <row r="112" spans="1:22">
      <c r="A112" s="1" t="s">
        <v>132</v>
      </c>
      <c r="B112">
        <f>HYPERLINK("https://www.suredividend.com/sure-analysis-CHD/","Church &amp; Dwight Co., Inc.")</f>
        <v>0</v>
      </c>
      <c r="C112">
        <v>95.66</v>
      </c>
      <c r="D112">
        <v>75</v>
      </c>
      <c r="E112">
        <v>1.275466666666667</v>
      </c>
      <c r="F112">
        <v>0.01055822705415011</v>
      </c>
      <c r="G112">
        <v>-0.04749738344260357</v>
      </c>
      <c r="H112">
        <v>0.06</v>
      </c>
      <c r="I112">
        <v>0.02187590266097872</v>
      </c>
      <c r="J112" t="s">
        <v>780</v>
      </c>
      <c r="K112" t="s">
        <v>350</v>
      </c>
      <c r="L112">
        <v>3</v>
      </c>
      <c r="M112">
        <v>1.01</v>
      </c>
      <c r="N112">
        <v>0.3366666666666667</v>
      </c>
      <c r="O112">
        <v>25</v>
      </c>
      <c r="P112">
        <v>0.0705165705095081</v>
      </c>
      <c r="Q112">
        <v>0.127320642284011</v>
      </c>
      <c r="R112" t="s">
        <v>784</v>
      </c>
      <c r="S112" t="s">
        <v>795</v>
      </c>
      <c r="T112">
        <v>23352.791208</v>
      </c>
      <c r="U112" s="2">
        <v>44519</v>
      </c>
      <c r="V112" t="s">
        <v>804</v>
      </c>
    </row>
    <row r="113" spans="1:22">
      <c r="A113" s="1" t="s">
        <v>133</v>
      </c>
      <c r="B113">
        <f>HYPERLINK("https://www.suredividend.com/sure-analysis-FUL/","H.B. Fuller Company")</f>
        <v>0</v>
      </c>
      <c r="C113">
        <v>78.55</v>
      </c>
      <c r="D113">
        <v>54</v>
      </c>
      <c r="E113">
        <v>1.454629629629629</v>
      </c>
      <c r="F113">
        <v>0.008529598981540421</v>
      </c>
      <c r="G113">
        <v>-0.07221036992829821</v>
      </c>
      <c r="H113">
        <v>0.09</v>
      </c>
      <c r="I113">
        <v>0.02061365234892687</v>
      </c>
      <c r="J113" t="s">
        <v>780</v>
      </c>
      <c r="K113" t="s">
        <v>350</v>
      </c>
      <c r="L113">
        <v>3.6</v>
      </c>
      <c r="M113">
        <v>0.67</v>
      </c>
      <c r="N113">
        <v>0.1861111111111111</v>
      </c>
      <c r="O113">
        <v>52</v>
      </c>
      <c r="P113">
        <v>0.05119849323654324</v>
      </c>
      <c r="Q113">
        <v>0.532236667551074</v>
      </c>
      <c r="R113" t="s">
        <v>784</v>
      </c>
      <c r="S113" t="s">
        <v>794</v>
      </c>
      <c r="T113">
        <v>4127.595323</v>
      </c>
      <c r="U113" s="2">
        <v>44463</v>
      </c>
      <c r="V113" t="s">
        <v>807</v>
      </c>
    </row>
    <row r="114" spans="1:22">
      <c r="A114" s="1" t="s">
        <v>134</v>
      </c>
      <c r="B114">
        <f>HYPERLINK("https://www.suredividend.com/sure-analysis-CSVI/","Computer Services, Inc.")</f>
        <v>0</v>
      </c>
      <c r="C114">
        <v>56.19</v>
      </c>
      <c r="D114">
        <v>37</v>
      </c>
      <c r="E114">
        <v>1.518648648648649</v>
      </c>
      <c r="F114">
        <v>0.01922050186865991</v>
      </c>
      <c r="G114">
        <v>-0.08016794866074861</v>
      </c>
      <c r="H114">
        <v>0.08</v>
      </c>
      <c r="I114">
        <v>0.01737331370044526</v>
      </c>
      <c r="J114" t="s">
        <v>780</v>
      </c>
      <c r="K114" t="s">
        <v>781</v>
      </c>
      <c r="L114">
        <v>2.15</v>
      </c>
      <c r="M114">
        <v>1.08</v>
      </c>
      <c r="N114">
        <v>0.5023255813953489</v>
      </c>
      <c r="O114">
        <v>50</v>
      </c>
      <c r="P114">
        <v>0.08178074106640287</v>
      </c>
      <c r="Q114">
        <v>-0.052323737949551</v>
      </c>
      <c r="R114" t="s">
        <v>784</v>
      </c>
      <c r="S114" t="s">
        <v>791</v>
      </c>
      <c r="T114">
        <v>1542.851422</v>
      </c>
      <c r="U114" s="2">
        <v>44477</v>
      </c>
      <c r="V114" t="s">
        <v>807</v>
      </c>
    </row>
    <row r="115" spans="1:22">
      <c r="A115" s="1" t="s">
        <v>135</v>
      </c>
      <c r="B115">
        <f>HYPERLINK("https://www.suredividend.com/sure-analysis-CB/","Chubb Limited")</f>
        <v>0</v>
      </c>
      <c r="C115">
        <v>191.48</v>
      </c>
      <c r="D115">
        <v>148</v>
      </c>
      <c r="E115">
        <v>1.293783783783784</v>
      </c>
      <c r="F115">
        <v>0.01671192813870901</v>
      </c>
      <c r="G115">
        <v>-0.05020985439449877</v>
      </c>
      <c r="H115">
        <v>0.05</v>
      </c>
      <c r="I115">
        <v>0.01641976256888911</v>
      </c>
      <c r="J115" t="s">
        <v>780</v>
      </c>
      <c r="K115" t="s">
        <v>781</v>
      </c>
      <c r="L115">
        <v>12.2</v>
      </c>
      <c r="M115">
        <v>3.2</v>
      </c>
      <c r="N115">
        <v>0.2622950819672131</v>
      </c>
      <c r="O115">
        <v>28</v>
      </c>
      <c r="P115">
        <v>0.05488534927137567</v>
      </c>
      <c r="Q115">
        <v>0.268991460967262</v>
      </c>
      <c r="R115" t="s">
        <v>784</v>
      </c>
      <c r="S115" t="s">
        <v>793</v>
      </c>
      <c r="T115">
        <v>82474.032882</v>
      </c>
      <c r="U115" s="2">
        <v>44506</v>
      </c>
      <c r="V115" t="s">
        <v>803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264.97</v>
      </c>
      <c r="D116">
        <v>186</v>
      </c>
      <c r="E116">
        <v>1.424569892473118</v>
      </c>
      <c r="F116">
        <v>0.0208325470808016</v>
      </c>
      <c r="G116">
        <v>-0.06832756220172431</v>
      </c>
      <c r="H116">
        <v>0.06</v>
      </c>
      <c r="I116">
        <v>0.01246566824694462</v>
      </c>
      <c r="J116" t="s">
        <v>780</v>
      </c>
      <c r="K116" t="s">
        <v>781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0.304566598526116</v>
      </c>
      <c r="R116" t="s">
        <v>784</v>
      </c>
      <c r="S116" t="s">
        <v>790</v>
      </c>
      <c r="T116">
        <v>197997.620792</v>
      </c>
      <c r="U116" s="2">
        <v>44497</v>
      </c>
      <c r="V116" t="s">
        <v>801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45.44</v>
      </c>
      <c r="D117">
        <v>33</v>
      </c>
      <c r="E117">
        <v>1.376969696969697</v>
      </c>
      <c r="F117">
        <v>0.01496478873239437</v>
      </c>
      <c r="G117">
        <v>-0.06197346605605558</v>
      </c>
      <c r="H117">
        <v>0.06</v>
      </c>
      <c r="I117">
        <v>0.01149641695170978</v>
      </c>
      <c r="J117" t="s">
        <v>780</v>
      </c>
      <c r="K117" t="s">
        <v>350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0.3066763308367551</v>
      </c>
      <c r="R117" t="s">
        <v>784</v>
      </c>
      <c r="S117" t="s">
        <v>792</v>
      </c>
      <c r="T117">
        <v>1186.933255</v>
      </c>
      <c r="U117" s="2">
        <v>44499</v>
      </c>
      <c r="V117" t="s">
        <v>804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36.21</v>
      </c>
      <c r="D118">
        <v>34</v>
      </c>
      <c r="E118">
        <v>1.065</v>
      </c>
      <c r="F118">
        <v>0.03866335266500966</v>
      </c>
      <c r="G118">
        <v>-0.01251597527587844</v>
      </c>
      <c r="H118">
        <v>-0.02</v>
      </c>
      <c r="I118">
        <v>0.01063681030744634</v>
      </c>
      <c r="J118" t="s">
        <v>780</v>
      </c>
      <c r="K118" t="s">
        <v>780</v>
      </c>
      <c r="L118">
        <v>2.85</v>
      </c>
      <c r="M118">
        <v>1.4</v>
      </c>
      <c r="N118">
        <v>0.4912280701754386</v>
      </c>
      <c r="O118">
        <v>46</v>
      </c>
      <c r="P118">
        <v>0.02056514630321193</v>
      </c>
      <c r="Q118">
        <v>0.229825562438865</v>
      </c>
      <c r="R118" t="s">
        <v>784</v>
      </c>
      <c r="S118" t="s">
        <v>793</v>
      </c>
      <c r="T118">
        <v>4678.446677</v>
      </c>
      <c r="U118" s="2">
        <v>44501</v>
      </c>
      <c r="V118" t="s">
        <v>804</v>
      </c>
    </row>
    <row r="119" spans="1:22">
      <c r="A119" s="1" t="s">
        <v>139</v>
      </c>
      <c r="B119">
        <f>HYPERLINK("https://www.suredividend.com/sure-analysis-PG/","Procter &amp; Gamble Co.")</f>
        <v>0</v>
      </c>
      <c r="C119">
        <v>155.46</v>
      </c>
      <c r="D119">
        <v>118</v>
      </c>
      <c r="E119">
        <v>1.317457627118644</v>
      </c>
      <c r="F119">
        <v>0.02238517946738711</v>
      </c>
      <c r="G119">
        <v>-0.05364807736506549</v>
      </c>
      <c r="H119">
        <v>0.04</v>
      </c>
      <c r="I119">
        <v>0.01009779085453411</v>
      </c>
      <c r="J119" t="s">
        <v>780</v>
      </c>
      <c r="K119" t="s">
        <v>781</v>
      </c>
      <c r="L119">
        <v>5.9</v>
      </c>
      <c r="M119">
        <v>3.48</v>
      </c>
      <c r="N119">
        <v>0.5898305084745762</v>
      </c>
      <c r="O119">
        <v>65</v>
      </c>
      <c r="P119">
        <v>0.04515835609077623</v>
      </c>
      <c r="Q119">
        <v>0.167453680340278</v>
      </c>
      <c r="R119" t="s">
        <v>784</v>
      </c>
      <c r="S119" t="s">
        <v>795</v>
      </c>
      <c r="T119">
        <v>376205.087942</v>
      </c>
      <c r="U119" s="2">
        <v>44488</v>
      </c>
      <c r="V119" t="s">
        <v>801</v>
      </c>
    </row>
    <row r="120" spans="1:22">
      <c r="A120" s="1" t="s">
        <v>140</v>
      </c>
      <c r="B120">
        <f>HYPERLINK("https://www.suredividend.com/sure-analysis-RPM/","RPM International, Inc.")</f>
        <v>0</v>
      </c>
      <c r="C120">
        <v>97.43000000000001</v>
      </c>
      <c r="D120">
        <v>72</v>
      </c>
      <c r="E120">
        <v>1.353194444444445</v>
      </c>
      <c r="F120">
        <v>0.01642204659755722</v>
      </c>
      <c r="G120">
        <v>-0.05870021655100677</v>
      </c>
      <c r="H120">
        <v>0.05</v>
      </c>
      <c r="I120">
        <v>0.007561187794524749</v>
      </c>
      <c r="J120" t="s">
        <v>780</v>
      </c>
      <c r="K120" t="s">
        <v>781</v>
      </c>
      <c r="L120">
        <v>4</v>
      </c>
      <c r="M120">
        <v>1.6</v>
      </c>
      <c r="N120">
        <v>0.4</v>
      </c>
      <c r="O120">
        <v>48</v>
      </c>
      <c r="P120">
        <v>0.04978904632428516</v>
      </c>
      <c r="Q120">
        <v>0.146144950927397</v>
      </c>
      <c r="R120" t="s">
        <v>784</v>
      </c>
      <c r="S120" t="s">
        <v>794</v>
      </c>
      <c r="T120">
        <v>12638.201236</v>
      </c>
      <c r="U120" s="2">
        <v>44475</v>
      </c>
      <c r="V120" t="s">
        <v>800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242.77</v>
      </c>
      <c r="D121">
        <v>160</v>
      </c>
      <c r="E121">
        <v>1.5173125</v>
      </c>
      <c r="F121">
        <v>0.0201013304774066</v>
      </c>
      <c r="G121">
        <v>-0.08000600447778528</v>
      </c>
      <c r="H121">
        <v>0.07000000000000001</v>
      </c>
      <c r="I121">
        <v>0.007414854468069887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0.218604385008109</v>
      </c>
      <c r="R121" t="s">
        <v>784</v>
      </c>
      <c r="S121" t="s">
        <v>792</v>
      </c>
      <c r="T121">
        <v>76200.82360800001</v>
      </c>
      <c r="U121" s="2">
        <v>44501</v>
      </c>
      <c r="V121" t="s">
        <v>801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93.40000000000001</v>
      </c>
      <c r="D122">
        <v>59</v>
      </c>
      <c r="E122">
        <v>1.583050847457627</v>
      </c>
      <c r="F122">
        <v>0.007494646680942183</v>
      </c>
      <c r="G122">
        <v>-0.08777698085456187</v>
      </c>
      <c r="H122">
        <v>0.09</v>
      </c>
      <c r="I122">
        <v>0.004034211672346855</v>
      </c>
      <c r="J122" t="s">
        <v>780</v>
      </c>
      <c r="K122" t="s">
        <v>350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0.321972484855347</v>
      </c>
      <c r="R122" t="s">
        <v>784</v>
      </c>
      <c r="S122" t="s">
        <v>792</v>
      </c>
      <c r="T122">
        <v>4336.631396</v>
      </c>
      <c r="U122" s="2">
        <v>44496</v>
      </c>
      <c r="V122" t="s">
        <v>807</v>
      </c>
    </row>
    <row r="123" spans="1:22">
      <c r="A123" s="1" t="s">
        <v>143</v>
      </c>
      <c r="B123">
        <f>HYPERLINK("https://www.suredividend.com/sure-analysis-NKE/","Nike, Inc.")</f>
        <v>0</v>
      </c>
      <c r="C123">
        <v>169.06</v>
      </c>
      <c r="D123">
        <v>102</v>
      </c>
      <c r="E123">
        <v>1.657450980392157</v>
      </c>
      <c r="F123">
        <v>0.007216372885366142</v>
      </c>
      <c r="G123">
        <v>-0.09611774289975039</v>
      </c>
      <c r="H123">
        <v>0.1</v>
      </c>
      <c r="I123">
        <v>0.00398122435123538</v>
      </c>
      <c r="J123" t="s">
        <v>780</v>
      </c>
      <c r="K123" t="s">
        <v>350</v>
      </c>
      <c r="L123">
        <v>4.25</v>
      </c>
      <c r="M123">
        <v>1.22</v>
      </c>
      <c r="N123">
        <v>0.2870588235294118</v>
      </c>
      <c r="O123">
        <v>20</v>
      </c>
      <c r="P123">
        <v>0.09945953022431997</v>
      </c>
      <c r="Q123">
        <v>0.239583677030747</v>
      </c>
      <c r="R123" t="s">
        <v>784</v>
      </c>
      <c r="S123" t="s">
        <v>790</v>
      </c>
      <c r="T123">
        <v>265395.462505</v>
      </c>
      <c r="U123" s="2">
        <v>44464</v>
      </c>
      <c r="V123" t="s">
        <v>801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68.84</v>
      </c>
      <c r="D124">
        <v>43</v>
      </c>
      <c r="E124">
        <v>1.60093023255814</v>
      </c>
      <c r="F124">
        <v>0.01975595583962812</v>
      </c>
      <c r="G124">
        <v>-0.08982370833539799</v>
      </c>
      <c r="H124">
        <v>0.076</v>
      </c>
      <c r="I124">
        <v>0.003766383826546704</v>
      </c>
      <c r="J124" t="s">
        <v>780</v>
      </c>
      <c r="K124" t="s">
        <v>781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0.01281317539882</v>
      </c>
      <c r="R124" t="s">
        <v>784</v>
      </c>
      <c r="S124" t="s">
        <v>796</v>
      </c>
      <c r="T124">
        <v>2053.23788</v>
      </c>
      <c r="U124" s="2">
        <v>44502</v>
      </c>
      <c r="V124" t="s">
        <v>800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134.38</v>
      </c>
      <c r="D125">
        <v>101</v>
      </c>
      <c r="E125">
        <v>1.33049504950495</v>
      </c>
      <c r="F125">
        <v>0.01399017710968894</v>
      </c>
      <c r="G125">
        <v>-0.05551003628828122</v>
      </c>
      <c r="H125">
        <v>0.04</v>
      </c>
      <c r="I125">
        <v>-0.0003767537733039283</v>
      </c>
      <c r="J125" t="s">
        <v>780</v>
      </c>
      <c r="K125" t="s">
        <v>781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0.274966553121234</v>
      </c>
      <c r="R125" t="s">
        <v>784</v>
      </c>
      <c r="S125" t="s">
        <v>789</v>
      </c>
      <c r="T125">
        <v>237604.720025</v>
      </c>
      <c r="U125" s="2">
        <v>44490</v>
      </c>
      <c r="V125" t="s">
        <v>801</v>
      </c>
    </row>
    <row r="126" spans="1:22">
      <c r="A126" s="1" t="s">
        <v>146</v>
      </c>
      <c r="B126">
        <f>HYPERLINK("https://www.suredividend.com/sure-analysis-MGEE/","MGE Energy, Inc.")</f>
        <v>0</v>
      </c>
      <c r="C126">
        <v>76.69</v>
      </c>
      <c r="D126">
        <v>54.5</v>
      </c>
      <c r="E126">
        <v>1.407155963302752</v>
      </c>
      <c r="F126">
        <v>0.02021124005737384</v>
      </c>
      <c r="G126">
        <v>-0.06603295399115128</v>
      </c>
      <c r="H126">
        <v>0.041</v>
      </c>
      <c r="I126">
        <v>-0.00376864774564023</v>
      </c>
      <c r="J126" t="s">
        <v>780</v>
      </c>
      <c r="K126" t="s">
        <v>781</v>
      </c>
      <c r="L126">
        <v>3.03</v>
      </c>
      <c r="M126">
        <v>1.55</v>
      </c>
      <c r="N126">
        <v>0.5115511551155116</v>
      </c>
      <c r="O126">
        <v>45</v>
      </c>
      <c r="P126">
        <v>0.03601968190208304</v>
      </c>
      <c r="Q126">
        <v>0.102655200624584</v>
      </c>
      <c r="R126" t="s">
        <v>784</v>
      </c>
      <c r="S126" t="s">
        <v>796</v>
      </c>
      <c r="T126">
        <v>2773.368845</v>
      </c>
      <c r="U126" s="2">
        <v>44531</v>
      </c>
      <c r="V126" t="s">
        <v>808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119.75</v>
      </c>
      <c r="D127">
        <v>77</v>
      </c>
      <c r="E127">
        <v>1.555194805194805</v>
      </c>
      <c r="F127">
        <v>0.01252609603340292</v>
      </c>
      <c r="G127">
        <v>-0.08453226899350286</v>
      </c>
      <c r="H127">
        <v>0.07000000000000001</v>
      </c>
      <c r="I127">
        <v>-0.005168995068428051</v>
      </c>
      <c r="J127" t="s">
        <v>780</v>
      </c>
      <c r="K127" t="s">
        <v>350</v>
      </c>
      <c r="L127">
        <v>3.87</v>
      </c>
      <c r="M127">
        <v>1.5</v>
      </c>
      <c r="N127">
        <v>0.3875968992248062</v>
      </c>
      <c r="O127">
        <v>28</v>
      </c>
      <c r="P127">
        <v>0.04951444805329408</v>
      </c>
      <c r="Q127">
        <v>-0.07193762279930001</v>
      </c>
      <c r="R127" t="s">
        <v>784</v>
      </c>
      <c r="S127" t="s">
        <v>790</v>
      </c>
      <c r="T127">
        <v>7882.137672</v>
      </c>
      <c r="U127" s="2">
        <v>44507</v>
      </c>
      <c r="V127" t="s">
        <v>802</v>
      </c>
    </row>
    <row r="128" spans="1:22">
      <c r="A128" s="1" t="s">
        <v>148</v>
      </c>
      <c r="B128">
        <f>HYPERLINK("https://www.suredividend.com/sure-analysis-LIN/","Linde Plc")</f>
        <v>0</v>
      </c>
      <c r="C128">
        <v>334</v>
      </c>
      <c r="D128">
        <v>222</v>
      </c>
      <c r="E128">
        <v>1.504504504504504</v>
      </c>
      <c r="F128">
        <v>0.01269461077844311</v>
      </c>
      <c r="G128">
        <v>-0.0784449114046859</v>
      </c>
      <c r="H128">
        <v>0.06</v>
      </c>
      <c r="I128">
        <v>-0.006561729121047688</v>
      </c>
      <c r="J128" t="s">
        <v>780</v>
      </c>
      <c r="K128" t="s">
        <v>350</v>
      </c>
      <c r="L128">
        <v>10.57</v>
      </c>
      <c r="M128">
        <v>4.24</v>
      </c>
      <c r="N128">
        <v>0.4011352885525071</v>
      </c>
      <c r="O128">
        <v>28</v>
      </c>
      <c r="P128">
        <v>0.07011443361889147</v>
      </c>
      <c r="Q128">
        <v>0.358805097715986</v>
      </c>
      <c r="R128" t="s">
        <v>784</v>
      </c>
      <c r="S128" t="s">
        <v>794</v>
      </c>
      <c r="T128">
        <v>171193.280154</v>
      </c>
      <c r="U128" s="2">
        <v>44503</v>
      </c>
      <c r="V128" t="s">
        <v>803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83.64</v>
      </c>
      <c r="D129">
        <v>55</v>
      </c>
      <c r="E129">
        <v>1.520727272727273</v>
      </c>
      <c r="F129">
        <v>0.01339072214251554</v>
      </c>
      <c r="G129">
        <v>-0.08041954292231268</v>
      </c>
      <c r="H129">
        <v>0.06</v>
      </c>
      <c r="I129">
        <v>-0.007105323180588541</v>
      </c>
      <c r="J129" t="s">
        <v>780</v>
      </c>
      <c r="K129" t="s">
        <v>350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0.509199021898995</v>
      </c>
      <c r="R129" t="s">
        <v>784</v>
      </c>
      <c r="S129" t="s">
        <v>792</v>
      </c>
      <c r="T129">
        <v>13503.06706</v>
      </c>
      <c r="U129" s="2">
        <v>44510</v>
      </c>
      <c r="V129" t="s">
        <v>803</v>
      </c>
    </row>
    <row r="130" spans="1:22">
      <c r="A130" s="1" t="s">
        <v>150</v>
      </c>
      <c r="B130">
        <f>HYPERLINK("https://www.suredividend.com/sure-analysis-GWW/","W.W. Grainger Inc.")</f>
        <v>0</v>
      </c>
      <c r="C130">
        <v>513.6900000000001</v>
      </c>
      <c r="D130">
        <v>356</v>
      </c>
      <c r="E130">
        <v>1.442949438202247</v>
      </c>
      <c r="F130">
        <v>0.01261461192548035</v>
      </c>
      <c r="G130">
        <v>-0.0707131806744743</v>
      </c>
      <c r="H130">
        <v>0.05</v>
      </c>
      <c r="I130">
        <v>-0.008148462113818256</v>
      </c>
      <c r="J130" t="s">
        <v>780</v>
      </c>
      <c r="K130" t="s">
        <v>781</v>
      </c>
      <c r="L130">
        <v>19.75</v>
      </c>
      <c r="M130">
        <v>6.48</v>
      </c>
      <c r="N130">
        <v>0.3281012658227848</v>
      </c>
      <c r="O130">
        <v>50</v>
      </c>
      <c r="P130">
        <v>0.06020279266594519</v>
      </c>
      <c r="Q130">
        <v>0.291835260133778</v>
      </c>
      <c r="R130" t="s">
        <v>784</v>
      </c>
      <c r="S130" t="s">
        <v>792</v>
      </c>
      <c r="T130">
        <v>26464.302542</v>
      </c>
      <c r="U130" s="2">
        <v>44505</v>
      </c>
      <c r="V130" t="s">
        <v>801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79.44</v>
      </c>
      <c r="D131">
        <v>77</v>
      </c>
      <c r="E131">
        <v>1.031688311688312</v>
      </c>
      <c r="F131">
        <v>0.02870090634441087</v>
      </c>
      <c r="G131">
        <v>-0.006219895441049172</v>
      </c>
      <c r="H131">
        <v>-0.04</v>
      </c>
      <c r="I131">
        <v>-0.01079818262109622</v>
      </c>
      <c r="J131" t="s">
        <v>780</v>
      </c>
      <c r="K131" t="s">
        <v>780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0.174031209958575</v>
      </c>
      <c r="R131" t="s">
        <v>784</v>
      </c>
      <c r="S131" t="s">
        <v>793</v>
      </c>
      <c r="T131">
        <v>1164.526451</v>
      </c>
      <c r="U131" s="2">
        <v>44499</v>
      </c>
      <c r="V131" t="s">
        <v>804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234.31</v>
      </c>
      <c r="D132">
        <v>152</v>
      </c>
      <c r="E132">
        <v>1.541513157894737</v>
      </c>
      <c r="F132">
        <v>0.008877128590329051</v>
      </c>
      <c r="G132">
        <v>-0.08291296715112539</v>
      </c>
      <c r="H132">
        <v>0.065</v>
      </c>
      <c r="I132">
        <v>-0.01137916178711296</v>
      </c>
      <c r="J132" t="s">
        <v>780</v>
      </c>
      <c r="K132" t="s">
        <v>526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0.708172340890865</v>
      </c>
      <c r="R132" t="s">
        <v>784</v>
      </c>
      <c r="S132" t="s">
        <v>790</v>
      </c>
      <c r="T132">
        <v>26667.974842</v>
      </c>
      <c r="U132" s="2">
        <v>44491</v>
      </c>
      <c r="V132" t="s">
        <v>808</v>
      </c>
    </row>
    <row r="133" spans="1:22">
      <c r="A133" s="1" t="s">
        <v>153</v>
      </c>
      <c r="B133">
        <f>HYPERLINK("https://www.suredividend.com/sure-analysis-MSFT/","Microsoft Corporation")</f>
        <v>0</v>
      </c>
      <c r="C133">
        <v>342.54</v>
      </c>
      <c r="D133">
        <v>216</v>
      </c>
      <c r="E133">
        <v>1.585833333333333</v>
      </c>
      <c r="F133">
        <v>0.007240030361417644</v>
      </c>
      <c r="G133">
        <v>-0.08809732107232171</v>
      </c>
      <c r="H133">
        <v>0.07000000000000001</v>
      </c>
      <c r="I133">
        <v>-0.01405181769631381</v>
      </c>
      <c r="J133" t="s">
        <v>780</v>
      </c>
      <c r="K133" t="s">
        <v>350</v>
      </c>
      <c r="L133">
        <v>9</v>
      </c>
      <c r="M133">
        <v>2.48</v>
      </c>
      <c r="N133">
        <v>0.2755555555555556</v>
      </c>
      <c r="O133">
        <v>20</v>
      </c>
      <c r="P133">
        <v>0.09024056365188593</v>
      </c>
      <c r="Q133">
        <v>0.619672490817411</v>
      </c>
      <c r="R133" t="s">
        <v>784</v>
      </c>
      <c r="S133" t="s">
        <v>791</v>
      </c>
      <c r="T133">
        <v>2571783.621288</v>
      </c>
      <c r="U133" s="2">
        <v>44497</v>
      </c>
      <c r="V133" t="s">
        <v>801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66.89</v>
      </c>
      <c r="D134">
        <v>47.5</v>
      </c>
      <c r="E134">
        <v>1.40821052631579</v>
      </c>
      <c r="F134">
        <v>0.01076394079832561</v>
      </c>
      <c r="G134">
        <v>-0.06617287941398742</v>
      </c>
      <c r="H134">
        <v>0.037</v>
      </c>
      <c r="I134">
        <v>-0.01682848823865257</v>
      </c>
      <c r="J134" t="s">
        <v>780</v>
      </c>
      <c r="K134" t="s">
        <v>350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0.376649035789993</v>
      </c>
      <c r="R134" t="s">
        <v>784</v>
      </c>
      <c r="S134" t="s">
        <v>790</v>
      </c>
      <c r="T134">
        <v>43482.232796</v>
      </c>
      <c r="U134" s="2">
        <v>44504</v>
      </c>
      <c r="V134" t="s">
        <v>808</v>
      </c>
    </row>
    <row r="135" spans="1:22">
      <c r="A135" s="1" t="s">
        <v>155</v>
      </c>
      <c r="B135">
        <f>HYPERLINK("https://www.suredividend.com/sure-analysis-UNF/","Unifirst Corp.")</f>
        <v>0</v>
      </c>
      <c r="C135">
        <v>204</v>
      </c>
      <c r="D135">
        <v>130</v>
      </c>
      <c r="E135">
        <v>1.569230769230769</v>
      </c>
      <c r="F135">
        <v>0.005882352941176471</v>
      </c>
      <c r="G135">
        <v>-0.08617583773462856</v>
      </c>
      <c r="H135">
        <v>0.063</v>
      </c>
      <c r="I135">
        <v>-0.01989684606871633</v>
      </c>
      <c r="J135" t="s">
        <v>780</v>
      </c>
      <c r="K135" t="s">
        <v>526</v>
      </c>
      <c r="L135">
        <v>5.9</v>
      </c>
      <c r="M135">
        <v>1.2</v>
      </c>
      <c r="N135">
        <v>0.2033898305084746</v>
      </c>
      <c r="O135">
        <v>4</v>
      </c>
      <c r="P135">
        <v>0.09970250059947383</v>
      </c>
      <c r="Q135">
        <v>0.03405959123218801</v>
      </c>
      <c r="R135" t="s">
        <v>784</v>
      </c>
      <c r="S135" t="s">
        <v>792</v>
      </c>
      <c r="T135">
        <v>3106.085232</v>
      </c>
      <c r="U135" s="2">
        <v>44491</v>
      </c>
      <c r="V135" t="s">
        <v>805</v>
      </c>
    </row>
    <row r="136" spans="1:22">
      <c r="A136" s="1" t="s">
        <v>156</v>
      </c>
      <c r="B136">
        <f>HYPERLINK("https://www.suredividend.com/sure-analysis-MSA/","MSA Safety Inc")</f>
        <v>0</v>
      </c>
      <c r="C136">
        <v>148.51</v>
      </c>
      <c r="D136">
        <v>92</v>
      </c>
      <c r="E136">
        <v>1.614239130434783</v>
      </c>
      <c r="F136">
        <v>0.01185105380109084</v>
      </c>
      <c r="G136">
        <v>-0.09132950638927906</v>
      </c>
      <c r="H136">
        <v>0.06</v>
      </c>
      <c r="I136">
        <v>-0.02038443052417016</v>
      </c>
      <c r="J136" t="s">
        <v>780</v>
      </c>
      <c r="K136" t="s">
        <v>350</v>
      </c>
      <c r="L136">
        <v>4.4</v>
      </c>
      <c r="M136">
        <v>1.76</v>
      </c>
      <c r="N136">
        <v>0.4</v>
      </c>
      <c r="O136">
        <v>50</v>
      </c>
      <c r="P136">
        <v>0.07099588603959828</v>
      </c>
      <c r="Q136">
        <v>-0.015383513790001</v>
      </c>
      <c r="R136" t="s">
        <v>784</v>
      </c>
      <c r="S136" t="s">
        <v>792</v>
      </c>
      <c r="T136">
        <v>5822.692608</v>
      </c>
      <c r="U136" s="2">
        <v>44504</v>
      </c>
      <c r="V136" t="s">
        <v>801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38.16</v>
      </c>
      <c r="D137">
        <v>28</v>
      </c>
      <c r="E137">
        <v>1.362857142857143</v>
      </c>
      <c r="F137">
        <v>0.009433962264150943</v>
      </c>
      <c r="G137">
        <v>-0.06003878694886622</v>
      </c>
      <c r="H137">
        <v>0.03</v>
      </c>
      <c r="I137">
        <v>-0.02133293741822073</v>
      </c>
      <c r="J137" t="s">
        <v>780</v>
      </c>
      <c r="K137" t="s">
        <v>350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0.28695875054382</v>
      </c>
      <c r="R137" t="s">
        <v>784</v>
      </c>
      <c r="S137" t="s">
        <v>795</v>
      </c>
      <c r="T137">
        <v>1500.913394</v>
      </c>
      <c r="U137" s="2">
        <v>44522</v>
      </c>
      <c r="V137" t="s">
        <v>806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232.03</v>
      </c>
      <c r="D138">
        <v>106</v>
      </c>
      <c r="E138">
        <v>2.188962264150943</v>
      </c>
      <c r="F138">
        <v>0.008791966556048787</v>
      </c>
      <c r="G138">
        <v>-0.1450271080826626</v>
      </c>
      <c r="H138">
        <v>0.13</v>
      </c>
      <c r="I138">
        <v>-0.02141173171997113</v>
      </c>
      <c r="J138" t="s">
        <v>780</v>
      </c>
      <c r="K138" t="s">
        <v>350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0.057878024625609</v>
      </c>
      <c r="R138" t="s">
        <v>784</v>
      </c>
      <c r="S138" t="s">
        <v>794</v>
      </c>
      <c r="T138">
        <v>66486.480897</v>
      </c>
      <c r="U138" s="2">
        <v>44496</v>
      </c>
      <c r="V138" t="s">
        <v>807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71.28</v>
      </c>
      <c r="D139">
        <v>42</v>
      </c>
      <c r="E139">
        <v>1.697142857142857</v>
      </c>
      <c r="F139">
        <v>0.01052188552188552</v>
      </c>
      <c r="G139">
        <v>-0.1003857628886857</v>
      </c>
      <c r="H139">
        <v>0.07000000000000001</v>
      </c>
      <c r="I139">
        <v>-0.02322445334696188</v>
      </c>
      <c r="J139" t="s">
        <v>780</v>
      </c>
      <c r="K139" t="s">
        <v>350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-0.044389559751463</v>
      </c>
      <c r="R139" t="s">
        <v>784</v>
      </c>
      <c r="S139" t="s">
        <v>795</v>
      </c>
      <c r="T139">
        <v>33187.656891</v>
      </c>
      <c r="U139" s="2">
        <v>44453</v>
      </c>
      <c r="V139" t="s">
        <v>803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179.45</v>
      </c>
      <c r="D140">
        <v>108</v>
      </c>
      <c r="E140">
        <v>1.661574074074074</v>
      </c>
      <c r="F140">
        <v>0.004903872945110059</v>
      </c>
      <c r="G140">
        <v>-0.09656677444397554</v>
      </c>
      <c r="H140">
        <v>0.07000000000000001</v>
      </c>
      <c r="I140">
        <v>-0.02543436297825263</v>
      </c>
      <c r="J140" t="s">
        <v>780</v>
      </c>
      <c r="K140" t="s">
        <v>526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0.475012329442709</v>
      </c>
      <c r="R140" t="s">
        <v>784</v>
      </c>
      <c r="S140" t="s">
        <v>791</v>
      </c>
      <c r="T140">
        <v>2944127.94165</v>
      </c>
      <c r="U140" s="2">
        <v>44500</v>
      </c>
      <c r="V140" t="s">
        <v>801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458.45</v>
      </c>
      <c r="D141">
        <v>271</v>
      </c>
      <c r="E141">
        <v>1.69169741697417</v>
      </c>
      <c r="F141">
        <v>0.008288799214745337</v>
      </c>
      <c r="G141">
        <v>-0.09980734974285943</v>
      </c>
      <c r="H141">
        <v>0.06</v>
      </c>
      <c r="I141">
        <v>-0.03272953804120415</v>
      </c>
      <c r="J141" t="s">
        <v>780</v>
      </c>
      <c r="K141" t="s">
        <v>350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0.325021828394282</v>
      </c>
      <c r="R141" t="s">
        <v>784</v>
      </c>
      <c r="S141" t="s">
        <v>792</v>
      </c>
      <c r="T141">
        <v>47407.225223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HYPERLINK("https://www.suredividend.com/sure-analysis-CWT/","California Water Service Group")</f>
        <v>0</v>
      </c>
      <c r="C142">
        <v>67.7</v>
      </c>
      <c r="D142">
        <v>40</v>
      </c>
      <c r="E142">
        <v>1.6925</v>
      </c>
      <c r="F142">
        <v>0.01358936484490399</v>
      </c>
      <c r="G142">
        <v>-0.09989274016175187</v>
      </c>
      <c r="H142">
        <v>0.05</v>
      </c>
      <c r="I142">
        <v>-0.03536819296503935</v>
      </c>
      <c r="J142" t="s">
        <v>780</v>
      </c>
      <c r="K142" t="s">
        <v>781</v>
      </c>
      <c r="L142">
        <v>2.02</v>
      </c>
      <c r="M142">
        <v>0.92</v>
      </c>
      <c r="N142">
        <v>0.4554455445544555</v>
      </c>
      <c r="O142">
        <v>53</v>
      </c>
      <c r="P142">
        <v>0.05979888147511248</v>
      </c>
      <c r="Q142">
        <v>0.314688031075503</v>
      </c>
      <c r="R142" t="s">
        <v>784</v>
      </c>
      <c r="S142" t="s">
        <v>796</v>
      </c>
      <c r="T142">
        <v>3561.03552</v>
      </c>
      <c r="U142" s="2">
        <v>44504</v>
      </c>
      <c r="V142" t="s">
        <v>803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346.46</v>
      </c>
      <c r="D143">
        <v>186</v>
      </c>
      <c r="E143">
        <v>1.862688172043011</v>
      </c>
      <c r="F143">
        <v>0.006349939386942217</v>
      </c>
      <c r="G143">
        <v>-0.1169770957861167</v>
      </c>
      <c r="H143">
        <v>0.08</v>
      </c>
      <c r="I143">
        <v>-0.03564779071310575</v>
      </c>
      <c r="J143" t="s">
        <v>780</v>
      </c>
      <c r="K143" t="s">
        <v>350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0.4578354976169101</v>
      </c>
      <c r="R143" t="s">
        <v>784</v>
      </c>
      <c r="S143" t="s">
        <v>794</v>
      </c>
      <c r="T143">
        <v>90840.494066</v>
      </c>
      <c r="U143" s="2">
        <v>44495</v>
      </c>
      <c r="V143" t="s">
        <v>801</v>
      </c>
    </row>
    <row r="144" spans="1:22">
      <c r="A144" s="1" t="s">
        <v>164</v>
      </c>
      <c r="B144">
        <f>HYPERLINK("https://www.suredividend.com/sure-analysis-NDSN/","Nordson Corp.")</f>
        <v>0</v>
      </c>
      <c r="C144">
        <v>270.67</v>
      </c>
      <c r="D144">
        <v>165</v>
      </c>
      <c r="E144">
        <v>1.640424242424243</v>
      </c>
      <c r="F144">
        <v>0.00753685299442125</v>
      </c>
      <c r="G144">
        <v>-0.09424912083394066</v>
      </c>
      <c r="H144">
        <v>0.05</v>
      </c>
      <c r="I144">
        <v>-0.03755756094908558</v>
      </c>
      <c r="J144" t="s">
        <v>780</v>
      </c>
      <c r="K144" t="s">
        <v>350</v>
      </c>
      <c r="L144">
        <v>7.85</v>
      </c>
      <c r="M144">
        <v>2.04</v>
      </c>
      <c r="N144">
        <v>0.2598726114649682</v>
      </c>
      <c r="O144">
        <v>58</v>
      </c>
      <c r="P144">
        <v>0.0801851873035635</v>
      </c>
      <c r="Q144">
        <v>0.379797264058848</v>
      </c>
      <c r="R144" t="s">
        <v>784</v>
      </c>
      <c r="S144" t="s">
        <v>792</v>
      </c>
      <c r="T144">
        <v>15729.866061</v>
      </c>
      <c r="U144" s="2">
        <v>44439</v>
      </c>
      <c r="V144" t="s">
        <v>801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322.96</v>
      </c>
      <c r="D145">
        <v>174</v>
      </c>
      <c r="E145">
        <v>1.856091954022988</v>
      </c>
      <c r="F145">
        <v>0.004458756502353233</v>
      </c>
      <c r="G145">
        <v>-0.1163503650531478</v>
      </c>
      <c r="H145">
        <v>0.07000000000000001</v>
      </c>
      <c r="I145">
        <v>-0.04808216542593502</v>
      </c>
      <c r="J145" t="s">
        <v>780</v>
      </c>
      <c r="K145" t="s">
        <v>526</v>
      </c>
      <c r="L145">
        <v>5.8</v>
      </c>
      <c r="M145">
        <v>1.44</v>
      </c>
      <c r="N145">
        <v>0.2482758620689655</v>
      </c>
      <c r="O145">
        <v>12</v>
      </c>
      <c r="P145">
        <v>0.05138517084067074</v>
      </c>
      <c r="Q145">
        <v>0.582698909370688</v>
      </c>
      <c r="R145" t="s">
        <v>784</v>
      </c>
      <c r="S145" t="s">
        <v>793</v>
      </c>
      <c r="T145">
        <v>13918.120419</v>
      </c>
      <c r="U145" s="2">
        <v>44518</v>
      </c>
      <c r="V145" t="s">
        <v>804</v>
      </c>
    </row>
    <row r="146" spans="1:22">
      <c r="A146" s="1" t="s">
        <v>166</v>
      </c>
      <c r="B146">
        <f>HYPERLINK("https://www.suredividend.com/sure-analysis-BAM/","Brookfield Asset Management Inc.")</f>
        <v>0</v>
      </c>
      <c r="C146">
        <v>58.39</v>
      </c>
      <c r="D146">
        <v>30</v>
      </c>
      <c r="E146">
        <v>1.946333333333333</v>
      </c>
      <c r="F146">
        <v>0.00890563452646001</v>
      </c>
      <c r="G146">
        <v>-0.124700750904592</v>
      </c>
      <c r="H146">
        <v>0.07000000000000001</v>
      </c>
      <c r="I146">
        <v>-0.04994065556041849</v>
      </c>
      <c r="J146" t="s">
        <v>780</v>
      </c>
      <c r="K146" t="s">
        <v>526</v>
      </c>
      <c r="L146">
        <v>2.15</v>
      </c>
      <c r="M146">
        <v>0.52</v>
      </c>
      <c r="N146">
        <v>0.2418604651162791</v>
      </c>
      <c r="O146">
        <v>10</v>
      </c>
      <c r="P146">
        <v>0.06125302037503699</v>
      </c>
      <c r="Q146">
        <v>0.425567919593867</v>
      </c>
      <c r="R146" t="s">
        <v>784</v>
      </c>
      <c r="S146" t="s">
        <v>793</v>
      </c>
      <c r="T146">
        <v>95773.251747</v>
      </c>
      <c r="U146" s="2">
        <v>44528</v>
      </c>
      <c r="V146" t="s">
        <v>804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431.57</v>
      </c>
      <c r="D147">
        <v>211</v>
      </c>
      <c r="E147">
        <v>2.045355450236967</v>
      </c>
      <c r="F147">
        <v>0.001668327270199504</v>
      </c>
      <c r="G147">
        <v>-0.1333450108052646</v>
      </c>
      <c r="H147">
        <v>0.09</v>
      </c>
      <c r="I147">
        <v>-0.052861181796235</v>
      </c>
      <c r="J147" t="s">
        <v>780</v>
      </c>
      <c r="K147" t="s">
        <v>350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0.6371993295969001</v>
      </c>
      <c r="R147" t="s">
        <v>784</v>
      </c>
      <c r="S147" t="s">
        <v>789</v>
      </c>
      <c r="T147">
        <v>31970.582603</v>
      </c>
      <c r="U147" s="2">
        <v>44502</v>
      </c>
      <c r="V147" t="s">
        <v>803</v>
      </c>
    </row>
    <row r="148" spans="1:22">
      <c r="A148" s="1" t="s">
        <v>168</v>
      </c>
      <c r="B148">
        <f>HYPERLINK("https://www.suredividend.com/sure-analysis-RLI/","RLI Corp.")</f>
        <v>0</v>
      </c>
      <c r="C148">
        <v>110.7</v>
      </c>
      <c r="D148">
        <v>67</v>
      </c>
      <c r="E148">
        <v>1.652238805970149</v>
      </c>
      <c r="F148">
        <v>0.009033423667570008</v>
      </c>
      <c r="G148">
        <v>-0.09554818135745491</v>
      </c>
      <c r="H148">
        <v>0.03</v>
      </c>
      <c r="I148">
        <v>-0.05487150041921218</v>
      </c>
      <c r="J148" t="s">
        <v>780</v>
      </c>
      <c r="K148" t="s">
        <v>350</v>
      </c>
      <c r="L148">
        <v>3.5</v>
      </c>
      <c r="M148">
        <v>1</v>
      </c>
      <c r="N148">
        <v>0.2857142857142857</v>
      </c>
      <c r="O148">
        <v>46</v>
      </c>
      <c r="P148">
        <v>0.05061112176150684</v>
      </c>
      <c r="Q148">
        <v>0.107477322726095</v>
      </c>
      <c r="R148" t="s">
        <v>784</v>
      </c>
      <c r="S148" t="s">
        <v>793</v>
      </c>
      <c r="T148">
        <v>5008.566704</v>
      </c>
      <c r="U148" s="2">
        <v>44505</v>
      </c>
      <c r="V148" t="s">
        <v>803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97.79000000000001</v>
      </c>
      <c r="D149">
        <v>60.8</v>
      </c>
      <c r="E149">
        <v>1.608388157894737</v>
      </c>
      <c r="F149">
        <v>0.01492995193782595</v>
      </c>
      <c r="G149">
        <v>-0.09066935645570129</v>
      </c>
      <c r="H149">
        <v>0.015</v>
      </c>
      <c r="I149">
        <v>-0.05624420842324429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0.289038296750379</v>
      </c>
      <c r="R149" t="s">
        <v>784</v>
      </c>
      <c r="S149" t="s">
        <v>796</v>
      </c>
      <c r="T149">
        <v>3611.188568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113.21</v>
      </c>
      <c r="D150">
        <v>60</v>
      </c>
      <c r="E150">
        <v>1.886833333333333</v>
      </c>
      <c r="F150">
        <v>0.01766628389718223</v>
      </c>
      <c r="G150">
        <v>-0.1192487017848111</v>
      </c>
      <c r="H150">
        <v>0.037</v>
      </c>
      <c r="I150">
        <v>-0.06257758699572769</v>
      </c>
      <c r="J150" t="s">
        <v>780</v>
      </c>
      <c r="K150" t="s">
        <v>781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1.041533972668943</v>
      </c>
      <c r="R150" t="s">
        <v>784</v>
      </c>
      <c r="S150" t="s">
        <v>794</v>
      </c>
      <c r="T150">
        <v>32355.290526</v>
      </c>
      <c r="U150" s="2">
        <v>44491</v>
      </c>
      <c r="V150" t="s">
        <v>808</v>
      </c>
    </row>
    <row r="151" spans="1:22">
      <c r="A151" s="1" t="s">
        <v>171</v>
      </c>
      <c r="B151">
        <f>HYPERLINK("https://www.suredividend.com/sure-analysis-MSEX/","Middlesex Water Co.")</f>
        <v>0</v>
      </c>
      <c r="C151">
        <v>100.65</v>
      </c>
      <c r="D151">
        <v>48.6</v>
      </c>
      <c r="E151">
        <v>2.070987654320988</v>
      </c>
      <c r="F151">
        <v>0.011525086934923</v>
      </c>
      <c r="G151">
        <v>-0.1355009945004124</v>
      </c>
      <c r="H151">
        <v>0.045</v>
      </c>
      <c r="I151">
        <v>-0.07959166823751573</v>
      </c>
      <c r="J151" t="s">
        <v>780</v>
      </c>
      <c r="K151" t="s">
        <v>350</v>
      </c>
      <c r="L151">
        <v>2.21</v>
      </c>
      <c r="M151">
        <v>1.16</v>
      </c>
      <c r="N151">
        <v>0.5248868778280543</v>
      </c>
      <c r="O151">
        <v>47</v>
      </c>
      <c r="P151">
        <v>0.006803348678863008</v>
      </c>
      <c r="Q151">
        <v>0.3699170836078161</v>
      </c>
      <c r="R151" t="s">
        <v>784</v>
      </c>
      <c r="S151" t="s">
        <v>796</v>
      </c>
      <c r="T151">
        <v>1761.07456</v>
      </c>
      <c r="U151" s="2">
        <v>44506</v>
      </c>
      <c r="V151" t="s">
        <v>808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108.32</v>
      </c>
      <c r="D152">
        <v>51</v>
      </c>
      <c r="E152">
        <v>2.123921568627451</v>
      </c>
      <c r="F152">
        <v>0.007385524372230429</v>
      </c>
      <c r="G152">
        <v>-0.1398537407402097</v>
      </c>
      <c r="H152">
        <v>0.05</v>
      </c>
      <c r="I152">
        <v>-0.08267377143573396</v>
      </c>
      <c r="J152" t="s">
        <v>780</v>
      </c>
      <c r="K152" t="s">
        <v>526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0.232190069669762</v>
      </c>
      <c r="R152" t="s">
        <v>784</v>
      </c>
      <c r="S152" t="s">
        <v>792</v>
      </c>
      <c r="T152">
        <v>3168.051037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HYPERLINK("https://www.suredividend.com/sure-analysis-ALB/","Albemarle Corp.")</f>
        <v>0</v>
      </c>
      <c r="C153">
        <v>262.88</v>
      </c>
      <c r="D153">
        <v>97</v>
      </c>
      <c r="E153">
        <v>2.710103092783505</v>
      </c>
      <c r="F153">
        <v>0.005934266585514303</v>
      </c>
      <c r="G153">
        <v>-0.1807756779679601</v>
      </c>
      <c r="H153">
        <v>0.1</v>
      </c>
      <c r="I153">
        <v>-0.08740802669941394</v>
      </c>
      <c r="J153" t="s">
        <v>780</v>
      </c>
      <c r="K153" t="s">
        <v>526</v>
      </c>
      <c r="L153">
        <v>4</v>
      </c>
      <c r="M153">
        <v>1.56</v>
      </c>
      <c r="N153">
        <v>0.39</v>
      </c>
      <c r="O153">
        <v>27</v>
      </c>
      <c r="P153">
        <v>0.08997698704834534</v>
      </c>
      <c r="Q153">
        <v>0.9082345835668381</v>
      </c>
      <c r="R153" t="s">
        <v>784</v>
      </c>
      <c r="S153" t="s">
        <v>794</v>
      </c>
      <c r="T153">
        <v>30749.564713</v>
      </c>
      <c r="U153" s="2">
        <v>44503</v>
      </c>
      <c r="V153" t="s">
        <v>800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214.95</v>
      </c>
      <c r="D154">
        <v>265</v>
      </c>
      <c r="E154">
        <v>0.8111320754716981</v>
      </c>
      <c r="F154">
        <v>0.01860897883228658</v>
      </c>
      <c r="G154">
        <v>0.04275356883244386</v>
      </c>
      <c r="H154">
        <v>0.15</v>
      </c>
      <c r="I154">
        <v>0.2080337084086197</v>
      </c>
      <c r="J154" t="s">
        <v>781</v>
      </c>
      <c r="K154" t="s">
        <v>350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0.04037138557584601</v>
      </c>
      <c r="R154" t="s">
        <v>784</v>
      </c>
      <c r="S154" t="s">
        <v>789</v>
      </c>
      <c r="T154">
        <v>71237.085959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288.67</v>
      </c>
      <c r="D155">
        <v>413</v>
      </c>
      <c r="E155">
        <v>0.6989588377723971</v>
      </c>
      <c r="F155">
        <v>0.004849828523920047</v>
      </c>
      <c r="G155">
        <v>0.07426067969322458</v>
      </c>
      <c r="H155">
        <v>0.08</v>
      </c>
      <c r="I155">
        <v>0.1637697974920209</v>
      </c>
      <c r="J155" t="s">
        <v>781</v>
      </c>
      <c r="K155" t="s">
        <v>526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0.070385037524843</v>
      </c>
      <c r="R155" t="s">
        <v>784</v>
      </c>
      <c r="S155" t="s">
        <v>790</v>
      </c>
      <c r="T155">
        <v>8740.800874</v>
      </c>
      <c r="U155" s="2">
        <v>44493</v>
      </c>
      <c r="V155" t="s">
        <v>805</v>
      </c>
    </row>
    <row r="156" spans="1:22">
      <c r="A156" s="1" t="s">
        <v>176</v>
      </c>
      <c r="B156">
        <f>HYPERLINK("https://www.suredividend.com/sure-analysis-T/","AT&amp;T, Inc.")</f>
        <v>0</v>
      </c>
      <c r="C156">
        <v>22.84</v>
      </c>
      <c r="D156">
        <v>32.5</v>
      </c>
      <c r="E156">
        <v>0.7027692307692308</v>
      </c>
      <c r="F156">
        <v>0.09106830122591944</v>
      </c>
      <c r="G156">
        <v>0.07309322335050528</v>
      </c>
      <c r="H156">
        <v>0.03</v>
      </c>
      <c r="I156">
        <v>0.1633526371931737</v>
      </c>
      <c r="J156" t="s">
        <v>781</v>
      </c>
      <c r="K156" t="s">
        <v>780</v>
      </c>
      <c r="L156">
        <v>3.25</v>
      </c>
      <c r="M156">
        <v>2.08</v>
      </c>
      <c r="N156">
        <v>0.64</v>
      </c>
      <c r="O156">
        <v>36</v>
      </c>
      <c r="P156">
        <v>0.01853111887485781</v>
      </c>
      <c r="Q156">
        <v>-0.222817321237775</v>
      </c>
      <c r="R156" t="s">
        <v>784</v>
      </c>
      <c r="S156" t="s">
        <v>788</v>
      </c>
      <c r="T156">
        <v>163077.6</v>
      </c>
      <c r="U156" s="2">
        <v>44490</v>
      </c>
      <c r="V156" t="s">
        <v>801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48.45</v>
      </c>
      <c r="D157">
        <v>61</v>
      </c>
      <c r="E157">
        <v>0.7942622950819672</v>
      </c>
      <c r="F157">
        <v>0.02063983488132095</v>
      </c>
      <c r="G157">
        <v>0.04714593399242939</v>
      </c>
      <c r="H157">
        <v>0.09</v>
      </c>
      <c r="I157">
        <v>0.1568401715338632</v>
      </c>
      <c r="J157" t="s">
        <v>781</v>
      </c>
      <c r="K157" t="s">
        <v>781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-0.035717271109731</v>
      </c>
      <c r="R157" t="s">
        <v>784</v>
      </c>
      <c r="S157" t="s">
        <v>788</v>
      </c>
      <c r="T157">
        <v>220906.741562</v>
      </c>
      <c r="U157" s="2">
        <v>44506</v>
      </c>
      <c r="V157" t="s">
        <v>809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43.46</v>
      </c>
      <c r="D158">
        <v>60</v>
      </c>
      <c r="E158">
        <v>0.7243333333333334</v>
      </c>
      <c r="F158">
        <v>0.04325816843074091</v>
      </c>
      <c r="G158">
        <v>0.06662634352612429</v>
      </c>
      <c r="H158">
        <v>0.05</v>
      </c>
      <c r="I158">
        <v>0.1493704041661652</v>
      </c>
      <c r="J158" t="s">
        <v>781</v>
      </c>
      <c r="K158" t="s">
        <v>780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0.110622725600032</v>
      </c>
      <c r="R158" t="s">
        <v>785</v>
      </c>
      <c r="S158" t="s">
        <v>793</v>
      </c>
      <c r="T158">
        <v>4900.814315</v>
      </c>
      <c r="U158" s="2">
        <v>44508</v>
      </c>
      <c r="V158" t="s">
        <v>806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28.74</v>
      </c>
      <c r="D159">
        <v>44</v>
      </c>
      <c r="E159">
        <v>0.6531818181818182</v>
      </c>
      <c r="F159">
        <v>0.03897007654836465</v>
      </c>
      <c r="G159">
        <v>0.08891299967460697</v>
      </c>
      <c r="H159">
        <v>0.03</v>
      </c>
      <c r="I159">
        <v>0.1473254837099756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-0.135639097744361</v>
      </c>
      <c r="R159" t="s">
        <v>784</v>
      </c>
      <c r="S159" t="s">
        <v>789</v>
      </c>
      <c r="T159">
        <v>7287.027833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50.19</v>
      </c>
      <c r="D160">
        <v>70</v>
      </c>
      <c r="E160">
        <v>0.717</v>
      </c>
      <c r="F160">
        <v>0.05100617652918908</v>
      </c>
      <c r="G160">
        <v>0.06879932011116208</v>
      </c>
      <c r="H160">
        <v>0.04</v>
      </c>
      <c r="I160">
        <v>0.144977797819754</v>
      </c>
      <c r="J160" t="s">
        <v>781</v>
      </c>
      <c r="K160" t="s">
        <v>780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-0.121795533563018</v>
      </c>
      <c r="R160" t="s">
        <v>784</v>
      </c>
      <c r="S160" t="s">
        <v>788</v>
      </c>
      <c r="T160">
        <v>210686.269983</v>
      </c>
      <c r="U160" s="2">
        <v>44489</v>
      </c>
      <c r="V160" t="s">
        <v>800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30.28</v>
      </c>
      <c r="D161">
        <v>59</v>
      </c>
      <c r="E161">
        <v>0.5132203389830509</v>
      </c>
      <c r="F161">
        <v>0.02608982826948481</v>
      </c>
      <c r="G161">
        <v>0.142718420354498</v>
      </c>
      <c r="H161">
        <v>-0.02</v>
      </c>
      <c r="I161">
        <v>0.1385028763588729</v>
      </c>
      <c r="J161" t="s">
        <v>781</v>
      </c>
      <c r="K161" t="s">
        <v>781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0.031971344732277</v>
      </c>
      <c r="R161" t="s">
        <v>784</v>
      </c>
      <c r="S161" t="s">
        <v>797</v>
      </c>
      <c r="T161">
        <v>169.784472</v>
      </c>
      <c r="U161" s="2">
        <v>44506</v>
      </c>
      <c r="V161" t="s">
        <v>800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210.89</v>
      </c>
      <c r="D162">
        <v>225</v>
      </c>
      <c r="E162">
        <v>0.9372888888888888</v>
      </c>
      <c r="F162">
        <v>0.03679643415998862</v>
      </c>
      <c r="G162">
        <v>0.01303699651907997</v>
      </c>
      <c r="H162">
        <v>0.09</v>
      </c>
      <c r="I162">
        <v>0.1330319187594384</v>
      </c>
      <c r="J162" t="s">
        <v>781</v>
      </c>
      <c r="K162" t="s">
        <v>781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-0.043912735785971</v>
      </c>
      <c r="R162" t="s">
        <v>784</v>
      </c>
      <c r="S162" t="s">
        <v>789</v>
      </c>
      <c r="T162">
        <v>118787.146073</v>
      </c>
      <c r="U162" s="2">
        <v>44503</v>
      </c>
      <c r="V162" t="s">
        <v>800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135.39</v>
      </c>
      <c r="D163">
        <v>160</v>
      </c>
      <c r="E163">
        <v>0.8461874999999999</v>
      </c>
      <c r="F163">
        <v>0.01669251791121944</v>
      </c>
      <c r="G163">
        <v>0.03396700192527979</v>
      </c>
      <c r="H163">
        <v>0.08</v>
      </c>
      <c r="I163">
        <v>0.1301625757030336</v>
      </c>
      <c r="J163" t="s">
        <v>781</v>
      </c>
      <c r="K163" t="s">
        <v>350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0.138710000277549</v>
      </c>
      <c r="R163" t="s">
        <v>784</v>
      </c>
      <c r="S163" t="s">
        <v>791</v>
      </c>
      <c r="T163">
        <v>166326.870616</v>
      </c>
      <c r="U163" s="2">
        <v>44507</v>
      </c>
      <c r="V163" t="s">
        <v>803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14.77</v>
      </c>
      <c r="D164">
        <v>16</v>
      </c>
      <c r="E164">
        <v>0.923125</v>
      </c>
      <c r="F164">
        <v>0.04739336492890995</v>
      </c>
      <c r="G164">
        <v>0.01612678030814085</v>
      </c>
      <c r="H164">
        <v>0.07000000000000001</v>
      </c>
      <c r="I164">
        <v>0.1260732169853338</v>
      </c>
      <c r="J164" t="s">
        <v>781</v>
      </c>
      <c r="K164" t="s">
        <v>780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-0.382783117425825</v>
      </c>
      <c r="R164" t="s">
        <v>784</v>
      </c>
      <c r="S164" t="s">
        <v>793</v>
      </c>
      <c r="T164">
        <v>55000.355495</v>
      </c>
      <c r="U164" s="2">
        <v>44517</v>
      </c>
      <c r="V164" t="s">
        <v>799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37.8</v>
      </c>
      <c r="D165">
        <v>43</v>
      </c>
      <c r="E165">
        <v>0.8790697674418604</v>
      </c>
      <c r="F165">
        <v>0.07116402116402117</v>
      </c>
      <c r="G165">
        <v>0.02611333397660287</v>
      </c>
      <c r="H165">
        <v>0.04</v>
      </c>
      <c r="I165">
        <v>0.1235805910500964</v>
      </c>
      <c r="J165" t="s">
        <v>781</v>
      </c>
      <c r="K165" t="s">
        <v>780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0.186838311731138</v>
      </c>
      <c r="R165" t="s">
        <v>784</v>
      </c>
      <c r="S165" t="s">
        <v>797</v>
      </c>
      <c r="T165">
        <v>76561.123064</v>
      </c>
      <c r="U165" s="2">
        <v>44505</v>
      </c>
      <c r="V165" t="s">
        <v>803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50.59</v>
      </c>
      <c r="D166">
        <v>63</v>
      </c>
      <c r="E166">
        <v>0.8030158730158731</v>
      </c>
      <c r="F166">
        <v>0.02747578572840482</v>
      </c>
      <c r="G166">
        <v>0.04485295188677196</v>
      </c>
      <c r="H166">
        <v>0.05</v>
      </c>
      <c r="I166">
        <v>0.1182412519011471</v>
      </c>
      <c r="J166" t="s">
        <v>781</v>
      </c>
      <c r="K166" t="s">
        <v>781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0.043632890423704</v>
      </c>
      <c r="R166" t="s">
        <v>784</v>
      </c>
      <c r="S166" t="s">
        <v>791</v>
      </c>
      <c r="T166">
        <v>205749.53</v>
      </c>
      <c r="U166" s="2">
        <v>44491</v>
      </c>
      <c r="V166" t="s">
        <v>800</v>
      </c>
    </row>
    <row r="167" spans="1:22">
      <c r="A167" s="1" t="s">
        <v>187</v>
      </c>
      <c r="B167">
        <f>HYPERLINK("https://www.suredividend.com/sure-analysis-FNV/","Franco-Nevada Corporation")</f>
        <v>0</v>
      </c>
      <c r="C167">
        <v>130.73</v>
      </c>
      <c r="D167">
        <v>161</v>
      </c>
      <c r="E167">
        <v>0.8119875776397515</v>
      </c>
      <c r="F167">
        <v>0.009179224355541957</v>
      </c>
      <c r="G167">
        <v>0.04253374918122521</v>
      </c>
      <c r="H167">
        <v>0.065</v>
      </c>
      <c r="I167">
        <v>0.1178405152250113</v>
      </c>
      <c r="J167" t="s">
        <v>781</v>
      </c>
      <c r="K167" t="s">
        <v>526</v>
      </c>
      <c r="L167">
        <v>3.49</v>
      </c>
      <c r="M167">
        <v>1.2</v>
      </c>
      <c r="N167">
        <v>0.3438395415472779</v>
      </c>
      <c r="O167">
        <v>14</v>
      </c>
      <c r="P167">
        <v>0.0796084730466029</v>
      </c>
      <c r="Q167">
        <v>0.005008514089569</v>
      </c>
      <c r="R167" t="s">
        <v>784</v>
      </c>
      <c r="S167" t="s">
        <v>794</v>
      </c>
      <c r="T167">
        <v>24994.560751</v>
      </c>
      <c r="U167" s="2">
        <v>44508</v>
      </c>
      <c r="V167" t="s">
        <v>805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50.07</v>
      </c>
      <c r="D168">
        <v>71</v>
      </c>
      <c r="E168">
        <v>0.7052112676056338</v>
      </c>
      <c r="F168">
        <v>0.06151388056720591</v>
      </c>
      <c r="G168">
        <v>0.07234900082876505</v>
      </c>
      <c r="H168">
        <v>0</v>
      </c>
      <c r="I168">
        <v>0.1166686493211946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0.148476153120978</v>
      </c>
      <c r="R168" t="s">
        <v>784</v>
      </c>
      <c r="S168" t="s">
        <v>797</v>
      </c>
      <c r="T168">
        <v>132206.296503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HYPERLINK("https://www.suredividend.com/sure-analysis-SUN/","Sunoco LP")</f>
        <v>0</v>
      </c>
      <c r="C169">
        <v>38.05</v>
      </c>
      <c r="D169">
        <v>46</v>
      </c>
      <c r="E169">
        <v>0.8271739130434782</v>
      </c>
      <c r="F169">
        <v>0.08672798948751642</v>
      </c>
      <c r="G169">
        <v>0.03867728510987223</v>
      </c>
      <c r="H169">
        <v>0.015</v>
      </c>
      <c r="I169">
        <v>0.1166325708363856</v>
      </c>
      <c r="J169" t="s">
        <v>781</v>
      </c>
      <c r="K169" t="s">
        <v>780</v>
      </c>
      <c r="L169">
        <v>7</v>
      </c>
      <c r="M169">
        <v>3.3</v>
      </c>
      <c r="N169">
        <v>0.4714285714285714</v>
      </c>
      <c r="O169">
        <v>0</v>
      </c>
      <c r="P169">
        <v>0</v>
      </c>
      <c r="Q169">
        <v>0.359904788794813</v>
      </c>
      <c r="R169" t="s">
        <v>785</v>
      </c>
      <c r="S169" t="s">
        <v>797</v>
      </c>
      <c r="T169">
        <v>3171.54828</v>
      </c>
      <c r="U169" s="2">
        <v>44507</v>
      </c>
      <c r="V169" t="s">
        <v>803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80.67</v>
      </c>
      <c r="D170">
        <v>100</v>
      </c>
      <c r="E170">
        <v>0.8067</v>
      </c>
      <c r="F170">
        <v>0.03966778232304451</v>
      </c>
      <c r="G170">
        <v>0.04389685366480189</v>
      </c>
      <c r="H170">
        <v>0.04</v>
      </c>
      <c r="I170">
        <v>0.1160543021586855</v>
      </c>
      <c r="J170" t="s">
        <v>781</v>
      </c>
      <c r="K170" t="s">
        <v>780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-0.09406781183742401</v>
      </c>
      <c r="R170" t="s">
        <v>784</v>
      </c>
      <c r="S170" t="s">
        <v>789</v>
      </c>
      <c r="T170">
        <v>196384.735616</v>
      </c>
      <c r="U170" s="2">
        <v>44496</v>
      </c>
      <c r="V170" t="s">
        <v>800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281.5</v>
      </c>
      <c r="D171">
        <v>338</v>
      </c>
      <c r="E171">
        <v>0.8328402366863905</v>
      </c>
      <c r="F171">
        <v>0.04618117229129663</v>
      </c>
      <c r="G171">
        <v>0.03726007107198681</v>
      </c>
      <c r="H171">
        <v>0.04</v>
      </c>
      <c r="I171">
        <v>0.1157000802848198</v>
      </c>
      <c r="J171" t="s">
        <v>781</v>
      </c>
      <c r="K171" t="s">
        <v>780</v>
      </c>
      <c r="L171">
        <v>27</v>
      </c>
      <c r="M171">
        <v>13</v>
      </c>
      <c r="N171">
        <v>0.4814814814814815</v>
      </c>
      <c r="O171">
        <v>6</v>
      </c>
      <c r="P171">
        <v>0.0499789846479779</v>
      </c>
      <c r="Q171">
        <v>-7.104290991700001e-05</v>
      </c>
      <c r="R171" t="s">
        <v>784</v>
      </c>
      <c r="S171" t="s">
        <v>793</v>
      </c>
      <c r="T171">
        <v>39437.849077</v>
      </c>
      <c r="U171" s="2">
        <v>44516</v>
      </c>
      <c r="V171" t="s">
        <v>799</v>
      </c>
    </row>
    <row r="172" spans="1:22">
      <c r="A172" s="1" t="s">
        <v>192</v>
      </c>
      <c r="B172">
        <f>HYPERLINK("https://www.suredividend.com/sure-analysis-IPG/","Interpublic Group Of Cos., Inc.")</f>
        <v>0</v>
      </c>
      <c r="C172">
        <v>37.06</v>
      </c>
      <c r="D172">
        <v>41</v>
      </c>
      <c r="E172">
        <v>0.9039024390243903</v>
      </c>
      <c r="F172">
        <v>0.02914193200215866</v>
      </c>
      <c r="G172">
        <v>0.02041230802055982</v>
      </c>
      <c r="H172">
        <v>0.07000000000000001</v>
      </c>
      <c r="I172">
        <v>0.1156515354684624</v>
      </c>
      <c r="J172" t="s">
        <v>781</v>
      </c>
      <c r="K172" t="s">
        <v>781</v>
      </c>
      <c r="L172">
        <v>2.58</v>
      </c>
      <c r="M172">
        <v>1.08</v>
      </c>
      <c r="N172">
        <v>0.4186046511627907</v>
      </c>
      <c r="O172">
        <v>10</v>
      </c>
      <c r="P172">
        <v>0.06504410274056371</v>
      </c>
      <c r="Q172">
        <v>0.6016673945662651</v>
      </c>
      <c r="R172" t="s">
        <v>784</v>
      </c>
      <c r="S172" t="s">
        <v>788</v>
      </c>
      <c r="T172">
        <v>14584.69483</v>
      </c>
      <c r="U172" s="2">
        <v>44494</v>
      </c>
      <c r="V172" t="s">
        <v>799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70.91</v>
      </c>
      <c r="D173">
        <v>87</v>
      </c>
      <c r="E173">
        <v>0.8150574712643678</v>
      </c>
      <c r="F173">
        <v>0.03948667324777887</v>
      </c>
      <c r="G173">
        <v>0.04174722785204854</v>
      </c>
      <c r="H173">
        <v>0.04</v>
      </c>
      <c r="I173">
        <v>0.1152440400847849</v>
      </c>
      <c r="J173" t="s">
        <v>781</v>
      </c>
      <c r="K173" t="s">
        <v>781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0.139751797387459</v>
      </c>
      <c r="R173" t="s">
        <v>784</v>
      </c>
      <c r="S173" t="s">
        <v>788</v>
      </c>
      <c r="T173">
        <v>15072.524795</v>
      </c>
      <c r="U173" s="2">
        <v>44491</v>
      </c>
      <c r="V173" t="s">
        <v>803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126.79</v>
      </c>
      <c r="D174">
        <v>151</v>
      </c>
      <c r="E174">
        <v>0.8396688741721855</v>
      </c>
      <c r="F174">
        <v>0.03470305229119016</v>
      </c>
      <c r="G174">
        <v>0.03556744493420605</v>
      </c>
      <c r="H174">
        <v>0.05</v>
      </c>
      <c r="I174">
        <v>0.11475009124874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0.015722509641312</v>
      </c>
      <c r="R174" t="s">
        <v>784</v>
      </c>
      <c r="S174" t="s">
        <v>796</v>
      </c>
      <c r="T174">
        <v>40487.639087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21.42</v>
      </c>
      <c r="D175">
        <v>24.1</v>
      </c>
      <c r="E175">
        <v>0.8887966804979254</v>
      </c>
      <c r="F175">
        <v>0.08403361344537814</v>
      </c>
      <c r="G175">
        <v>0.02385749827788008</v>
      </c>
      <c r="H175">
        <v>0.026</v>
      </c>
      <c r="I175">
        <v>0.114583921817341</v>
      </c>
      <c r="J175" t="s">
        <v>781</v>
      </c>
      <c r="K175" t="s">
        <v>780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0.07299471270704401</v>
      </c>
      <c r="R175" t="s">
        <v>785</v>
      </c>
      <c r="S175" t="s">
        <v>797</v>
      </c>
      <c r="T175">
        <v>46719.402379</v>
      </c>
      <c r="U175" s="2">
        <v>44506</v>
      </c>
      <c r="V175" t="s">
        <v>808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72.62</v>
      </c>
      <c r="D176">
        <v>85</v>
      </c>
      <c r="E176">
        <v>0.8543529411764706</v>
      </c>
      <c r="F176">
        <v>0.03800605893693197</v>
      </c>
      <c r="G176">
        <v>0.03198298353507312</v>
      </c>
      <c r="H176">
        <v>0.05</v>
      </c>
      <c r="I176">
        <v>0.1128044102762562</v>
      </c>
      <c r="J176" t="s">
        <v>781</v>
      </c>
      <c r="K176" t="s">
        <v>780</v>
      </c>
      <c r="L176">
        <v>5.68</v>
      </c>
      <c r="M176">
        <v>2.76</v>
      </c>
      <c r="N176">
        <v>0.4859154929577464</v>
      </c>
      <c r="O176">
        <v>11</v>
      </c>
      <c r="P176">
        <v>0.03763783845459012</v>
      </c>
      <c r="Q176">
        <v>-0.09427881545338401</v>
      </c>
      <c r="R176" t="s">
        <v>784</v>
      </c>
      <c r="S176" t="s">
        <v>789</v>
      </c>
      <c r="T176">
        <v>183434.048632</v>
      </c>
      <c r="U176" s="2">
        <v>44500</v>
      </c>
      <c r="V176" t="s">
        <v>800</v>
      </c>
    </row>
    <row r="177" spans="1:22">
      <c r="A177" s="1" t="s">
        <v>197</v>
      </c>
      <c r="B177">
        <f>HYPERLINK("https://www.suredividend.com/sure-analysis-WU/","Western Union Company")</f>
        <v>0</v>
      </c>
      <c r="C177">
        <v>18.21</v>
      </c>
      <c r="D177">
        <v>23</v>
      </c>
      <c r="E177">
        <v>0.7917391304347826</v>
      </c>
      <c r="F177">
        <v>0.05161998901702361</v>
      </c>
      <c r="G177">
        <v>0.04781250708270535</v>
      </c>
      <c r="H177">
        <v>0.02</v>
      </c>
      <c r="I177">
        <v>0.1099531658901438</v>
      </c>
      <c r="J177" t="s">
        <v>781</v>
      </c>
      <c r="K177" t="s">
        <v>780</v>
      </c>
      <c r="L177">
        <v>2.07</v>
      </c>
      <c r="M177">
        <v>0.9399999999999999</v>
      </c>
      <c r="N177">
        <v>0.4541062801932367</v>
      </c>
      <c r="O177">
        <v>7</v>
      </c>
      <c r="P177">
        <v>0.03933463380769542</v>
      </c>
      <c r="Q177">
        <v>-0.143610942592305</v>
      </c>
      <c r="R177" t="s">
        <v>784</v>
      </c>
      <c r="S177" t="s">
        <v>791</v>
      </c>
      <c r="T177">
        <v>7320.54106</v>
      </c>
      <c r="U177" s="2">
        <v>44517</v>
      </c>
      <c r="V177" t="s">
        <v>806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21.53</v>
      </c>
      <c r="D178">
        <v>24</v>
      </c>
      <c r="E178">
        <v>0.8970833333333333</v>
      </c>
      <c r="F178">
        <v>0.03715745471435207</v>
      </c>
      <c r="G178">
        <v>0.02195892870239602</v>
      </c>
      <c r="H178">
        <v>0.055</v>
      </c>
      <c r="I178">
        <v>0.1096913638767401</v>
      </c>
      <c r="J178" t="s">
        <v>781</v>
      </c>
      <c r="K178" t="s">
        <v>780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0.266366299245944</v>
      </c>
      <c r="R178" t="s">
        <v>784</v>
      </c>
      <c r="S178" t="s">
        <v>793</v>
      </c>
      <c r="T178">
        <v>508.484646</v>
      </c>
      <c r="U178" s="2">
        <v>44506</v>
      </c>
      <c r="V178" t="s">
        <v>803</v>
      </c>
    </row>
    <row r="179" spans="1:22">
      <c r="A179" s="1" t="s">
        <v>199</v>
      </c>
      <c r="B179">
        <f>HYPERLINK("https://www.suredividend.com/sure-analysis-MO/","Altria Group Inc.")</f>
        <v>0</v>
      </c>
      <c r="C179">
        <v>45.09</v>
      </c>
      <c r="D179">
        <v>50.8</v>
      </c>
      <c r="E179">
        <v>0.8875984251968505</v>
      </c>
      <c r="F179">
        <v>0.07984031936127745</v>
      </c>
      <c r="G179">
        <v>0.02413379005184879</v>
      </c>
      <c r="H179">
        <v>0.022</v>
      </c>
      <c r="I179">
        <v>0.1095415171652518</v>
      </c>
      <c r="J179" t="s">
        <v>781</v>
      </c>
      <c r="K179" t="s">
        <v>780</v>
      </c>
      <c r="L179">
        <v>4.62</v>
      </c>
      <c r="M179">
        <v>3.6</v>
      </c>
      <c r="N179">
        <v>0.7792207792207793</v>
      </c>
      <c r="O179">
        <v>52</v>
      </c>
      <c r="P179">
        <v>0.02129568760013512</v>
      </c>
      <c r="Q179">
        <v>0.128022695546449</v>
      </c>
      <c r="R179" t="s">
        <v>784</v>
      </c>
      <c r="S179" t="s">
        <v>795</v>
      </c>
      <c r="T179">
        <v>82829.825984</v>
      </c>
      <c r="U179" s="2">
        <v>44506</v>
      </c>
      <c r="V179" t="s">
        <v>808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68.73</v>
      </c>
      <c r="D180">
        <v>76</v>
      </c>
      <c r="E180">
        <v>0.9043421052631579</v>
      </c>
      <c r="F180">
        <v>0.03462825549250691</v>
      </c>
      <c r="G180">
        <v>0.02031306944457456</v>
      </c>
      <c r="H180">
        <v>0.055</v>
      </c>
      <c r="I180">
        <v>0.1048348196756173</v>
      </c>
      <c r="J180" t="s">
        <v>781</v>
      </c>
      <c r="K180" t="s">
        <v>781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0.128310194191492</v>
      </c>
      <c r="R180" t="s">
        <v>784</v>
      </c>
      <c r="S180" t="s">
        <v>796</v>
      </c>
      <c r="T180">
        <v>4150.266823</v>
      </c>
      <c r="U180" s="2">
        <v>44511</v>
      </c>
      <c r="V180" t="s">
        <v>805</v>
      </c>
    </row>
    <row r="181" spans="1:22">
      <c r="A181" s="1" t="s">
        <v>201</v>
      </c>
      <c r="B181">
        <f>HYPERLINK("https://www.suredividend.com/sure-analysis-DDS/","Dillard`s Inc.")</f>
        <v>0</v>
      </c>
      <c r="C181">
        <v>267.63</v>
      </c>
      <c r="D181">
        <v>391</v>
      </c>
      <c r="E181">
        <v>0.6844757033248082</v>
      </c>
      <c r="F181">
        <v>0.002989201509546762</v>
      </c>
      <c r="G181">
        <v>0.07876883801198908</v>
      </c>
      <c r="H181">
        <v>0.02</v>
      </c>
      <c r="I181">
        <v>0.1026702454840005</v>
      </c>
      <c r="J181" t="s">
        <v>781</v>
      </c>
      <c r="K181" t="s">
        <v>526</v>
      </c>
      <c r="L181">
        <v>35.5</v>
      </c>
      <c r="M181">
        <v>0.8</v>
      </c>
      <c r="N181">
        <v>0.02253521126760564</v>
      </c>
      <c r="O181">
        <v>11</v>
      </c>
      <c r="P181">
        <v>0.04563955259127317</v>
      </c>
      <c r="Q181">
        <v>4.225114758835601</v>
      </c>
      <c r="R181" t="s">
        <v>784</v>
      </c>
      <c r="S181" t="s">
        <v>790</v>
      </c>
      <c r="T181">
        <v>4134.023491</v>
      </c>
      <c r="U181" s="2">
        <v>44529</v>
      </c>
      <c r="V181" t="s">
        <v>803</v>
      </c>
    </row>
    <row r="182" spans="1:22">
      <c r="A182" s="1" t="s">
        <v>202</v>
      </c>
      <c r="B182">
        <f>HYPERLINK("https://www.suredividend.com/sure-analysis-BNS/","Bank Of Nova Scotia")</f>
        <v>0</v>
      </c>
      <c r="C182">
        <v>67.70999999999999</v>
      </c>
      <c r="D182">
        <v>72</v>
      </c>
      <c r="E182">
        <v>0.9404166666666666</v>
      </c>
      <c r="F182">
        <v>0.04622655442327574</v>
      </c>
      <c r="G182">
        <v>0.01236223637706235</v>
      </c>
      <c r="H182">
        <v>0.05</v>
      </c>
      <c r="I182">
        <v>0.1019925156122148</v>
      </c>
      <c r="J182" t="s">
        <v>781</v>
      </c>
      <c r="K182" t="s">
        <v>780</v>
      </c>
      <c r="L182">
        <v>6.33</v>
      </c>
      <c r="M182">
        <v>3.13</v>
      </c>
      <c r="N182">
        <v>0.4944707740916272</v>
      </c>
      <c r="O182">
        <v>9</v>
      </c>
      <c r="P182">
        <v>0.0497495850210754</v>
      </c>
      <c r="Q182">
        <v>0.319266355395156</v>
      </c>
      <c r="R182" t="s">
        <v>784</v>
      </c>
      <c r="S182" t="s">
        <v>793</v>
      </c>
      <c r="T182">
        <v>82278.350307</v>
      </c>
      <c r="U182" s="2">
        <v>44530</v>
      </c>
      <c r="V182" t="s">
        <v>809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23.6</v>
      </c>
      <c r="D183">
        <v>26.6</v>
      </c>
      <c r="E183">
        <v>0.8872180451127819</v>
      </c>
      <c r="F183">
        <v>0.04576271186440678</v>
      </c>
      <c r="G183">
        <v>0.02422159108554056</v>
      </c>
      <c r="H183">
        <v>0.037</v>
      </c>
      <c r="I183">
        <v>0.1012570178835888</v>
      </c>
      <c r="J183" t="s">
        <v>781</v>
      </c>
      <c r="K183" t="s">
        <v>780</v>
      </c>
      <c r="L183">
        <v>2.84</v>
      </c>
      <c r="M183">
        <v>1.08</v>
      </c>
      <c r="N183">
        <v>0.3802816901408451</v>
      </c>
      <c r="O183">
        <v>6</v>
      </c>
      <c r="P183">
        <v>0.05327276858309027</v>
      </c>
      <c r="Q183">
        <v>0.5520495603622321</v>
      </c>
      <c r="R183" t="s">
        <v>784</v>
      </c>
      <c r="S183" t="s">
        <v>790</v>
      </c>
      <c r="T183">
        <v>4144.854383</v>
      </c>
      <c r="U183" s="2">
        <v>44509</v>
      </c>
      <c r="V183" t="s">
        <v>808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109.08</v>
      </c>
      <c r="D184">
        <v>114</v>
      </c>
      <c r="E184">
        <v>0.9568421052631578</v>
      </c>
      <c r="F184">
        <v>0.03804547121378805</v>
      </c>
      <c r="G184">
        <v>0.008862418823081253</v>
      </c>
      <c r="H184">
        <v>0.055</v>
      </c>
      <c r="I184">
        <v>0.0985605120493791</v>
      </c>
      <c r="J184" t="s">
        <v>781</v>
      </c>
      <c r="K184" t="s">
        <v>780</v>
      </c>
      <c r="L184">
        <v>10.23</v>
      </c>
      <c r="M184">
        <v>4.15</v>
      </c>
      <c r="N184">
        <v>0.4056695992179863</v>
      </c>
      <c r="O184">
        <v>9</v>
      </c>
      <c r="P184">
        <v>0.06997831883783956</v>
      </c>
      <c r="Q184">
        <v>0.4853824584053411</v>
      </c>
      <c r="R184" t="s">
        <v>784</v>
      </c>
      <c r="S184" t="s">
        <v>793</v>
      </c>
      <c r="T184">
        <v>70696.228347</v>
      </c>
      <c r="U184" s="2">
        <v>44535</v>
      </c>
      <c r="V184" t="s">
        <v>809</v>
      </c>
    </row>
    <row r="185" spans="1:22">
      <c r="A185" s="1" t="s">
        <v>205</v>
      </c>
      <c r="B185">
        <f>HYPERLINK("https://www.suredividend.com/sure-analysis-HII/","Huntington Ingalls Industries Inc")</f>
        <v>0</v>
      </c>
      <c r="C185">
        <v>185.98</v>
      </c>
      <c r="D185">
        <v>209</v>
      </c>
      <c r="E185">
        <v>0.8898564593301435</v>
      </c>
      <c r="F185">
        <v>0.02537907301860415</v>
      </c>
      <c r="G185">
        <v>0.02361350841494469</v>
      </c>
      <c r="H185">
        <v>0.05</v>
      </c>
      <c r="I185">
        <v>0.09789033496825028</v>
      </c>
      <c r="J185" t="s">
        <v>781</v>
      </c>
      <c r="K185" t="s">
        <v>781</v>
      </c>
      <c r="L185">
        <v>14.95</v>
      </c>
      <c r="M185">
        <v>4.72</v>
      </c>
      <c r="N185">
        <v>0.3157190635451505</v>
      </c>
      <c r="O185">
        <v>10</v>
      </c>
      <c r="P185">
        <v>0.08014856837381279</v>
      </c>
      <c r="Q185">
        <v>0.071156419249136</v>
      </c>
      <c r="R185" t="s">
        <v>784</v>
      </c>
      <c r="S185" t="s">
        <v>792</v>
      </c>
      <c r="T185">
        <v>7450.143798</v>
      </c>
      <c r="U185" s="2">
        <v>44516</v>
      </c>
      <c r="V185" t="s">
        <v>806</v>
      </c>
    </row>
    <row r="186" spans="1:22">
      <c r="A186" s="1" t="s">
        <v>206</v>
      </c>
      <c r="B186">
        <f>HYPERLINK("https://www.suredividend.com/sure-analysis-BIP/","Brookfield Infrastructure Partners L.P")</f>
        <v>0</v>
      </c>
      <c r="C186">
        <v>57.45</v>
      </c>
      <c r="D186">
        <v>56</v>
      </c>
      <c r="E186">
        <v>1.025892857142857</v>
      </c>
      <c r="F186">
        <v>0.03550913838120105</v>
      </c>
      <c r="G186">
        <v>-0.005099615297067706</v>
      </c>
      <c r="H186">
        <v>0.07000000000000001</v>
      </c>
      <c r="I186">
        <v>0.09749525377673129</v>
      </c>
      <c r="J186" t="s">
        <v>781</v>
      </c>
      <c r="K186" t="s">
        <v>781</v>
      </c>
      <c r="L186">
        <v>3.5</v>
      </c>
      <c r="M186">
        <v>2.04</v>
      </c>
      <c r="N186">
        <v>0.5828571428571429</v>
      </c>
      <c r="O186">
        <v>12</v>
      </c>
      <c r="P186">
        <v>0.0801851873035635</v>
      </c>
      <c r="Q186">
        <v>0.151905537328638</v>
      </c>
      <c r="R186" t="s">
        <v>785</v>
      </c>
      <c r="S186" t="s">
        <v>796</v>
      </c>
      <c r="T186">
        <v>16969.498453</v>
      </c>
      <c r="U186" s="2">
        <v>44506</v>
      </c>
      <c r="V186" t="s">
        <v>809</v>
      </c>
    </row>
    <row r="187" spans="1:22">
      <c r="A187" s="1" t="s">
        <v>207</v>
      </c>
      <c r="B187">
        <f>HYPERLINK("https://www.suredividend.com/sure-analysis-LMT/","Lockheed Martin Corp.")</f>
        <v>0</v>
      </c>
      <c r="C187">
        <v>344.88</v>
      </c>
      <c r="D187">
        <v>359</v>
      </c>
      <c r="E187">
        <v>0.9606685236768802</v>
      </c>
      <c r="F187">
        <v>0.03247506379030387</v>
      </c>
      <c r="G187">
        <v>0.008057459614028373</v>
      </c>
      <c r="H187">
        <v>0.06</v>
      </c>
      <c r="I187">
        <v>0.09742349984114607</v>
      </c>
      <c r="J187" t="s">
        <v>781</v>
      </c>
      <c r="K187" t="s">
        <v>781</v>
      </c>
      <c r="L187">
        <v>22.45</v>
      </c>
      <c r="M187">
        <v>11.2</v>
      </c>
      <c r="N187">
        <v>0.4988864142538975</v>
      </c>
      <c r="O187">
        <v>20</v>
      </c>
      <c r="P187">
        <v>0.06810541783933033</v>
      </c>
      <c r="Q187">
        <v>-0.017669026125708</v>
      </c>
      <c r="R187" t="s">
        <v>784</v>
      </c>
      <c r="S187" t="s">
        <v>792</v>
      </c>
      <c r="T187">
        <v>95113.22742700001</v>
      </c>
      <c r="U187" s="2">
        <v>44502</v>
      </c>
      <c r="V187" t="s">
        <v>806</v>
      </c>
    </row>
    <row r="188" spans="1:22">
      <c r="A188" s="1" t="s">
        <v>208</v>
      </c>
      <c r="B188">
        <f>HYPERLINK("https://www.suredividend.com/sure-analysis-TDS/","Telephone And Data Systems, Inc.")</f>
        <v>0</v>
      </c>
      <c r="C188">
        <v>19.82</v>
      </c>
      <c r="D188">
        <v>25</v>
      </c>
      <c r="E188">
        <v>0.7928000000000001</v>
      </c>
      <c r="F188">
        <v>0.03531786074672048</v>
      </c>
      <c r="G188">
        <v>0.04753193496891228</v>
      </c>
      <c r="H188">
        <v>0.02</v>
      </c>
      <c r="I188">
        <v>0.09656905739796362</v>
      </c>
      <c r="J188" t="s">
        <v>781</v>
      </c>
      <c r="K188" t="s">
        <v>780</v>
      </c>
      <c r="L188">
        <v>0.93</v>
      </c>
      <c r="M188">
        <v>0.7</v>
      </c>
      <c r="N188">
        <v>0.7526881720430106</v>
      </c>
      <c r="O188">
        <v>45</v>
      </c>
      <c r="P188">
        <v>0.02962100943384161</v>
      </c>
      <c r="Q188">
        <v>0.09668173543521401</v>
      </c>
      <c r="R188" t="s">
        <v>784</v>
      </c>
      <c r="S188" t="s">
        <v>788</v>
      </c>
      <c r="T188">
        <v>2128.315204</v>
      </c>
      <c r="U188" s="2">
        <v>44515</v>
      </c>
      <c r="V188" t="s">
        <v>805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925.17</v>
      </c>
      <c r="D189">
        <v>802</v>
      </c>
      <c r="E189">
        <v>1.15357855361596</v>
      </c>
      <c r="F189">
        <v>0.01785617778354249</v>
      </c>
      <c r="G189">
        <v>-0.02816940948809932</v>
      </c>
      <c r="H189">
        <v>0.11</v>
      </c>
      <c r="I189">
        <v>0.09637781238714838</v>
      </c>
      <c r="J189" t="s">
        <v>781</v>
      </c>
      <c r="K189" t="s">
        <v>350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0.357021511158361</v>
      </c>
      <c r="R189" t="s">
        <v>784</v>
      </c>
      <c r="S189" t="s">
        <v>793</v>
      </c>
      <c r="T189">
        <v>140547.695473</v>
      </c>
      <c r="U189" s="2">
        <v>44484</v>
      </c>
      <c r="V189" t="s">
        <v>809</v>
      </c>
    </row>
    <row r="190" spans="1:22">
      <c r="A190" s="1" t="s">
        <v>210</v>
      </c>
      <c r="B190">
        <f>HYPERLINK("https://www.suredividend.com/sure-analysis-RDEIY/","Red Electrica Corporacion S.A.")</f>
        <v>0</v>
      </c>
      <c r="C190">
        <v>10.68</v>
      </c>
      <c r="D190">
        <v>10.5</v>
      </c>
      <c r="E190">
        <v>1.017142857142857</v>
      </c>
      <c r="F190">
        <v>0.05617977528089887</v>
      </c>
      <c r="G190">
        <v>-0.003393743463970367</v>
      </c>
      <c r="H190">
        <v>0.05</v>
      </c>
      <c r="I190">
        <v>0.0960548943805426</v>
      </c>
      <c r="J190" t="s">
        <v>781</v>
      </c>
      <c r="K190" t="s">
        <v>780</v>
      </c>
      <c r="L190">
        <v>1.75</v>
      </c>
      <c r="M190">
        <v>0.6</v>
      </c>
      <c r="N190">
        <v>0.3428571428571429</v>
      </c>
      <c r="O190">
        <v>5</v>
      </c>
      <c r="P190">
        <v>0.05115774595007161</v>
      </c>
      <c r="Q190">
        <v>0.063745019920318</v>
      </c>
      <c r="R190" t="s">
        <v>784</v>
      </c>
      <c r="S190" t="s">
        <v>796</v>
      </c>
      <c r="T190">
        <v>11557.4688</v>
      </c>
      <c r="U190" s="2">
        <v>44500</v>
      </c>
      <c r="V190" t="s">
        <v>800</v>
      </c>
    </row>
    <row r="191" spans="1:22">
      <c r="A191" s="1" t="s">
        <v>211</v>
      </c>
      <c r="B191">
        <f>HYPERLINK("https://www.suredividend.com/sure-analysis-YUM/","Yum Brands Inc.")</f>
        <v>0</v>
      </c>
      <c r="C191">
        <v>133.87</v>
      </c>
      <c r="D191">
        <v>113</v>
      </c>
      <c r="E191">
        <v>1.184690265486726</v>
      </c>
      <c r="F191">
        <v>0.01493986703518339</v>
      </c>
      <c r="G191">
        <v>-0.03332822984322625</v>
      </c>
      <c r="H191">
        <v>0.12</v>
      </c>
      <c r="I191">
        <v>0.09537569802870682</v>
      </c>
      <c r="J191" t="s">
        <v>781</v>
      </c>
      <c r="K191" t="s">
        <v>526</v>
      </c>
      <c r="L191">
        <v>4.65</v>
      </c>
      <c r="M191">
        <v>2</v>
      </c>
      <c r="N191">
        <v>0.4301075268817204</v>
      </c>
      <c r="O191">
        <v>4</v>
      </c>
      <c r="P191">
        <v>0.0602809527753625</v>
      </c>
      <c r="Q191">
        <v>0.284215858008146</v>
      </c>
      <c r="R191" t="s">
        <v>784</v>
      </c>
      <c r="S191" t="s">
        <v>790</v>
      </c>
      <c r="T191">
        <v>39241.728499</v>
      </c>
      <c r="U191" s="2">
        <v>44510</v>
      </c>
      <c r="V191" t="s">
        <v>807</v>
      </c>
    </row>
    <row r="192" spans="1:22">
      <c r="A192" s="1" t="s">
        <v>212</v>
      </c>
      <c r="B192">
        <f>HYPERLINK("https://www.suredividend.com/sure-analysis-KDP/","Keurig Dr Pepper Inc")</f>
        <v>0</v>
      </c>
      <c r="C192">
        <v>35.32</v>
      </c>
      <c r="D192">
        <v>32</v>
      </c>
      <c r="E192">
        <v>1.10375</v>
      </c>
      <c r="F192">
        <v>0.02010192525481314</v>
      </c>
      <c r="G192">
        <v>-0.01954908381865306</v>
      </c>
      <c r="H192">
        <v>0.1</v>
      </c>
      <c r="I192">
        <v>0.09525343432108002</v>
      </c>
      <c r="J192" t="s">
        <v>781</v>
      </c>
      <c r="K192" t="s">
        <v>350</v>
      </c>
      <c r="L192">
        <v>1.6</v>
      </c>
      <c r="M192">
        <v>0.71</v>
      </c>
      <c r="N192">
        <v>0.44375</v>
      </c>
      <c r="O192">
        <v>1</v>
      </c>
      <c r="P192">
        <v>0.05088842545712402</v>
      </c>
      <c r="Q192">
        <v>0.186640550719476</v>
      </c>
      <c r="R192" t="s">
        <v>784</v>
      </c>
      <c r="S192" t="s">
        <v>795</v>
      </c>
      <c r="T192">
        <v>50082.4035</v>
      </c>
      <c r="U192" s="2">
        <v>44530</v>
      </c>
      <c r="V192" t="s">
        <v>806</v>
      </c>
    </row>
    <row r="193" spans="1:22">
      <c r="A193" s="1" t="s">
        <v>213</v>
      </c>
      <c r="B193">
        <f>HYPERLINK("https://www.suredividend.com/sure-analysis-EVRG/","Evergy Inc")</f>
        <v>0</v>
      </c>
      <c r="C193">
        <v>66.95</v>
      </c>
      <c r="D193">
        <v>65</v>
      </c>
      <c r="E193">
        <v>1.03</v>
      </c>
      <c r="F193">
        <v>0.03420463032113517</v>
      </c>
      <c r="G193">
        <v>-0.005894320376609308</v>
      </c>
      <c r="H193">
        <v>0.07000000000000001</v>
      </c>
      <c r="I193">
        <v>0.09498720431955587</v>
      </c>
      <c r="J193" t="s">
        <v>781</v>
      </c>
      <c r="K193" t="s">
        <v>781</v>
      </c>
      <c r="L193">
        <v>3.55</v>
      </c>
      <c r="M193">
        <v>2.29</v>
      </c>
      <c r="N193">
        <v>0.6450704225352113</v>
      </c>
      <c r="O193">
        <v>17</v>
      </c>
      <c r="P193">
        <v>0.07318952131901812</v>
      </c>
      <c r="Q193">
        <v>0.257370191648462</v>
      </c>
      <c r="R193" t="s">
        <v>784</v>
      </c>
      <c r="S193" t="s">
        <v>796</v>
      </c>
      <c r="T193">
        <v>15349.522738</v>
      </c>
      <c r="U193" s="2">
        <v>44508</v>
      </c>
      <c r="V193" t="s">
        <v>807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54.53</v>
      </c>
      <c r="D194">
        <v>53</v>
      </c>
      <c r="E194">
        <v>1.028867924528302</v>
      </c>
      <c r="F194">
        <v>0.03227581147991931</v>
      </c>
      <c r="G194">
        <v>-0.005675651364075995</v>
      </c>
      <c r="H194">
        <v>0.07000000000000001</v>
      </c>
      <c r="I194">
        <v>0.09411604448883959</v>
      </c>
      <c r="J194" t="s">
        <v>781</v>
      </c>
      <c r="K194" t="s">
        <v>781</v>
      </c>
      <c r="L194">
        <v>4.8</v>
      </c>
      <c r="M194">
        <v>1.76</v>
      </c>
      <c r="N194">
        <v>0.3666666666666667</v>
      </c>
      <c r="O194">
        <v>6</v>
      </c>
      <c r="P194">
        <v>0.08033244512790017</v>
      </c>
      <c r="Q194">
        <v>0.268360760597778</v>
      </c>
      <c r="R194" t="s">
        <v>784</v>
      </c>
      <c r="S194" t="s">
        <v>793</v>
      </c>
      <c r="T194">
        <v>31946.599916</v>
      </c>
      <c r="U194" s="2">
        <v>44510</v>
      </c>
      <c r="V194" t="s">
        <v>803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27.4</v>
      </c>
      <c r="D195">
        <v>29</v>
      </c>
      <c r="E195">
        <v>0.9448275862068966</v>
      </c>
      <c r="F195">
        <v>0.05145985401459854</v>
      </c>
      <c r="G195">
        <v>0.01141522538100692</v>
      </c>
      <c r="H195">
        <v>0.04</v>
      </c>
      <c r="I195">
        <v>0.09377461282289024</v>
      </c>
      <c r="J195" t="s">
        <v>781</v>
      </c>
      <c r="K195" t="s">
        <v>780</v>
      </c>
      <c r="L195">
        <v>1.8</v>
      </c>
      <c r="M195">
        <v>1.41</v>
      </c>
      <c r="N195">
        <v>0.7833333333333332</v>
      </c>
      <c r="O195">
        <v>49</v>
      </c>
      <c r="P195">
        <v>0.02560510523091319</v>
      </c>
      <c r="Q195">
        <v>0.086387642142324</v>
      </c>
      <c r="R195" t="s">
        <v>784</v>
      </c>
      <c r="S195" t="s">
        <v>796</v>
      </c>
      <c r="T195">
        <v>5385.020558</v>
      </c>
      <c r="U195" s="2">
        <v>44502</v>
      </c>
      <c r="V195" t="s">
        <v>799</v>
      </c>
    </row>
    <row r="196" spans="1:22">
      <c r="A196" s="1" t="s">
        <v>216</v>
      </c>
      <c r="B196">
        <f>HYPERLINK("https://www.suredividend.com/sure-analysis-FOXA/","Fox Corporation")</f>
        <v>0</v>
      </c>
      <c r="C196">
        <v>36.82</v>
      </c>
      <c r="D196">
        <v>43</v>
      </c>
      <c r="E196">
        <v>0.8562790697674418</v>
      </c>
      <c r="F196">
        <v>0.01303639326453015</v>
      </c>
      <c r="G196">
        <v>0.03151829324589595</v>
      </c>
      <c r="H196">
        <v>0.05</v>
      </c>
      <c r="I196">
        <v>0.09240582579539569</v>
      </c>
      <c r="J196" t="s">
        <v>781</v>
      </c>
      <c r="K196" t="s">
        <v>350</v>
      </c>
      <c r="L196">
        <v>2.84</v>
      </c>
      <c r="M196">
        <v>0.48</v>
      </c>
      <c r="N196">
        <v>0.1690140845070423</v>
      </c>
      <c r="O196">
        <v>0</v>
      </c>
      <c r="P196">
        <v>0</v>
      </c>
      <c r="Q196">
        <v>0.270886617722689</v>
      </c>
      <c r="R196" t="s">
        <v>784</v>
      </c>
      <c r="S196" t="s">
        <v>788</v>
      </c>
      <c r="T196">
        <v>20329.123555</v>
      </c>
      <c r="U196" s="2">
        <v>44528</v>
      </c>
      <c r="V196" t="s">
        <v>802</v>
      </c>
    </row>
    <row r="197" spans="1:22">
      <c r="A197" s="1" t="s">
        <v>217</v>
      </c>
      <c r="B197">
        <f>HYPERLINK("https://www.suredividend.com/sure-analysis-CIO/","City Office REIT Inc")</f>
        <v>0</v>
      </c>
      <c r="C197">
        <v>17.92</v>
      </c>
      <c r="D197">
        <v>14.8</v>
      </c>
      <c r="E197">
        <v>1.210810810810811</v>
      </c>
      <c r="F197">
        <v>0.03348214285714286</v>
      </c>
      <c r="G197">
        <v>-0.03753545066220443</v>
      </c>
      <c r="H197">
        <v>0.1</v>
      </c>
      <c r="I197">
        <v>0.09238204517861637</v>
      </c>
      <c r="J197" t="s">
        <v>781</v>
      </c>
      <c r="K197" t="s">
        <v>781</v>
      </c>
      <c r="L197">
        <v>1.31</v>
      </c>
      <c r="M197">
        <v>0.6</v>
      </c>
      <c r="N197">
        <v>0.4580152671755725</v>
      </c>
      <c r="O197">
        <v>0</v>
      </c>
      <c r="P197">
        <v>0.1008397341583922</v>
      </c>
      <c r="Q197">
        <v>0.912521623988211</v>
      </c>
      <c r="R197" t="s">
        <v>786</v>
      </c>
      <c r="S197" t="s">
        <v>798</v>
      </c>
      <c r="T197">
        <v>780.058856</v>
      </c>
      <c r="U197" s="2">
        <v>44513</v>
      </c>
      <c r="V197" t="s">
        <v>799</v>
      </c>
    </row>
    <row r="198" spans="1:22">
      <c r="A198" s="1" t="s">
        <v>218</v>
      </c>
      <c r="B198">
        <f>HYPERLINK("https://www.suredividend.com/sure-analysis-GILD/","Gilead Sciences, Inc.")</f>
        <v>0</v>
      </c>
      <c r="C198">
        <v>70.25</v>
      </c>
      <c r="D198">
        <v>80</v>
      </c>
      <c r="E198">
        <v>0.878125</v>
      </c>
      <c r="F198">
        <v>0.04042704626334519</v>
      </c>
      <c r="G198">
        <v>0.02633403639012655</v>
      </c>
      <c r="H198">
        <v>0.03</v>
      </c>
      <c r="I198">
        <v>0.09224550228111039</v>
      </c>
      <c r="J198" t="s">
        <v>781</v>
      </c>
      <c r="K198" t="s">
        <v>780</v>
      </c>
      <c r="L198">
        <v>8</v>
      </c>
      <c r="M198">
        <v>2.84</v>
      </c>
      <c r="N198">
        <v>0.355</v>
      </c>
      <c r="O198">
        <v>6</v>
      </c>
      <c r="P198">
        <v>0.049731056540673</v>
      </c>
      <c r="Q198">
        <v>0.20696379452236</v>
      </c>
      <c r="R198" t="s">
        <v>784</v>
      </c>
      <c r="S198" t="s">
        <v>789</v>
      </c>
      <c r="T198">
        <v>88120.442421</v>
      </c>
      <c r="U198" s="2">
        <v>44509</v>
      </c>
      <c r="V198" t="s">
        <v>803</v>
      </c>
    </row>
    <row r="199" spans="1:22">
      <c r="A199" s="1" t="s">
        <v>219</v>
      </c>
      <c r="B199">
        <f>HYPERLINK("https://www.suredividend.com/sure-analysis-HBI/","Hanesbrands Inc")</f>
        <v>0</v>
      </c>
      <c r="C199">
        <v>17.56</v>
      </c>
      <c r="D199">
        <v>18</v>
      </c>
      <c r="E199">
        <v>0.9755555555555555</v>
      </c>
      <c r="F199">
        <v>0.03416856492027335</v>
      </c>
      <c r="G199">
        <v>0.004961903611009122</v>
      </c>
      <c r="H199">
        <v>0.06</v>
      </c>
      <c r="I199">
        <v>0.09175509881166399</v>
      </c>
      <c r="J199" t="s">
        <v>781</v>
      </c>
      <c r="K199" t="s">
        <v>781</v>
      </c>
      <c r="L199">
        <v>1.82</v>
      </c>
      <c r="M199">
        <v>0.6</v>
      </c>
      <c r="N199">
        <v>0.3296703296703297</v>
      </c>
      <c r="O199">
        <v>0</v>
      </c>
      <c r="P199">
        <v>0.01613736474159566</v>
      </c>
      <c r="Q199">
        <v>0.298249766980811</v>
      </c>
      <c r="R199" t="s">
        <v>784</v>
      </c>
      <c r="S199" t="s">
        <v>790</v>
      </c>
      <c r="T199">
        <v>6128.539203</v>
      </c>
      <c r="U199" s="2">
        <v>44512</v>
      </c>
      <c r="V199" t="s">
        <v>807</v>
      </c>
    </row>
    <row r="200" spans="1:22">
      <c r="A200" s="1" t="s">
        <v>220</v>
      </c>
      <c r="B200">
        <f>HYPERLINK("https://www.suredividend.com/sure-analysis-CMI/","Cummins Inc.")</f>
        <v>0</v>
      </c>
      <c r="C200">
        <v>218.12</v>
      </c>
      <c r="D200">
        <v>207</v>
      </c>
      <c r="E200">
        <v>1.053719806763285</v>
      </c>
      <c r="F200">
        <v>0.02659086741243352</v>
      </c>
      <c r="G200">
        <v>-0.01041074447878221</v>
      </c>
      <c r="H200">
        <v>0.08</v>
      </c>
      <c r="I200">
        <v>0.0914191890371292</v>
      </c>
      <c r="J200" t="s">
        <v>781</v>
      </c>
      <c r="K200" t="s">
        <v>781</v>
      </c>
      <c r="L200">
        <v>15.92</v>
      </c>
      <c r="M200">
        <v>5.8</v>
      </c>
      <c r="N200">
        <v>0.364321608040201</v>
      </c>
      <c r="O200">
        <v>16</v>
      </c>
      <c r="P200">
        <v>0.0499309672496191</v>
      </c>
      <c r="Q200">
        <v>0.02097181911806</v>
      </c>
      <c r="R200" t="s">
        <v>784</v>
      </c>
      <c r="S200" t="s">
        <v>792</v>
      </c>
      <c r="T200">
        <v>31195.246049</v>
      </c>
      <c r="U200" s="2">
        <v>44502</v>
      </c>
      <c r="V200" t="s">
        <v>800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39.79</v>
      </c>
      <c r="D201">
        <v>40</v>
      </c>
      <c r="E201">
        <v>0.99475</v>
      </c>
      <c r="F201">
        <v>0.03342548378989696</v>
      </c>
      <c r="G201">
        <v>0.001053320287594195</v>
      </c>
      <c r="H201">
        <v>0.06</v>
      </c>
      <c r="I201">
        <v>0.09090577195061478</v>
      </c>
      <c r="J201" t="s">
        <v>781</v>
      </c>
      <c r="K201" t="s">
        <v>781</v>
      </c>
      <c r="L201">
        <v>2.15</v>
      </c>
      <c r="M201">
        <v>1.33</v>
      </c>
      <c r="N201">
        <v>0.6186046511627907</v>
      </c>
      <c r="O201">
        <v>25</v>
      </c>
      <c r="P201">
        <v>0.06001905503876492</v>
      </c>
      <c r="Q201">
        <v>0.228795632046891</v>
      </c>
      <c r="R201" t="s">
        <v>784</v>
      </c>
      <c r="S201" t="s">
        <v>796</v>
      </c>
      <c r="T201">
        <v>3817.815326</v>
      </c>
      <c r="U201" s="2">
        <v>44418</v>
      </c>
      <c r="V201" t="s">
        <v>805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75.9203</v>
      </c>
      <c r="D202">
        <v>77</v>
      </c>
      <c r="E202">
        <v>0.985977922077922</v>
      </c>
      <c r="F202">
        <v>0.02950462524515841</v>
      </c>
      <c r="G202">
        <v>0.002828255194965879</v>
      </c>
      <c r="H202">
        <v>0.06</v>
      </c>
      <c r="I202">
        <v>0.09078183071504098</v>
      </c>
      <c r="J202" t="s">
        <v>781</v>
      </c>
      <c r="K202" t="s">
        <v>781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0.341111111111111</v>
      </c>
      <c r="R202" t="s">
        <v>784</v>
      </c>
      <c r="S202" t="s">
        <v>793</v>
      </c>
      <c r="T202">
        <v>25654.93038</v>
      </c>
      <c r="U202" s="2">
        <v>44436</v>
      </c>
      <c r="V202" t="s">
        <v>809</v>
      </c>
    </row>
    <row r="203" spans="1:22">
      <c r="A203" s="1" t="s">
        <v>223</v>
      </c>
      <c r="B203">
        <f>HYPERLINK("https://www.suredividend.com/sure-analysis-FTS/","Fortis Inc.")</f>
        <v>0</v>
      </c>
      <c r="C203">
        <v>45.57</v>
      </c>
      <c r="D203">
        <v>45</v>
      </c>
      <c r="E203">
        <v>1.012666666666667</v>
      </c>
      <c r="F203">
        <v>0.03708580206276059</v>
      </c>
      <c r="G203">
        <v>-0.002514257048880864</v>
      </c>
      <c r="H203">
        <v>0.06</v>
      </c>
      <c r="I203">
        <v>0.09061768035825768</v>
      </c>
      <c r="J203" t="s">
        <v>781</v>
      </c>
      <c r="K203" t="s">
        <v>780</v>
      </c>
      <c r="L203">
        <v>2.14</v>
      </c>
      <c r="M203">
        <v>1.69</v>
      </c>
      <c r="N203">
        <v>0.7897196261682242</v>
      </c>
      <c r="O203">
        <v>48</v>
      </c>
      <c r="P203">
        <v>0.05984986030460782</v>
      </c>
      <c r="Q203">
        <v>0.138820635749869</v>
      </c>
      <c r="R203" t="s">
        <v>784</v>
      </c>
      <c r="S203" t="s">
        <v>796</v>
      </c>
      <c r="T203">
        <v>21545.143263</v>
      </c>
      <c r="U203" s="2">
        <v>44505</v>
      </c>
      <c r="V203" t="s">
        <v>809</v>
      </c>
    </row>
    <row r="204" spans="1:22">
      <c r="A204" s="1" t="s">
        <v>224</v>
      </c>
      <c r="B204">
        <f>HYPERLINK("https://www.suredividend.com/sure-analysis-BR/","Broadridge Financial Solutions, Inc.")</f>
        <v>0</v>
      </c>
      <c r="C204">
        <v>178.37</v>
      </c>
      <c r="D204">
        <v>160</v>
      </c>
      <c r="E204">
        <v>1.1148125</v>
      </c>
      <c r="F204">
        <v>0.01435218926949599</v>
      </c>
      <c r="G204">
        <v>-0.0215026945125536</v>
      </c>
      <c r="H204">
        <v>0.1</v>
      </c>
      <c r="I204">
        <v>0.09033458685140627</v>
      </c>
      <c r="J204" t="s">
        <v>781</v>
      </c>
      <c r="K204" t="s">
        <v>350</v>
      </c>
      <c r="L204">
        <v>6.39</v>
      </c>
      <c r="M204">
        <v>2.56</v>
      </c>
      <c r="N204">
        <v>0.4006259780907668</v>
      </c>
      <c r="O204">
        <v>13</v>
      </c>
      <c r="P204">
        <v>0.09984491222048941</v>
      </c>
      <c r="Q204">
        <v>0.226652104929785</v>
      </c>
      <c r="R204" t="s">
        <v>784</v>
      </c>
      <c r="S204" t="s">
        <v>791</v>
      </c>
      <c r="T204">
        <v>20792.864208</v>
      </c>
      <c r="U204" s="2">
        <v>44512</v>
      </c>
      <c r="V204" t="s">
        <v>805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111.65</v>
      </c>
      <c r="D205">
        <v>113</v>
      </c>
      <c r="E205">
        <v>0.9880530973451328</v>
      </c>
      <c r="F205">
        <v>0.04146887595163457</v>
      </c>
      <c r="G205">
        <v>0.00240665945199936</v>
      </c>
      <c r="H205">
        <v>0.05</v>
      </c>
      <c r="I205">
        <v>0.08910719482446172</v>
      </c>
      <c r="J205" t="s">
        <v>781</v>
      </c>
      <c r="K205" t="s">
        <v>780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0.34243600734402</v>
      </c>
      <c r="R205" t="s">
        <v>784</v>
      </c>
      <c r="S205" t="s">
        <v>793</v>
      </c>
      <c r="T205">
        <v>50335.652163</v>
      </c>
      <c r="U205" s="2">
        <v>44442</v>
      </c>
      <c r="V205" t="s">
        <v>809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102.32</v>
      </c>
      <c r="D206">
        <v>94.92</v>
      </c>
      <c r="E206">
        <v>1.077960387694901</v>
      </c>
      <c r="F206">
        <v>0.0328381548084441</v>
      </c>
      <c r="G206">
        <v>-0.01490199484528199</v>
      </c>
      <c r="H206">
        <v>0.07000000000000001</v>
      </c>
      <c r="I206">
        <v>0.0860741924686963</v>
      </c>
      <c r="J206" t="s">
        <v>781</v>
      </c>
      <c r="K206" t="s">
        <v>781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0.27344459794148</v>
      </c>
      <c r="R206" t="s">
        <v>784</v>
      </c>
      <c r="S206" t="s">
        <v>793</v>
      </c>
      <c r="T206">
        <v>145695.4944</v>
      </c>
      <c r="U206" s="2">
        <v>44444</v>
      </c>
      <c r="V206" t="s">
        <v>809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50.77</v>
      </c>
      <c r="D207">
        <v>52</v>
      </c>
      <c r="E207">
        <v>0.9763461538461539</v>
      </c>
      <c r="F207">
        <v>0.03387827457159739</v>
      </c>
      <c r="G207">
        <v>0.004799096878758125</v>
      </c>
      <c r="H207">
        <v>0.05</v>
      </c>
      <c r="I207">
        <v>0.08584766165094937</v>
      </c>
      <c r="J207" t="s">
        <v>781</v>
      </c>
      <c r="K207" t="s">
        <v>781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0.2675135064961</v>
      </c>
      <c r="R207" t="s">
        <v>784</v>
      </c>
      <c r="S207" t="s">
        <v>796</v>
      </c>
      <c r="T207">
        <v>4539.326052</v>
      </c>
      <c r="U207" s="2">
        <v>44498</v>
      </c>
      <c r="V207" t="s">
        <v>805</v>
      </c>
    </row>
    <row r="208" spans="1:22">
      <c r="A208" s="1" t="s">
        <v>228</v>
      </c>
      <c r="B208">
        <f>HYPERLINK("https://www.suredividend.com/sure-analysis-IMO/","Imperial Oil Ltd.")</f>
        <v>0</v>
      </c>
      <c r="C208">
        <v>34.93</v>
      </c>
      <c r="D208">
        <v>39</v>
      </c>
      <c r="E208">
        <v>0.8956410256410257</v>
      </c>
      <c r="F208">
        <v>0.02376180933295162</v>
      </c>
      <c r="G208">
        <v>0.02228786197840349</v>
      </c>
      <c r="H208">
        <v>0.04</v>
      </c>
      <c r="I208">
        <v>0.08509349585307691</v>
      </c>
      <c r="J208" t="s">
        <v>781</v>
      </c>
      <c r="K208" t="s">
        <v>781</v>
      </c>
      <c r="L208">
        <v>2.8</v>
      </c>
      <c r="M208">
        <v>0.83</v>
      </c>
      <c r="N208">
        <v>0.2964285714285714</v>
      </c>
      <c r="O208">
        <v>6</v>
      </c>
      <c r="P208">
        <v>0.06924192562875131</v>
      </c>
      <c r="Q208">
        <v>0.811908159294331</v>
      </c>
      <c r="R208" t="s">
        <v>784</v>
      </c>
      <c r="S208" t="s">
        <v>797</v>
      </c>
      <c r="T208">
        <v>23943.782279</v>
      </c>
      <c r="U208" s="2">
        <v>44502</v>
      </c>
      <c r="V208" t="s">
        <v>807</v>
      </c>
    </row>
    <row r="209" spans="1:22">
      <c r="A209" s="1" t="s">
        <v>229</v>
      </c>
      <c r="B209">
        <f>HYPERLINK("https://www.suredividend.com/sure-analysis-MSM/","MSC Industrial Direct Co., Inc.")</f>
        <v>0</v>
      </c>
      <c r="C209">
        <v>84.67</v>
      </c>
      <c r="D209">
        <v>86</v>
      </c>
      <c r="E209">
        <v>0.9845348837209302</v>
      </c>
      <c r="F209">
        <v>0.03543167591827093</v>
      </c>
      <c r="G209">
        <v>0.003122053207897935</v>
      </c>
      <c r="H209">
        <v>0.05</v>
      </c>
      <c r="I209">
        <v>0.08475205157874566</v>
      </c>
      <c r="J209" t="s">
        <v>781</v>
      </c>
      <c r="K209" t="s">
        <v>781</v>
      </c>
      <c r="L209">
        <v>5.55</v>
      </c>
      <c r="M209">
        <v>3</v>
      </c>
      <c r="N209">
        <v>0.5405405405405406</v>
      </c>
      <c r="O209">
        <v>16</v>
      </c>
      <c r="P209">
        <v>0.05006335758366887</v>
      </c>
      <c r="Q209">
        <v>0.031162618497841</v>
      </c>
      <c r="R209" t="s">
        <v>784</v>
      </c>
      <c r="S209" t="s">
        <v>792</v>
      </c>
      <c r="T209">
        <v>3964.271838</v>
      </c>
      <c r="U209" s="2">
        <v>44494</v>
      </c>
      <c r="V209" t="s">
        <v>805</v>
      </c>
    </row>
    <row r="210" spans="1:22">
      <c r="A210" s="1" t="s">
        <v>230</v>
      </c>
      <c r="B210">
        <f>HYPERLINK("https://www.suredividend.com/sure-analysis-MDLZ/","Mondelez International Inc.")</f>
        <v>0</v>
      </c>
      <c r="C210">
        <v>62.26</v>
      </c>
      <c r="D210">
        <v>57</v>
      </c>
      <c r="E210">
        <v>1.092280701754386</v>
      </c>
      <c r="F210">
        <v>0.02248634757468679</v>
      </c>
      <c r="G210">
        <v>-0.01749866792271004</v>
      </c>
      <c r="H210">
        <v>0.08</v>
      </c>
      <c r="I210">
        <v>0.0827009231965703</v>
      </c>
      <c r="J210" t="s">
        <v>781</v>
      </c>
      <c r="K210" t="s">
        <v>350</v>
      </c>
      <c r="L210">
        <v>2.85</v>
      </c>
      <c r="M210">
        <v>1.4</v>
      </c>
      <c r="N210">
        <v>0.4912280701754386</v>
      </c>
      <c r="O210">
        <v>8</v>
      </c>
      <c r="P210">
        <v>0.08030860883184343</v>
      </c>
      <c r="Q210">
        <v>0.108385346383772</v>
      </c>
      <c r="R210" t="s">
        <v>784</v>
      </c>
      <c r="S210" t="s">
        <v>795</v>
      </c>
      <c r="T210">
        <v>86850.964938</v>
      </c>
      <c r="U210" s="2">
        <v>44514</v>
      </c>
      <c r="V210" t="s">
        <v>809</v>
      </c>
    </row>
    <row r="211" spans="1:22">
      <c r="A211" s="1" t="s">
        <v>231</v>
      </c>
      <c r="B211">
        <f>HYPERLINK("https://www.suredividend.com/sure-analysis-ORI/","Old Republic International Corp.")</f>
        <v>0</v>
      </c>
      <c r="C211">
        <v>24.72</v>
      </c>
      <c r="D211">
        <v>35</v>
      </c>
      <c r="E211">
        <v>0.7062857142857143</v>
      </c>
      <c r="F211">
        <v>0.03559870550161812</v>
      </c>
      <c r="G211">
        <v>0.07202253703373218</v>
      </c>
      <c r="H211">
        <v>-0.02</v>
      </c>
      <c r="I211">
        <v>0.08244088240004177</v>
      </c>
      <c r="J211" t="s">
        <v>781</v>
      </c>
      <c r="K211" t="s">
        <v>781</v>
      </c>
      <c r="L211">
        <v>2.9</v>
      </c>
      <c r="M211">
        <v>0.88</v>
      </c>
      <c r="N211">
        <v>0.303448275862069</v>
      </c>
      <c r="O211">
        <v>40</v>
      </c>
      <c r="P211">
        <v>0.04941452284458392</v>
      </c>
      <c r="Q211">
        <v>0.532111115243018</v>
      </c>
      <c r="R211" t="s">
        <v>784</v>
      </c>
      <c r="S211" t="s">
        <v>793</v>
      </c>
      <c r="T211">
        <v>7589.255904</v>
      </c>
      <c r="U211" s="2">
        <v>44518</v>
      </c>
      <c r="V211" t="s">
        <v>804</v>
      </c>
    </row>
    <row r="212" spans="1:22">
      <c r="A212" s="1" t="s">
        <v>232</v>
      </c>
      <c r="B212">
        <f>HYPERLINK("https://www.suredividend.com/sure-analysis-RBGLY/","Reckitt Benckiser Group Plc")</f>
        <v>0</v>
      </c>
      <c r="C212">
        <v>16.43</v>
      </c>
      <c r="D212">
        <v>18</v>
      </c>
      <c r="E212">
        <v>0.9127777777777778</v>
      </c>
      <c r="F212">
        <v>0.02678027997565429</v>
      </c>
      <c r="G212">
        <v>0.0184201613710171</v>
      </c>
      <c r="H212">
        <v>0.04</v>
      </c>
      <c r="I212">
        <v>0.08197902588444839</v>
      </c>
      <c r="J212" t="s">
        <v>781</v>
      </c>
      <c r="K212" t="s">
        <v>781</v>
      </c>
      <c r="L212">
        <v>1.2</v>
      </c>
      <c r="M212">
        <v>0.44</v>
      </c>
      <c r="N212">
        <v>0.3666666666666667</v>
      </c>
      <c r="O212">
        <v>0</v>
      </c>
      <c r="P212">
        <v>0.03792181163298758</v>
      </c>
      <c r="Q212">
        <v>-0.075928008998875</v>
      </c>
      <c r="R212" t="s">
        <v>784</v>
      </c>
      <c r="S212" t="s">
        <v>795</v>
      </c>
      <c r="T212">
        <v>58680.719874</v>
      </c>
      <c r="U212" s="2">
        <v>44497</v>
      </c>
      <c r="V212" t="s">
        <v>810</v>
      </c>
    </row>
    <row r="213" spans="1:22">
      <c r="A213" s="1" t="s">
        <v>233</v>
      </c>
      <c r="B213">
        <f>HYPERLINK("https://www.suredividend.com/sure-analysis-TTC/","Toro Co.")</f>
        <v>0</v>
      </c>
      <c r="C213">
        <v>99.89</v>
      </c>
      <c r="D213">
        <v>83</v>
      </c>
      <c r="E213">
        <v>1.203493975903615</v>
      </c>
      <c r="F213">
        <v>0.01051156271899089</v>
      </c>
      <c r="G213">
        <v>-0.03636799475495434</v>
      </c>
      <c r="H213">
        <v>0.11</v>
      </c>
      <c r="I213">
        <v>0.08020195776973726</v>
      </c>
      <c r="J213" t="s">
        <v>781</v>
      </c>
      <c r="K213" t="s">
        <v>526</v>
      </c>
      <c r="L213">
        <v>3.55</v>
      </c>
      <c r="M213">
        <v>1.05</v>
      </c>
      <c r="N213">
        <v>0.295774647887324</v>
      </c>
      <c r="O213">
        <v>11</v>
      </c>
      <c r="P213">
        <v>0.09986525071768737</v>
      </c>
      <c r="Q213">
        <v>0.102970810858559</v>
      </c>
      <c r="R213" t="s">
        <v>784</v>
      </c>
      <c r="S213" t="s">
        <v>792</v>
      </c>
      <c r="T213">
        <v>10632.758386</v>
      </c>
      <c r="U213" s="2">
        <v>44453</v>
      </c>
      <c r="V213" t="s">
        <v>805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83.43000000000001</v>
      </c>
      <c r="D214">
        <v>76</v>
      </c>
      <c r="E214">
        <v>1.097763157894737</v>
      </c>
      <c r="F214">
        <v>0.01773942227016661</v>
      </c>
      <c r="G214">
        <v>-0.01848199722069843</v>
      </c>
      <c r="H214">
        <v>0.08</v>
      </c>
      <c r="I214">
        <v>0.07932586823089061</v>
      </c>
      <c r="J214" t="s">
        <v>781</v>
      </c>
      <c r="K214" t="s">
        <v>350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-0.03278985003199601</v>
      </c>
      <c r="R214" t="s">
        <v>784</v>
      </c>
      <c r="S214" t="s">
        <v>792</v>
      </c>
      <c r="T214">
        <v>11170.99801</v>
      </c>
      <c r="U214" s="2">
        <v>44508</v>
      </c>
      <c r="V214" t="s">
        <v>806</v>
      </c>
    </row>
    <row r="215" spans="1:22">
      <c r="A215" s="1" t="s">
        <v>235</v>
      </c>
      <c r="B215">
        <f>HYPERLINK("https://www.suredividend.com/sure-analysis-PB/","Prosperity Bancshares Inc.")</f>
        <v>0</v>
      </c>
      <c r="C215">
        <v>73.66</v>
      </c>
      <c r="D215">
        <v>82</v>
      </c>
      <c r="E215">
        <v>0.8982926829268292</v>
      </c>
      <c r="F215">
        <v>0.02823784957914744</v>
      </c>
      <c r="G215">
        <v>0.02168361271140973</v>
      </c>
      <c r="H215">
        <v>0.03</v>
      </c>
      <c r="I215">
        <v>0.07838448636056095</v>
      </c>
      <c r="J215" t="s">
        <v>781</v>
      </c>
      <c r="K215" t="s">
        <v>781</v>
      </c>
      <c r="L215">
        <v>5.75</v>
      </c>
      <c r="M215">
        <v>2.08</v>
      </c>
      <c r="N215">
        <v>0.3617391304347826</v>
      </c>
      <c r="O215">
        <v>18</v>
      </c>
      <c r="P215">
        <v>0.05820339229333826</v>
      </c>
      <c r="Q215">
        <v>0.142392759159226</v>
      </c>
      <c r="R215" t="s">
        <v>784</v>
      </c>
      <c r="S215" t="s">
        <v>793</v>
      </c>
      <c r="T215">
        <v>6788.870585</v>
      </c>
      <c r="U215" s="2">
        <v>44498</v>
      </c>
      <c r="V215" t="s">
        <v>807</v>
      </c>
    </row>
    <row r="216" spans="1:22">
      <c r="A216" s="1" t="s">
        <v>236</v>
      </c>
      <c r="B216">
        <f>HYPERLINK("https://www.suredividend.com/sure-analysis-SNA/","Snap-on, Inc.")</f>
        <v>0</v>
      </c>
      <c r="C216">
        <v>217.45</v>
      </c>
      <c r="D216">
        <v>231</v>
      </c>
      <c r="E216">
        <v>0.9413419913419913</v>
      </c>
      <c r="F216">
        <v>0.02612094734421706</v>
      </c>
      <c r="G216">
        <v>0.01216313077815578</v>
      </c>
      <c r="H216">
        <v>0.04</v>
      </c>
      <c r="I216">
        <v>0.07833244635975833</v>
      </c>
      <c r="J216" t="s">
        <v>781</v>
      </c>
      <c r="K216" t="s">
        <v>781</v>
      </c>
      <c r="L216">
        <v>14.45</v>
      </c>
      <c r="M216">
        <v>5.68</v>
      </c>
      <c r="N216">
        <v>0.3930795847750865</v>
      </c>
      <c r="O216">
        <v>12</v>
      </c>
      <c r="P216">
        <v>0.08010910720791475</v>
      </c>
      <c r="Q216">
        <v>0.231351355024445</v>
      </c>
      <c r="R216" t="s">
        <v>784</v>
      </c>
      <c r="S216" t="s">
        <v>792</v>
      </c>
      <c r="T216">
        <v>11682.597798</v>
      </c>
      <c r="U216" s="2">
        <v>44498</v>
      </c>
      <c r="V216" t="s">
        <v>804</v>
      </c>
    </row>
    <row r="217" spans="1:22">
      <c r="A217" s="1" t="s">
        <v>237</v>
      </c>
      <c r="B217">
        <f>HYPERLINK("https://www.suredividend.com/sure-analysis-PBCT/","People`s United Financial Inc")</f>
        <v>0</v>
      </c>
      <c r="C217">
        <v>17.64</v>
      </c>
      <c r="D217">
        <v>18</v>
      </c>
      <c r="E217">
        <v>0.98</v>
      </c>
      <c r="F217">
        <v>0.04138321995464853</v>
      </c>
      <c r="G217">
        <v>0.004048715456574481</v>
      </c>
      <c r="H217">
        <v>0.04</v>
      </c>
      <c r="I217">
        <v>0.07815597301385968</v>
      </c>
      <c r="J217" t="s">
        <v>781</v>
      </c>
      <c r="K217" t="s">
        <v>780</v>
      </c>
      <c r="L217">
        <v>1.33</v>
      </c>
      <c r="M217">
        <v>0.73</v>
      </c>
      <c r="N217">
        <v>0.5488721804511277</v>
      </c>
      <c r="O217">
        <v>29</v>
      </c>
      <c r="P217">
        <v>0.01333804570728625</v>
      </c>
      <c r="Q217">
        <v>0.417072347809321</v>
      </c>
      <c r="R217" t="s">
        <v>784</v>
      </c>
      <c r="S217" t="s">
        <v>793</v>
      </c>
      <c r="T217">
        <v>7550.272959</v>
      </c>
      <c r="U217" s="2">
        <v>44495</v>
      </c>
      <c r="V217" t="s">
        <v>807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74.95</v>
      </c>
      <c r="D218">
        <v>74</v>
      </c>
      <c r="E218">
        <v>1.012837837837838</v>
      </c>
      <c r="F218">
        <v>0.03348899266177451</v>
      </c>
      <c r="G218">
        <v>-0.002547974656936902</v>
      </c>
      <c r="H218">
        <v>0.05</v>
      </c>
      <c r="I218">
        <v>0.07777790669698792</v>
      </c>
      <c r="J218" t="s">
        <v>781</v>
      </c>
      <c r="K218" t="s">
        <v>781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0.370073356963061</v>
      </c>
      <c r="R218" t="s">
        <v>784</v>
      </c>
      <c r="S218" t="s">
        <v>793</v>
      </c>
      <c r="T218">
        <v>136703.751068</v>
      </c>
      <c r="U218" s="2">
        <v>44444</v>
      </c>
      <c r="V218" t="s">
        <v>809</v>
      </c>
    </row>
    <row r="219" spans="1:22">
      <c r="A219" s="1" t="s">
        <v>239</v>
      </c>
      <c r="B219">
        <f>HYPERLINK("https://www.suredividend.com/sure-analysis-CHRW/","C.H. Robinson Worldwide, Inc.")</f>
        <v>0</v>
      </c>
      <c r="C219">
        <v>104.7</v>
      </c>
      <c r="D219">
        <v>100</v>
      </c>
      <c r="E219">
        <v>1.047</v>
      </c>
      <c r="F219">
        <v>0.02101241642788921</v>
      </c>
      <c r="G219">
        <v>-0.009143725926620938</v>
      </c>
      <c r="H219">
        <v>0.07000000000000001</v>
      </c>
      <c r="I219">
        <v>0.07768623647367789</v>
      </c>
      <c r="J219" t="s">
        <v>781</v>
      </c>
      <c r="K219" t="s">
        <v>781</v>
      </c>
      <c r="L219">
        <v>5.55</v>
      </c>
      <c r="M219">
        <v>2.2</v>
      </c>
      <c r="N219">
        <v>0.3963963963963965</v>
      </c>
      <c r="O219">
        <v>22</v>
      </c>
      <c r="P219">
        <v>0.02753251148110025</v>
      </c>
      <c r="Q219">
        <v>0.148827471789537</v>
      </c>
      <c r="R219" t="s">
        <v>784</v>
      </c>
      <c r="S219" t="s">
        <v>792</v>
      </c>
      <c r="T219">
        <v>13609.687271</v>
      </c>
      <c r="U219" s="2">
        <v>44495</v>
      </c>
      <c r="V219" t="s">
        <v>802</v>
      </c>
    </row>
    <row r="220" spans="1:22">
      <c r="A220" s="1" t="s">
        <v>240</v>
      </c>
      <c r="B220">
        <f>HYPERLINK("https://www.suredividend.com/sure-analysis-EMN/","Eastman Chemical Co")</f>
        <v>0</v>
      </c>
      <c r="C220">
        <v>117.31</v>
      </c>
      <c r="D220">
        <v>120</v>
      </c>
      <c r="E220">
        <v>0.9775833333333334</v>
      </c>
      <c r="F220">
        <v>0.02352740601824226</v>
      </c>
      <c r="G220">
        <v>0.004544643563671791</v>
      </c>
      <c r="H220">
        <v>0.05</v>
      </c>
      <c r="I220">
        <v>0.07595098599738903</v>
      </c>
      <c r="J220" t="s">
        <v>781</v>
      </c>
      <c r="K220" t="s">
        <v>781</v>
      </c>
      <c r="L220">
        <v>8.9</v>
      </c>
      <c r="M220">
        <v>2.76</v>
      </c>
      <c r="N220">
        <v>0.3101123595505618</v>
      </c>
      <c r="O220">
        <v>11</v>
      </c>
      <c r="P220">
        <v>0.04984870359842875</v>
      </c>
      <c r="Q220">
        <v>0.172679858398657</v>
      </c>
      <c r="R220" t="s">
        <v>784</v>
      </c>
      <c r="S220" t="s">
        <v>794</v>
      </c>
      <c r="T220">
        <v>15769.844727</v>
      </c>
      <c r="U220" s="2">
        <v>44502</v>
      </c>
      <c r="V220" t="s">
        <v>799</v>
      </c>
    </row>
    <row r="221" spans="1:22">
      <c r="A221" s="1" t="s">
        <v>241</v>
      </c>
      <c r="B221">
        <f>HYPERLINK("https://www.suredividend.com/sure-analysis-FLO/","Flowers Foods, Inc.")</f>
        <v>0</v>
      </c>
      <c r="C221">
        <v>25.93</v>
      </c>
      <c r="D221">
        <v>25</v>
      </c>
      <c r="E221">
        <v>1.0372</v>
      </c>
      <c r="F221">
        <v>0.0323949093713845</v>
      </c>
      <c r="G221">
        <v>-0.00727833860296867</v>
      </c>
      <c r="H221">
        <v>0.05</v>
      </c>
      <c r="I221">
        <v>0.072546173031935</v>
      </c>
      <c r="J221" t="s">
        <v>781</v>
      </c>
      <c r="K221" t="s">
        <v>781</v>
      </c>
      <c r="L221">
        <v>1.24</v>
      </c>
      <c r="M221">
        <v>0.84</v>
      </c>
      <c r="N221">
        <v>0.6774193548387096</v>
      </c>
      <c r="O221">
        <v>19</v>
      </c>
      <c r="P221">
        <v>0.05154749679728043</v>
      </c>
      <c r="Q221">
        <v>0.193342694689348</v>
      </c>
      <c r="R221" t="s">
        <v>784</v>
      </c>
      <c r="S221" t="s">
        <v>795</v>
      </c>
      <c r="T221">
        <v>5479.352724</v>
      </c>
      <c r="U221" s="2">
        <v>44513</v>
      </c>
      <c r="V221" t="s">
        <v>801</v>
      </c>
    </row>
    <row r="222" spans="1:22">
      <c r="A222" s="1" t="s">
        <v>242</v>
      </c>
      <c r="B222">
        <f>HYPERLINK("https://www.suredividend.com/sure-analysis-IBM/","International Business Machines Corp.")</f>
        <v>0</v>
      </c>
      <c r="C222">
        <v>124.1</v>
      </c>
      <c r="D222">
        <v>114</v>
      </c>
      <c r="E222">
        <v>1.08859649122807</v>
      </c>
      <c r="F222">
        <v>0.05286059629331184</v>
      </c>
      <c r="G222">
        <v>-0.01683453727533168</v>
      </c>
      <c r="H222">
        <v>0.04</v>
      </c>
      <c r="I222">
        <v>0.07194843149523522</v>
      </c>
      <c r="J222" t="s">
        <v>781</v>
      </c>
      <c r="K222" t="s">
        <v>780</v>
      </c>
      <c r="L222">
        <v>10.32</v>
      </c>
      <c r="M222">
        <v>6.56</v>
      </c>
      <c r="N222">
        <v>0.6356589147286821</v>
      </c>
      <c r="O222">
        <v>26</v>
      </c>
      <c r="P222">
        <v>0.03996760299438673</v>
      </c>
      <c r="Q222">
        <v>0.048791763827882</v>
      </c>
      <c r="R222" t="s">
        <v>784</v>
      </c>
      <c r="S222" t="s">
        <v>791</v>
      </c>
      <c r="T222">
        <v>111224.357859</v>
      </c>
      <c r="U222" s="2">
        <v>44494</v>
      </c>
      <c r="V222" t="s">
        <v>806</v>
      </c>
    </row>
    <row r="223" spans="1:22">
      <c r="A223" s="1" t="s">
        <v>243</v>
      </c>
      <c r="B223">
        <f>HYPERLINK("https://www.suredividend.com/sure-analysis-UNH/","Unitedhealth Group Inc")</f>
        <v>0</v>
      </c>
      <c r="C223">
        <v>478.23</v>
      </c>
      <c r="D223">
        <v>358</v>
      </c>
      <c r="E223">
        <v>1.335837988826816</v>
      </c>
      <c r="F223">
        <v>0.01212805553813019</v>
      </c>
      <c r="G223">
        <v>-0.05626678157902765</v>
      </c>
      <c r="H223">
        <v>0.12</v>
      </c>
      <c r="I223">
        <v>0.07123780151050485</v>
      </c>
      <c r="J223" t="s">
        <v>781</v>
      </c>
      <c r="K223" t="s">
        <v>350</v>
      </c>
      <c r="L223">
        <v>18.65</v>
      </c>
      <c r="M223">
        <v>5.8</v>
      </c>
      <c r="N223">
        <v>0.3109919571045577</v>
      </c>
      <c r="O223">
        <v>12</v>
      </c>
      <c r="P223">
        <v>0.1400529846685179</v>
      </c>
      <c r="Q223">
        <v>0.438733993508954</v>
      </c>
      <c r="R223" t="s">
        <v>784</v>
      </c>
      <c r="S223" t="s">
        <v>789</v>
      </c>
      <c r="T223">
        <v>450421.523288</v>
      </c>
      <c r="U223" s="2">
        <v>44491</v>
      </c>
      <c r="V223" t="s">
        <v>804</v>
      </c>
    </row>
    <row r="224" spans="1:22">
      <c r="A224" s="1" t="s">
        <v>244</v>
      </c>
      <c r="B224">
        <f>HYPERLINK("https://www.suredividend.com/sure-analysis-UHT/","Universal Health Realty Income Trust")</f>
        <v>0</v>
      </c>
      <c r="C224">
        <v>58.95</v>
      </c>
      <c r="D224">
        <v>60</v>
      </c>
      <c r="E224">
        <v>0.9825</v>
      </c>
      <c r="F224">
        <v>0.04749787955894826</v>
      </c>
      <c r="G224">
        <v>0.003537228326305764</v>
      </c>
      <c r="H224">
        <v>0.027</v>
      </c>
      <c r="I224">
        <v>0.07073977655221086</v>
      </c>
      <c r="J224" t="s">
        <v>781</v>
      </c>
      <c r="K224" t="s">
        <v>780</v>
      </c>
      <c r="L224">
        <v>3.5</v>
      </c>
      <c r="M224">
        <v>2.8</v>
      </c>
      <c r="N224">
        <v>0.7999999999999999</v>
      </c>
      <c r="O224">
        <v>37</v>
      </c>
      <c r="P224">
        <v>0.009805797673485328</v>
      </c>
      <c r="Q224">
        <v>-0.119368514772798</v>
      </c>
      <c r="R224" t="s">
        <v>786</v>
      </c>
      <c r="S224" t="s">
        <v>798</v>
      </c>
      <c r="T224">
        <v>812.591087</v>
      </c>
      <c r="U224" s="2">
        <v>44531</v>
      </c>
      <c r="V224" t="s">
        <v>808</v>
      </c>
    </row>
    <row r="225" spans="1:22">
      <c r="A225" s="1" t="s">
        <v>245</v>
      </c>
      <c r="B225">
        <f>HYPERLINK("https://www.suredividend.com/sure-analysis-EQIX/","Equinix Inc")</f>
        <v>0</v>
      </c>
      <c r="C225">
        <v>797.89</v>
      </c>
      <c r="D225">
        <v>638</v>
      </c>
      <c r="E225">
        <v>1.250611285266458</v>
      </c>
      <c r="F225">
        <v>0.01438794821341288</v>
      </c>
      <c r="G225">
        <v>-0.04374100944538484</v>
      </c>
      <c r="H225">
        <v>0.1</v>
      </c>
      <c r="I225">
        <v>0.06721699007239557</v>
      </c>
      <c r="J225" t="s">
        <v>781</v>
      </c>
      <c r="K225" t="s">
        <v>526</v>
      </c>
      <c r="L225">
        <v>27.14</v>
      </c>
      <c r="M225">
        <v>11.48</v>
      </c>
      <c r="N225">
        <v>0.4229918938835667</v>
      </c>
      <c r="O225">
        <v>5</v>
      </c>
      <c r="P225">
        <v>0.1000160063233719</v>
      </c>
      <c r="Q225">
        <v>0.176285700512049</v>
      </c>
      <c r="R225" t="s">
        <v>786</v>
      </c>
      <c r="S225" t="s">
        <v>798</v>
      </c>
      <c r="T225">
        <v>71842.97306800001</v>
      </c>
      <c r="U225" s="2">
        <v>44505</v>
      </c>
      <c r="V225" t="s">
        <v>805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52.25</v>
      </c>
      <c r="D226">
        <v>54</v>
      </c>
      <c r="E226">
        <v>0.9675925925925926</v>
      </c>
      <c r="F226">
        <v>0.03215311004784689</v>
      </c>
      <c r="G226">
        <v>0.006610585243576939</v>
      </c>
      <c r="H226">
        <v>0.03</v>
      </c>
      <c r="I226">
        <v>0.0656172216534574</v>
      </c>
      <c r="J226" t="s">
        <v>781</v>
      </c>
      <c r="K226" t="s">
        <v>780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0.04190558628131</v>
      </c>
      <c r="R226" t="s">
        <v>784</v>
      </c>
      <c r="S226" t="s">
        <v>793</v>
      </c>
      <c r="T226">
        <v>4428.561214</v>
      </c>
      <c r="U226" s="2">
        <v>44512</v>
      </c>
      <c r="V226" t="s">
        <v>804</v>
      </c>
    </row>
    <row r="227" spans="1:22">
      <c r="A227" s="1" t="s">
        <v>247</v>
      </c>
      <c r="B227">
        <f>HYPERLINK("https://www.suredividend.com/sure-analysis-YORW/","York Water Co.")</f>
        <v>0</v>
      </c>
      <c r="C227">
        <v>47.04</v>
      </c>
      <c r="D227">
        <v>45</v>
      </c>
      <c r="E227">
        <v>1.045333333333333</v>
      </c>
      <c r="F227">
        <v>0.01658163265306123</v>
      </c>
      <c r="G227">
        <v>-0.008827965418242711</v>
      </c>
      <c r="H227">
        <v>0.06</v>
      </c>
      <c r="I227">
        <v>0.0651759691962468</v>
      </c>
      <c r="J227" t="s">
        <v>781</v>
      </c>
      <c r="K227" t="s">
        <v>350</v>
      </c>
      <c r="L227">
        <v>1.29</v>
      </c>
      <c r="M227">
        <v>0.78</v>
      </c>
      <c r="N227">
        <v>0.6046511627906976</v>
      </c>
      <c r="O227">
        <v>24</v>
      </c>
      <c r="P227">
        <v>0.03131030647754507</v>
      </c>
      <c r="Q227">
        <v>-0.030462920977781</v>
      </c>
      <c r="R227" t="s">
        <v>784</v>
      </c>
      <c r="S227" t="s">
        <v>796</v>
      </c>
      <c r="T227">
        <v>616.4408069999999</v>
      </c>
      <c r="U227" s="2">
        <v>44507</v>
      </c>
      <c r="V227" t="s">
        <v>799</v>
      </c>
    </row>
    <row r="228" spans="1:22">
      <c r="A228" s="1" t="s">
        <v>248</v>
      </c>
      <c r="B228">
        <f>HYPERLINK("https://www.suredividend.com/sure-analysis-TXN/","Texas Instruments Inc.")</f>
        <v>0</v>
      </c>
      <c r="C228">
        <v>196</v>
      </c>
      <c r="D228">
        <v>162</v>
      </c>
      <c r="E228">
        <v>1.209876543209877</v>
      </c>
      <c r="F228">
        <v>0.02346938775510204</v>
      </c>
      <c r="G228">
        <v>-0.03738685338024994</v>
      </c>
      <c r="H228">
        <v>0.08</v>
      </c>
      <c r="I228">
        <v>0.06460928084884543</v>
      </c>
      <c r="J228" t="s">
        <v>781</v>
      </c>
      <c r="K228" t="s">
        <v>350</v>
      </c>
      <c r="L228">
        <v>8.1</v>
      </c>
      <c r="M228">
        <v>4.6</v>
      </c>
      <c r="N228">
        <v>0.5679012345679012</v>
      </c>
      <c r="O228">
        <v>18</v>
      </c>
      <c r="P228">
        <v>0.09007175117662958</v>
      </c>
      <c r="Q228">
        <v>0.249054446665693</v>
      </c>
      <c r="R228" t="s">
        <v>784</v>
      </c>
      <c r="S228" t="s">
        <v>791</v>
      </c>
      <c r="T228">
        <v>181011.105212</v>
      </c>
      <c r="U228" s="2">
        <v>44504</v>
      </c>
      <c r="V228" t="s">
        <v>803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58.89</v>
      </c>
      <c r="D229">
        <v>53</v>
      </c>
      <c r="E229">
        <v>1.111132075471698</v>
      </c>
      <c r="F229">
        <v>0.02733910680930549</v>
      </c>
      <c r="G229">
        <v>-0.02085533249667537</v>
      </c>
      <c r="H229">
        <v>0.06</v>
      </c>
      <c r="I229">
        <v>0.06460151804788472</v>
      </c>
      <c r="J229" t="s">
        <v>781</v>
      </c>
      <c r="K229" t="s">
        <v>781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0.173021111989753</v>
      </c>
      <c r="R229" t="s">
        <v>784</v>
      </c>
      <c r="S229" t="s">
        <v>796</v>
      </c>
      <c r="T229">
        <v>14737.68514</v>
      </c>
      <c r="U229" s="2">
        <v>44513</v>
      </c>
      <c r="V229" t="s">
        <v>802</v>
      </c>
    </row>
    <row r="230" spans="1:22">
      <c r="A230" s="1" t="s">
        <v>250</v>
      </c>
      <c r="B230">
        <f>HYPERLINK("https://www.suredividend.com/sure-analysis-XOM/","Exxon Mobil Corp.")</f>
        <v>0</v>
      </c>
      <c r="C230">
        <v>63.01</v>
      </c>
      <c r="D230">
        <v>65</v>
      </c>
      <c r="E230">
        <v>0.9693846153846154</v>
      </c>
      <c r="F230">
        <v>0.05586414854784955</v>
      </c>
      <c r="G230">
        <v>0.006238141854055801</v>
      </c>
      <c r="H230">
        <v>0.01</v>
      </c>
      <c r="I230">
        <v>0.06456978331689145</v>
      </c>
      <c r="J230" t="s">
        <v>781</v>
      </c>
      <c r="K230" t="s">
        <v>780</v>
      </c>
      <c r="L230">
        <v>5</v>
      </c>
      <c r="M230">
        <v>3.52</v>
      </c>
      <c r="N230">
        <v>0.704</v>
      </c>
      <c r="O230">
        <v>39</v>
      </c>
      <c r="P230">
        <v>0.004504686905032917</v>
      </c>
      <c r="Q230">
        <v>0.527045006749437</v>
      </c>
      <c r="R230" t="s">
        <v>784</v>
      </c>
      <c r="S230" t="s">
        <v>797</v>
      </c>
      <c r="T230">
        <v>266757.046525</v>
      </c>
      <c r="U230" s="2">
        <v>44501</v>
      </c>
      <c r="V230" t="s">
        <v>807</v>
      </c>
    </row>
    <row r="231" spans="1:22">
      <c r="A231" s="1" t="s">
        <v>251</v>
      </c>
      <c r="B231">
        <f>HYPERLINK("https://www.suredividend.com/sure-analysis-HD/","Home Depot, Inc.")</f>
        <v>0</v>
      </c>
      <c r="C231">
        <v>415.41</v>
      </c>
      <c r="D231">
        <v>341</v>
      </c>
      <c r="E231">
        <v>1.218211143695015</v>
      </c>
      <c r="F231">
        <v>0.01588791796056907</v>
      </c>
      <c r="G231">
        <v>-0.03870764951419581</v>
      </c>
      <c r="H231">
        <v>0.09</v>
      </c>
      <c r="I231">
        <v>0.06446198564135486</v>
      </c>
      <c r="J231" t="s">
        <v>781</v>
      </c>
      <c r="K231" t="s">
        <v>350</v>
      </c>
      <c r="L231">
        <v>15.48</v>
      </c>
      <c r="M231">
        <v>6.6</v>
      </c>
      <c r="N231">
        <v>0.4263565891472868</v>
      </c>
      <c r="O231">
        <v>12</v>
      </c>
      <c r="P231">
        <v>0.08989440052011655</v>
      </c>
      <c r="Q231">
        <v>0.6030161710141181</v>
      </c>
      <c r="R231" t="s">
        <v>784</v>
      </c>
      <c r="S231" t="s">
        <v>790</v>
      </c>
      <c r="T231">
        <v>433776.954126</v>
      </c>
      <c r="U231" s="2">
        <v>44530</v>
      </c>
      <c r="V231" t="s">
        <v>805</v>
      </c>
    </row>
    <row r="232" spans="1:22">
      <c r="A232" s="1" t="s">
        <v>252</v>
      </c>
      <c r="B232">
        <f>HYPERLINK("https://www.suredividend.com/sure-analysis-RBA/","Ritchie Bros Auctioneers Inc")</f>
        <v>0</v>
      </c>
      <c r="C232">
        <v>67.52</v>
      </c>
      <c r="D232">
        <v>53</v>
      </c>
      <c r="E232">
        <v>1.273962264150943</v>
      </c>
      <c r="F232">
        <v>0.01481042654028436</v>
      </c>
      <c r="G232">
        <v>-0.04727253047892543</v>
      </c>
      <c r="H232">
        <v>0.1</v>
      </c>
      <c r="I232">
        <v>0.0639919752710445</v>
      </c>
      <c r="J232" t="s">
        <v>781</v>
      </c>
      <c r="K232" t="s">
        <v>526</v>
      </c>
      <c r="L232">
        <v>1.6</v>
      </c>
      <c r="M232">
        <v>1</v>
      </c>
      <c r="N232">
        <v>0.625</v>
      </c>
      <c r="O232">
        <v>17</v>
      </c>
      <c r="P232">
        <v>0.09993032380125255</v>
      </c>
      <c r="Q232">
        <v>-0.030264034745042</v>
      </c>
      <c r="R232" t="s">
        <v>784</v>
      </c>
      <c r="S232" t="s">
        <v>792</v>
      </c>
      <c r="T232">
        <v>7467.949063</v>
      </c>
      <c r="U232" s="2">
        <v>44515</v>
      </c>
      <c r="V232" t="s">
        <v>799</v>
      </c>
    </row>
    <row r="233" spans="1:22">
      <c r="A233" s="1" t="s">
        <v>253</v>
      </c>
      <c r="B233">
        <f>HYPERLINK("https://www.suredividend.com/sure-analysis-K/","Kellogg Co")</f>
        <v>0</v>
      </c>
      <c r="C233">
        <v>62.62</v>
      </c>
      <c r="D233">
        <v>62</v>
      </c>
      <c r="E233">
        <v>1.01</v>
      </c>
      <c r="F233">
        <v>0.03704886617694027</v>
      </c>
      <c r="G233">
        <v>-0.00198808730186284</v>
      </c>
      <c r="H233">
        <v>0.03</v>
      </c>
      <c r="I233">
        <v>0.06192432038207141</v>
      </c>
      <c r="J233" t="s">
        <v>781</v>
      </c>
      <c r="K233" t="s">
        <v>781</v>
      </c>
      <c r="L233">
        <v>4.15</v>
      </c>
      <c r="M233">
        <v>2.32</v>
      </c>
      <c r="N233">
        <v>0.5590361445783132</v>
      </c>
      <c r="O233">
        <v>17</v>
      </c>
      <c r="P233">
        <v>0.03003707999335203</v>
      </c>
      <c r="Q233">
        <v>0.046383776539748</v>
      </c>
      <c r="R233" t="s">
        <v>784</v>
      </c>
      <c r="S233" t="s">
        <v>795</v>
      </c>
      <c r="T233">
        <v>21361.109924</v>
      </c>
      <c r="U233" s="2">
        <v>44526</v>
      </c>
      <c r="V233" t="s">
        <v>804</v>
      </c>
    </row>
    <row r="234" spans="1:22">
      <c r="A234" s="1" t="s">
        <v>254</v>
      </c>
      <c r="B234">
        <f>HYPERLINK("https://www.suredividend.com/sure-analysis-UVV/","Universal Corp.")</f>
        <v>0</v>
      </c>
      <c r="C234">
        <v>50.48</v>
      </c>
      <c r="D234">
        <v>48</v>
      </c>
      <c r="E234">
        <v>1.051666666666667</v>
      </c>
      <c r="F234">
        <v>0.06180665610142631</v>
      </c>
      <c r="G234">
        <v>-0.01002465624835602</v>
      </c>
      <c r="H234">
        <v>0.015</v>
      </c>
      <c r="I234">
        <v>0.06072959309540082</v>
      </c>
      <c r="J234" t="s">
        <v>781</v>
      </c>
      <c r="K234" t="s">
        <v>780</v>
      </c>
      <c r="L234">
        <v>4.4</v>
      </c>
      <c r="M234">
        <v>3.12</v>
      </c>
      <c r="N234">
        <v>0.7090909090909091</v>
      </c>
      <c r="O234">
        <v>50</v>
      </c>
      <c r="P234">
        <v>0.01005227214699711</v>
      </c>
      <c r="Q234">
        <v>0.078167115902964</v>
      </c>
      <c r="R234" t="s">
        <v>784</v>
      </c>
      <c r="S234" t="s">
        <v>795</v>
      </c>
      <c r="T234">
        <v>1242.180744</v>
      </c>
      <c r="U234" s="2">
        <v>44533</v>
      </c>
      <c r="V234" t="s">
        <v>803</v>
      </c>
    </row>
    <row r="235" spans="1:22">
      <c r="A235" s="1" t="s">
        <v>255</v>
      </c>
      <c r="B235">
        <f>HYPERLINK("https://www.suredividend.com/sure-analysis-EIX/","Edison International")</f>
        <v>0</v>
      </c>
      <c r="C235">
        <v>67.06999999999999</v>
      </c>
      <c r="D235">
        <v>56.6</v>
      </c>
      <c r="E235">
        <v>1.184982332155477</v>
      </c>
      <c r="F235">
        <v>0.04174742806023558</v>
      </c>
      <c r="G235">
        <v>-0.03337588632470034</v>
      </c>
      <c r="H235">
        <v>0.058</v>
      </c>
      <c r="I235">
        <v>0.06038872498821113</v>
      </c>
      <c r="J235" t="s">
        <v>781</v>
      </c>
      <c r="K235" t="s">
        <v>780</v>
      </c>
      <c r="L235">
        <v>4.49</v>
      </c>
      <c r="M235">
        <v>2.8</v>
      </c>
      <c r="N235">
        <v>0.6236080178173719</v>
      </c>
      <c r="O235">
        <v>18</v>
      </c>
      <c r="P235">
        <v>0.02056514630321193</v>
      </c>
      <c r="Q235">
        <v>0.116882987104048</v>
      </c>
      <c r="R235" t="s">
        <v>784</v>
      </c>
      <c r="S235" t="s">
        <v>796</v>
      </c>
      <c r="T235">
        <v>25463.003821</v>
      </c>
      <c r="U235" s="2">
        <v>44509</v>
      </c>
      <c r="V235" t="s">
        <v>808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31.95</v>
      </c>
      <c r="D236">
        <v>28.6</v>
      </c>
      <c r="E236">
        <v>1.117132867132867</v>
      </c>
      <c r="F236">
        <v>0.02034428794992175</v>
      </c>
      <c r="G236">
        <v>-0.02190951482626424</v>
      </c>
      <c r="H236">
        <v>0.06</v>
      </c>
      <c r="I236">
        <v>0.05701481945742293</v>
      </c>
      <c r="J236" t="s">
        <v>781</v>
      </c>
      <c r="K236" t="s">
        <v>350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0.3558760996600761</v>
      </c>
      <c r="R236" t="s">
        <v>784</v>
      </c>
      <c r="S236" t="s">
        <v>788</v>
      </c>
      <c r="T236">
        <v>61811.175712</v>
      </c>
      <c r="U236" s="2">
        <v>44411</v>
      </c>
      <c r="V236" t="s">
        <v>799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42.6</v>
      </c>
      <c r="D237">
        <v>44.6</v>
      </c>
      <c r="E237">
        <v>0.9551569506726457</v>
      </c>
      <c r="F237">
        <v>0.02511737089201878</v>
      </c>
      <c r="G237">
        <v>0.009218148975523865</v>
      </c>
      <c r="H237">
        <v>0.023</v>
      </c>
      <c r="I237">
        <v>0.05565381792548085</v>
      </c>
      <c r="J237" t="s">
        <v>781</v>
      </c>
      <c r="K237" t="s">
        <v>781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0.110647617061216</v>
      </c>
      <c r="R237" t="s">
        <v>784</v>
      </c>
      <c r="S237" t="s">
        <v>796</v>
      </c>
      <c r="T237">
        <v>363.158056</v>
      </c>
      <c r="U237" s="2">
        <v>44509</v>
      </c>
      <c r="V237" t="s">
        <v>808</v>
      </c>
    </row>
    <row r="238" spans="1:22">
      <c r="A238" s="1" t="s">
        <v>258</v>
      </c>
      <c r="B238">
        <f>HYPERLINK("https://www.suredividend.com/sure-analysis-CSCO/","Cisco Systems, Inc.")</f>
        <v>0</v>
      </c>
      <c r="C238">
        <v>59.25</v>
      </c>
      <c r="D238">
        <v>51</v>
      </c>
      <c r="E238">
        <v>1.161764705882353</v>
      </c>
      <c r="F238">
        <v>0.0249789029535865</v>
      </c>
      <c r="G238">
        <v>-0.02954284962312159</v>
      </c>
      <c r="H238">
        <v>0.06</v>
      </c>
      <c r="I238">
        <v>0.05405553153642795</v>
      </c>
      <c r="J238" t="s">
        <v>781</v>
      </c>
      <c r="K238" t="s">
        <v>781</v>
      </c>
      <c r="L238">
        <v>3.42</v>
      </c>
      <c r="M238">
        <v>1.48</v>
      </c>
      <c r="N238">
        <v>0.4327485380116959</v>
      </c>
      <c r="O238">
        <v>11</v>
      </c>
      <c r="P238">
        <v>0.05993856763806171</v>
      </c>
      <c r="Q238">
        <v>0.3760700831912741</v>
      </c>
      <c r="R238" t="s">
        <v>784</v>
      </c>
      <c r="S238" t="s">
        <v>791</v>
      </c>
      <c r="T238">
        <v>249893.188384</v>
      </c>
      <c r="U238" s="2">
        <v>44518</v>
      </c>
      <c r="V238" t="s">
        <v>800</v>
      </c>
    </row>
    <row r="239" spans="1:22">
      <c r="A239" s="1" t="s">
        <v>259</v>
      </c>
      <c r="B239">
        <f>HYPERLINK("https://www.suredividend.com/sure-analysis-DTE/","DTE Energy Co.")</f>
        <v>0</v>
      </c>
      <c r="C239">
        <v>116.23</v>
      </c>
      <c r="D239">
        <v>102</v>
      </c>
      <c r="E239">
        <v>1.139509803921569</v>
      </c>
      <c r="F239">
        <v>0.03045685279187817</v>
      </c>
      <c r="G239">
        <v>-0.02578146768003931</v>
      </c>
      <c r="H239">
        <v>0.05</v>
      </c>
      <c r="I239">
        <v>0.0533517524308631</v>
      </c>
      <c r="J239" t="s">
        <v>781</v>
      </c>
      <c r="K239" t="s">
        <v>781</v>
      </c>
      <c r="L239">
        <v>6</v>
      </c>
      <c r="M239">
        <v>3.54</v>
      </c>
      <c r="N239">
        <v>0.59</v>
      </c>
      <c r="O239">
        <v>12</v>
      </c>
      <c r="P239">
        <v>0.05009123759249423</v>
      </c>
      <c r="Q239">
        <v>0.129315463031971</v>
      </c>
      <c r="R239" t="s">
        <v>784</v>
      </c>
      <c r="S239" t="s">
        <v>796</v>
      </c>
      <c r="T239">
        <v>22514.984249</v>
      </c>
      <c r="U239" s="2">
        <v>44498</v>
      </c>
      <c r="V239" t="s">
        <v>807</v>
      </c>
    </row>
    <row r="240" spans="1:22">
      <c r="A240" s="1" t="s">
        <v>260</v>
      </c>
      <c r="B240">
        <f>HYPERLINK("https://www.suredividend.com/sure-analysis-KMB/","Kimberly-Clark Corp.")</f>
        <v>0</v>
      </c>
      <c r="C240">
        <v>136.07</v>
      </c>
      <c r="D240">
        <v>112</v>
      </c>
      <c r="E240">
        <v>1.214910714285714</v>
      </c>
      <c r="F240">
        <v>0.03351216285735283</v>
      </c>
      <c r="G240">
        <v>-0.03818592630367179</v>
      </c>
      <c r="H240">
        <v>0.06</v>
      </c>
      <c r="I240">
        <v>0.05223102724728368</v>
      </c>
      <c r="J240" t="s">
        <v>781</v>
      </c>
      <c r="K240" t="s">
        <v>780</v>
      </c>
      <c r="L240">
        <v>6.2</v>
      </c>
      <c r="M240">
        <v>4.56</v>
      </c>
      <c r="N240">
        <v>0.7354838709677418</v>
      </c>
      <c r="O240">
        <v>49</v>
      </c>
      <c r="P240">
        <v>0.03932663634209943</v>
      </c>
      <c r="Q240">
        <v>0.035098409278839</v>
      </c>
      <c r="R240" t="s">
        <v>784</v>
      </c>
      <c r="S240" t="s">
        <v>795</v>
      </c>
      <c r="T240">
        <v>45817.044363</v>
      </c>
      <c r="U240" s="2">
        <v>44499</v>
      </c>
      <c r="V240" t="s">
        <v>804</v>
      </c>
    </row>
    <row r="241" spans="1:22">
      <c r="A241" s="1" t="s">
        <v>261</v>
      </c>
      <c r="B241">
        <f>HYPERLINK("https://www.suredividend.com/sure-analysis-ICE/","Intercontinental Exchange Inc")</f>
        <v>0</v>
      </c>
      <c r="C241">
        <v>135.56</v>
      </c>
      <c r="D241">
        <v>107</v>
      </c>
      <c r="E241">
        <v>1.266915887850467</v>
      </c>
      <c r="F241">
        <v>0.009737385659486574</v>
      </c>
      <c r="G241">
        <v>-0.04621509790249378</v>
      </c>
      <c r="H241">
        <v>0.09</v>
      </c>
      <c r="I241">
        <v>0.05123725440678806</v>
      </c>
      <c r="J241" t="s">
        <v>781</v>
      </c>
      <c r="K241" t="s">
        <v>526</v>
      </c>
      <c r="L241">
        <v>5.1</v>
      </c>
      <c r="M241">
        <v>1.32</v>
      </c>
      <c r="N241">
        <v>0.2588235294117647</v>
      </c>
      <c r="O241">
        <v>9</v>
      </c>
      <c r="P241">
        <v>0.1203569122523565</v>
      </c>
      <c r="Q241">
        <v>0.259722794067759</v>
      </c>
      <c r="R241" t="s">
        <v>784</v>
      </c>
      <c r="S241" t="s">
        <v>793</v>
      </c>
      <c r="T241">
        <v>76363.823701</v>
      </c>
      <c r="U241" s="2">
        <v>44522</v>
      </c>
      <c r="V241" t="s">
        <v>806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209.11</v>
      </c>
      <c r="D242">
        <v>191</v>
      </c>
      <c r="E242">
        <v>1.094816753926702</v>
      </c>
      <c r="F242">
        <v>0.01951126201520731</v>
      </c>
      <c r="G242">
        <v>-0.01795426682463774</v>
      </c>
      <c r="H242">
        <v>0.05</v>
      </c>
      <c r="I242">
        <v>0.05116839218972413</v>
      </c>
      <c r="J242" t="s">
        <v>781</v>
      </c>
      <c r="K242" t="s">
        <v>350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0.268464957829045</v>
      </c>
      <c r="R242" t="s">
        <v>784</v>
      </c>
      <c r="S242" t="s">
        <v>792</v>
      </c>
      <c r="T242">
        <v>180754.684</v>
      </c>
      <c r="U242" s="2">
        <v>44495</v>
      </c>
      <c r="V242" t="s">
        <v>801</v>
      </c>
    </row>
    <row r="243" spans="1:22">
      <c r="A243" s="1" t="s">
        <v>263</v>
      </c>
      <c r="B243">
        <f>HYPERLINK("https://www.suredividend.com/sure-analysis-SPTN/","SpartanNash Co")</f>
        <v>0</v>
      </c>
      <c r="C243">
        <v>24.41</v>
      </c>
      <c r="D243">
        <v>21</v>
      </c>
      <c r="E243">
        <v>1.162380952380952</v>
      </c>
      <c r="F243">
        <v>0.03277345350266284</v>
      </c>
      <c r="G243">
        <v>-0.0296457707322012</v>
      </c>
      <c r="H243">
        <v>0.05</v>
      </c>
      <c r="I243">
        <v>0.05097414819700052</v>
      </c>
      <c r="J243" t="s">
        <v>781</v>
      </c>
      <c r="K243" t="s">
        <v>781</v>
      </c>
      <c r="L243">
        <v>1.78</v>
      </c>
      <c r="M243">
        <v>0.8</v>
      </c>
      <c r="N243">
        <v>0.4494382022471911</v>
      </c>
      <c r="O243">
        <v>10</v>
      </c>
      <c r="P243">
        <v>0.03928904495613805</v>
      </c>
      <c r="Q243">
        <v>0.436169586858548</v>
      </c>
      <c r="R243" t="s">
        <v>784</v>
      </c>
      <c r="S243" t="s">
        <v>795</v>
      </c>
      <c r="T243">
        <v>877.401779</v>
      </c>
      <c r="U243" s="2">
        <v>44513</v>
      </c>
      <c r="V243" t="s">
        <v>805</v>
      </c>
    </row>
    <row r="244" spans="1:22">
      <c r="A244" s="1" t="s">
        <v>264</v>
      </c>
      <c r="B244">
        <f>HYPERLINK("https://www.suredividend.com/sure-analysis-DPZ/","Dominos Pizza Inc")</f>
        <v>0</v>
      </c>
      <c r="C244">
        <v>534.4299999999999</v>
      </c>
      <c r="D244">
        <v>370</v>
      </c>
      <c r="E244">
        <v>1.444405405405405</v>
      </c>
      <c r="F244">
        <v>0.007035533184888573</v>
      </c>
      <c r="G244">
        <v>-0.07090060132423348</v>
      </c>
      <c r="H244">
        <v>0.12</v>
      </c>
      <c r="I244">
        <v>0.04968538676455769</v>
      </c>
      <c r="J244" t="s">
        <v>781</v>
      </c>
      <c r="K244" t="s">
        <v>526</v>
      </c>
      <c r="L244">
        <v>13.9</v>
      </c>
      <c r="M244">
        <v>3.76</v>
      </c>
      <c r="N244">
        <v>0.2705035971223022</v>
      </c>
      <c r="O244">
        <v>8</v>
      </c>
      <c r="P244">
        <v>0.1480866941841668</v>
      </c>
      <c r="Q244">
        <v>0.406019876125444</v>
      </c>
      <c r="R244" t="s">
        <v>784</v>
      </c>
      <c r="S244" t="s">
        <v>790</v>
      </c>
      <c r="T244">
        <v>19445.821364</v>
      </c>
      <c r="U244" s="2">
        <v>44486</v>
      </c>
      <c r="V244" t="s">
        <v>807</v>
      </c>
    </row>
    <row r="245" spans="1:22">
      <c r="A245" s="1" t="s">
        <v>265</v>
      </c>
      <c r="B245">
        <f>HYPERLINK("https://www.suredividend.com/sure-analysis-GEF/","Greif Inc")</f>
        <v>0</v>
      </c>
      <c r="C245">
        <v>61.78</v>
      </c>
      <c r="D245">
        <v>62</v>
      </c>
      <c r="E245">
        <v>0.9964516129032258</v>
      </c>
      <c r="F245">
        <v>0.02978310132729039</v>
      </c>
      <c r="G245">
        <v>0.0007111922883249466</v>
      </c>
      <c r="H245">
        <v>0.02</v>
      </c>
      <c r="I245">
        <v>0.0482298950372495</v>
      </c>
      <c r="J245" t="s">
        <v>781</v>
      </c>
      <c r="K245" t="s">
        <v>781</v>
      </c>
      <c r="L245">
        <v>4.4</v>
      </c>
      <c r="M245">
        <v>1.84</v>
      </c>
      <c r="N245">
        <v>0.4181818181818182</v>
      </c>
      <c r="O245">
        <v>1</v>
      </c>
      <c r="P245">
        <v>0.01884169405651681</v>
      </c>
      <c r="Q245">
        <v>0.322429056187713</v>
      </c>
      <c r="R245" t="s">
        <v>784</v>
      </c>
      <c r="S245" t="s">
        <v>790</v>
      </c>
      <c r="T245">
        <v>2966.236084</v>
      </c>
      <c r="U245" s="2">
        <v>44441</v>
      </c>
      <c r="V245" t="s">
        <v>801</v>
      </c>
    </row>
    <row r="246" spans="1:22">
      <c r="A246" s="1" t="s">
        <v>266</v>
      </c>
      <c r="B246">
        <f>HYPERLINK("https://www.suredividend.com/sure-analysis-SBUX/","Starbucks Corp.")</f>
        <v>0</v>
      </c>
      <c r="C246">
        <v>116.73</v>
      </c>
      <c r="D246">
        <v>92</v>
      </c>
      <c r="E246">
        <v>1.268804347826087</v>
      </c>
      <c r="F246">
        <v>0.01679088494817099</v>
      </c>
      <c r="G246">
        <v>-0.04649918550225807</v>
      </c>
      <c r="H246">
        <v>0.08</v>
      </c>
      <c r="I246">
        <v>0.04804266574121696</v>
      </c>
      <c r="J246" t="s">
        <v>781</v>
      </c>
      <c r="K246" t="s">
        <v>526</v>
      </c>
      <c r="L246">
        <v>4</v>
      </c>
      <c r="M246">
        <v>1.96</v>
      </c>
      <c r="N246">
        <v>0.49</v>
      </c>
      <c r="O246">
        <v>11</v>
      </c>
      <c r="P246">
        <v>0.0800087729241854</v>
      </c>
      <c r="Q246">
        <v>0.152035529237601</v>
      </c>
      <c r="R246" t="s">
        <v>784</v>
      </c>
      <c r="S246" t="s">
        <v>790</v>
      </c>
      <c r="T246">
        <v>136947.636</v>
      </c>
      <c r="U246" s="2">
        <v>44504</v>
      </c>
      <c r="V246" t="s">
        <v>801</v>
      </c>
    </row>
    <row r="247" spans="1:22">
      <c r="A247" s="1" t="s">
        <v>267</v>
      </c>
      <c r="B247">
        <f>HYPERLINK("https://www.suredividend.com/sure-analysis-CVX/","Chevron Corp.")</f>
        <v>0</v>
      </c>
      <c r="C247">
        <v>118.35</v>
      </c>
      <c r="D247">
        <v>122</v>
      </c>
      <c r="E247">
        <v>0.9700819672131147</v>
      </c>
      <c r="F247">
        <v>0.04528939585973807</v>
      </c>
      <c r="G247">
        <v>0.0060934316360024</v>
      </c>
      <c r="H247">
        <v>0</v>
      </c>
      <c r="I247">
        <v>0.04786120673893168</v>
      </c>
      <c r="J247" t="s">
        <v>781</v>
      </c>
      <c r="K247" t="s">
        <v>780</v>
      </c>
      <c r="L247">
        <v>8.699999999999999</v>
      </c>
      <c r="M247">
        <v>5.36</v>
      </c>
      <c r="N247">
        <v>0.6160919540229886</v>
      </c>
      <c r="O247">
        <v>34</v>
      </c>
      <c r="P247">
        <v>0.008799010229586735</v>
      </c>
      <c r="Q247">
        <v>0.32835844350604</v>
      </c>
      <c r="R247" t="s">
        <v>784</v>
      </c>
      <c r="S247" t="s">
        <v>797</v>
      </c>
      <c r="T247">
        <v>228122.351654</v>
      </c>
      <c r="U247" s="2">
        <v>44501</v>
      </c>
      <c r="V247" t="s">
        <v>807</v>
      </c>
    </row>
    <row r="248" spans="1:22">
      <c r="A248" s="1" t="s">
        <v>268</v>
      </c>
      <c r="B248">
        <f>HYPERLINK("https://www.suredividend.com/sure-analysis-AMX/","America Movil S.A.B.DE C.V.")</f>
        <v>0</v>
      </c>
      <c r="C248">
        <v>19.19</v>
      </c>
      <c r="D248">
        <v>18</v>
      </c>
      <c r="E248">
        <v>1.066111111111111</v>
      </c>
      <c r="F248">
        <v>0.02084418968212611</v>
      </c>
      <c r="G248">
        <v>-0.01272189418123004</v>
      </c>
      <c r="H248">
        <v>0.04</v>
      </c>
      <c r="I248">
        <v>0.04740628124219426</v>
      </c>
      <c r="J248" t="s">
        <v>781</v>
      </c>
      <c r="K248" t="s">
        <v>350</v>
      </c>
      <c r="L248">
        <v>1.35</v>
      </c>
      <c r="M248">
        <v>0.4</v>
      </c>
      <c r="N248">
        <v>0.2962962962962963</v>
      </c>
      <c r="O248">
        <v>0</v>
      </c>
      <c r="P248">
        <v>0.04563955259127317</v>
      </c>
      <c r="Q248">
        <v>0.399959125281013</v>
      </c>
      <c r="R248" t="s">
        <v>784</v>
      </c>
      <c r="S248" t="s">
        <v>788</v>
      </c>
      <c r="T248">
        <v>42522.872401</v>
      </c>
      <c r="U248" s="2">
        <v>44494</v>
      </c>
      <c r="V248" t="s">
        <v>807</v>
      </c>
    </row>
    <row r="249" spans="1:22">
      <c r="A249" s="1" t="s">
        <v>269</v>
      </c>
      <c r="B249">
        <f>HYPERLINK("https://www.suredividend.com/sure-analysis-SIEGY/","Siemens AG")</f>
        <v>0</v>
      </c>
      <c r="C249">
        <v>85.47</v>
      </c>
      <c r="D249">
        <v>74</v>
      </c>
      <c r="E249">
        <v>1.155</v>
      </c>
      <c r="F249">
        <v>0.02468702468702469</v>
      </c>
      <c r="G249">
        <v>-0.02840873167228219</v>
      </c>
      <c r="H249">
        <v>0.05</v>
      </c>
      <c r="I249">
        <v>0.0460406794883772</v>
      </c>
      <c r="J249" t="s">
        <v>781</v>
      </c>
      <c r="K249" t="s">
        <v>350</v>
      </c>
      <c r="L249">
        <v>4.6</v>
      </c>
      <c r="M249">
        <v>2.11</v>
      </c>
      <c r="N249">
        <v>0.4586956521739131</v>
      </c>
      <c r="O249">
        <v>0</v>
      </c>
      <c r="P249">
        <v>0.0597253677135221</v>
      </c>
      <c r="Q249">
        <v>0.250841504463632</v>
      </c>
      <c r="R249" t="s">
        <v>784</v>
      </c>
      <c r="S249" t="s">
        <v>792</v>
      </c>
      <c r="T249">
        <v>145299</v>
      </c>
      <c r="U249" s="2">
        <v>44513</v>
      </c>
      <c r="V249" t="s">
        <v>803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57.56</v>
      </c>
      <c r="D250">
        <v>57</v>
      </c>
      <c r="E250">
        <v>1.009824561403509</v>
      </c>
      <c r="F250">
        <v>0.02918693537178596</v>
      </c>
      <c r="G250">
        <v>-0.001953412438576496</v>
      </c>
      <c r="H250">
        <v>0.02</v>
      </c>
      <c r="I250">
        <v>0.04530814498890279</v>
      </c>
      <c r="J250" t="s">
        <v>781</v>
      </c>
      <c r="K250" t="s">
        <v>781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0.09997420143898601</v>
      </c>
      <c r="R250" t="s">
        <v>784</v>
      </c>
      <c r="S250" t="s">
        <v>793</v>
      </c>
      <c r="T250">
        <v>1546.413176</v>
      </c>
      <c r="U250" s="2">
        <v>44490</v>
      </c>
      <c r="V250" t="s">
        <v>800</v>
      </c>
    </row>
    <row r="251" spans="1:22">
      <c r="A251" s="1" t="s">
        <v>271</v>
      </c>
      <c r="B251">
        <f>HYPERLINK("https://www.suredividend.com/sure-analysis-CVS/","CVS Health Corp")</f>
        <v>0</v>
      </c>
      <c r="C251">
        <v>98.87</v>
      </c>
      <c r="D251">
        <v>87</v>
      </c>
      <c r="E251">
        <v>1.136436781609195</v>
      </c>
      <c r="F251">
        <v>0.02225144128653788</v>
      </c>
      <c r="G251">
        <v>-0.02525516258542049</v>
      </c>
      <c r="H251">
        <v>0.05</v>
      </c>
      <c r="I251">
        <v>0.04475532531885196</v>
      </c>
      <c r="J251" t="s">
        <v>781</v>
      </c>
      <c r="K251" t="s">
        <v>350</v>
      </c>
      <c r="L251">
        <v>7.95</v>
      </c>
      <c r="M251">
        <v>2.2</v>
      </c>
      <c r="N251">
        <v>0.2767295597484277</v>
      </c>
      <c r="O251">
        <v>1</v>
      </c>
      <c r="P251">
        <v>0.02996744995959233</v>
      </c>
      <c r="Q251">
        <v>0.416129494341784</v>
      </c>
      <c r="R251" t="s">
        <v>784</v>
      </c>
      <c r="S251" t="s">
        <v>789</v>
      </c>
      <c r="T251">
        <v>130500.998831</v>
      </c>
      <c r="U251" s="2">
        <v>44503</v>
      </c>
      <c r="V251" t="s">
        <v>800</v>
      </c>
    </row>
    <row r="252" spans="1:22">
      <c r="A252" s="1" t="s">
        <v>272</v>
      </c>
      <c r="B252">
        <f>HYPERLINK("https://www.suredividend.com/sure-analysis-SJM/","J.M. Smucker Co.")</f>
        <v>0</v>
      </c>
      <c r="C252">
        <v>132.88</v>
      </c>
      <c r="D252">
        <v>112</v>
      </c>
      <c r="E252">
        <v>1.186428571428571</v>
      </c>
      <c r="F252">
        <v>0.02980132450331126</v>
      </c>
      <c r="G252">
        <v>-0.03361166147882921</v>
      </c>
      <c r="H252">
        <v>0.05</v>
      </c>
      <c r="I252">
        <v>0.04457471650542399</v>
      </c>
      <c r="J252" t="s">
        <v>781</v>
      </c>
      <c r="K252" t="s">
        <v>781</v>
      </c>
      <c r="L252">
        <v>7</v>
      </c>
      <c r="M252">
        <v>3.96</v>
      </c>
      <c r="N252">
        <v>0.5657142857142857</v>
      </c>
      <c r="O252">
        <v>24</v>
      </c>
      <c r="P252">
        <v>0.04008868188296377</v>
      </c>
      <c r="Q252">
        <v>0.18867219018755</v>
      </c>
      <c r="R252" t="s">
        <v>784</v>
      </c>
      <c r="S252" t="s">
        <v>795</v>
      </c>
      <c r="T252">
        <v>14399.304142</v>
      </c>
      <c r="U252" s="2">
        <v>44525</v>
      </c>
      <c r="V252" t="s">
        <v>801</v>
      </c>
    </row>
    <row r="253" spans="1:22">
      <c r="A253" s="1" t="s">
        <v>273</v>
      </c>
      <c r="B253">
        <f>HYPERLINK("https://www.suredividend.com/sure-analysis-RSG/","Republic Services, Inc.")</f>
        <v>0</v>
      </c>
      <c r="C253">
        <v>135.49</v>
      </c>
      <c r="D253">
        <v>107</v>
      </c>
      <c r="E253">
        <v>1.266261682242991</v>
      </c>
      <c r="F253">
        <v>0.01358033803232711</v>
      </c>
      <c r="G253">
        <v>-0.04611656494809391</v>
      </c>
      <c r="H253">
        <v>0.08</v>
      </c>
      <c r="I253">
        <v>0.04441449597577973</v>
      </c>
      <c r="J253" t="s">
        <v>781</v>
      </c>
      <c r="K253" t="s">
        <v>526</v>
      </c>
      <c r="L253">
        <v>4.12</v>
      </c>
      <c r="M253">
        <v>1.84</v>
      </c>
      <c r="N253">
        <v>0.4466019417475728</v>
      </c>
      <c r="O253">
        <v>17</v>
      </c>
      <c r="P253">
        <v>0.0649189212487713</v>
      </c>
      <c r="Q253">
        <v>0.450005886067144</v>
      </c>
      <c r="R253" t="s">
        <v>784</v>
      </c>
      <c r="S253" t="s">
        <v>792</v>
      </c>
      <c r="T253">
        <v>42963.173775</v>
      </c>
      <c r="U253" s="2">
        <v>44502</v>
      </c>
      <c r="V253" t="s">
        <v>799</v>
      </c>
    </row>
    <row r="254" spans="1:22">
      <c r="A254" s="1" t="s">
        <v>274</v>
      </c>
      <c r="B254">
        <f>HYPERLINK("https://www.suredividend.com/sure-analysis-NEP/","NextEra Energy Partners LP")</f>
        <v>0</v>
      </c>
      <c r="C254">
        <v>85.26000000000001</v>
      </c>
      <c r="D254">
        <v>72.8</v>
      </c>
      <c r="E254">
        <v>1.171153846153846</v>
      </c>
      <c r="F254">
        <v>0.03213699272812574</v>
      </c>
      <c r="G254">
        <v>-0.03110389461720831</v>
      </c>
      <c r="H254">
        <v>0.039</v>
      </c>
      <c r="I254">
        <v>0.04339712016840358</v>
      </c>
      <c r="J254" t="s">
        <v>781</v>
      </c>
      <c r="K254" t="s">
        <v>781</v>
      </c>
      <c r="L254">
        <v>6.62</v>
      </c>
      <c r="M254">
        <v>2.74</v>
      </c>
      <c r="N254">
        <v>0.4138972809667674</v>
      </c>
      <c r="O254">
        <v>7</v>
      </c>
      <c r="P254">
        <v>0.07860365022909654</v>
      </c>
      <c r="Q254">
        <v>0.389583825674541</v>
      </c>
      <c r="R254" t="s">
        <v>785</v>
      </c>
      <c r="S254" t="s">
        <v>796</v>
      </c>
      <c r="T254">
        <v>6532.5703</v>
      </c>
      <c r="U254" s="2">
        <v>44494</v>
      </c>
      <c r="V254" t="s">
        <v>808</v>
      </c>
    </row>
    <row r="255" spans="1:22">
      <c r="A255" s="1" t="s">
        <v>275</v>
      </c>
      <c r="B255">
        <f>HYPERLINK("https://www.suredividend.com/sure-analysis-PRGO/","Perrigo Company plc")</f>
        <v>0</v>
      </c>
      <c r="C255">
        <v>36.53</v>
      </c>
      <c r="D255">
        <v>31</v>
      </c>
      <c r="E255">
        <v>1.178387096774194</v>
      </c>
      <c r="F255">
        <v>0.02627977005201204</v>
      </c>
      <c r="G255">
        <v>-0.03229629386560773</v>
      </c>
      <c r="H255">
        <v>0.05</v>
      </c>
      <c r="I255">
        <v>0.04327247817973956</v>
      </c>
      <c r="J255" t="s">
        <v>781</v>
      </c>
      <c r="K255" t="s">
        <v>781</v>
      </c>
      <c r="L255">
        <v>2.05</v>
      </c>
      <c r="M255">
        <v>0.96</v>
      </c>
      <c r="N255">
        <v>0.4682926829268293</v>
      </c>
      <c r="O255">
        <v>19</v>
      </c>
      <c r="P255">
        <v>0.05081623913789235</v>
      </c>
      <c r="Q255">
        <v>-0.217769669249118</v>
      </c>
      <c r="R255" t="s">
        <v>784</v>
      </c>
      <c r="S255" t="s">
        <v>789</v>
      </c>
      <c r="T255">
        <v>4886.759873</v>
      </c>
      <c r="U255" s="2">
        <v>44510</v>
      </c>
      <c r="V255" t="s">
        <v>800</v>
      </c>
    </row>
    <row r="256" spans="1:22">
      <c r="A256" s="1" t="s">
        <v>276</v>
      </c>
      <c r="B256">
        <f>HYPERLINK("https://www.suredividend.com/sure-analysis-CTSH/","Cognizant Technology Solutions Corp.")</f>
        <v>0</v>
      </c>
      <c r="C256">
        <v>82.09999999999999</v>
      </c>
      <c r="D256">
        <v>65</v>
      </c>
      <c r="E256">
        <v>1.263076923076923</v>
      </c>
      <c r="F256">
        <v>0.01169305724725944</v>
      </c>
      <c r="G256">
        <v>-0.04563601943960338</v>
      </c>
      <c r="H256">
        <v>0.08</v>
      </c>
      <c r="I256">
        <v>0.04323557679025636</v>
      </c>
      <c r="J256" t="s">
        <v>781</v>
      </c>
      <c r="K256" t="s">
        <v>526</v>
      </c>
      <c r="L256">
        <v>4.05</v>
      </c>
      <c r="M256">
        <v>0.96</v>
      </c>
      <c r="N256">
        <v>0.237037037037037</v>
      </c>
      <c r="O256">
        <v>2</v>
      </c>
      <c r="P256">
        <v>0.07214502590085092</v>
      </c>
      <c r="Q256">
        <v>0.05903781061669201</v>
      </c>
      <c r="R256" t="s">
        <v>784</v>
      </c>
      <c r="S256" t="s">
        <v>791</v>
      </c>
      <c r="T256">
        <v>43123.167361</v>
      </c>
      <c r="U256" s="2">
        <v>44504</v>
      </c>
      <c r="V256" t="s">
        <v>807</v>
      </c>
    </row>
    <row r="257" spans="1:22">
      <c r="A257" s="1" t="s">
        <v>277</v>
      </c>
      <c r="B257">
        <f>HYPERLINK("https://www.suredividend.com/sure-analysis-OTTR/","Otter Tail Corporation")</f>
        <v>0</v>
      </c>
      <c r="C257">
        <v>67.31</v>
      </c>
      <c r="D257">
        <v>72</v>
      </c>
      <c r="E257">
        <v>0.9348611111111111</v>
      </c>
      <c r="F257">
        <v>0.02317634823948893</v>
      </c>
      <c r="G257">
        <v>0.01356260997278458</v>
      </c>
      <c r="H257">
        <v>0.005</v>
      </c>
      <c r="I257">
        <v>0.04123945652435301</v>
      </c>
      <c r="J257" t="s">
        <v>781</v>
      </c>
      <c r="K257" t="s">
        <v>350</v>
      </c>
      <c r="L257">
        <v>3.61</v>
      </c>
      <c r="M257">
        <v>1.56</v>
      </c>
      <c r="N257">
        <v>0.4321329639889197</v>
      </c>
      <c r="O257">
        <v>8</v>
      </c>
      <c r="P257">
        <v>0.03131030647754507</v>
      </c>
      <c r="Q257">
        <v>0.5999980983531731</v>
      </c>
      <c r="R257" t="s">
        <v>784</v>
      </c>
      <c r="S257" t="s">
        <v>796</v>
      </c>
      <c r="T257">
        <v>2796.056323</v>
      </c>
      <c r="U257" s="2">
        <v>44506</v>
      </c>
      <c r="V257" t="s">
        <v>808</v>
      </c>
    </row>
    <row r="258" spans="1:22">
      <c r="A258" s="1" t="s">
        <v>278</v>
      </c>
      <c r="B258">
        <f>HYPERLINK("https://www.suredividend.com/sure-analysis-CONE/","CyrusOne Inc")</f>
        <v>0</v>
      </c>
      <c r="C258">
        <v>89.39</v>
      </c>
      <c r="D258">
        <v>73</v>
      </c>
      <c r="E258">
        <v>1.224520547945205</v>
      </c>
      <c r="F258">
        <v>0.02326882201588545</v>
      </c>
      <c r="G258">
        <v>-0.03970031906160409</v>
      </c>
      <c r="H258">
        <v>0.06</v>
      </c>
      <c r="I258">
        <v>0.0409108114293899</v>
      </c>
      <c r="J258" t="s">
        <v>781</v>
      </c>
      <c r="K258" t="s">
        <v>350</v>
      </c>
      <c r="L258">
        <v>4.06</v>
      </c>
      <c r="M258">
        <v>2.08</v>
      </c>
      <c r="N258">
        <v>0.5123152709359606</v>
      </c>
      <c r="O258">
        <v>8</v>
      </c>
      <c r="P258">
        <v>0.03496752704080697</v>
      </c>
      <c r="Q258">
        <v>0.389955746570592</v>
      </c>
      <c r="R258" t="s">
        <v>786</v>
      </c>
      <c r="S258" t="s">
        <v>798</v>
      </c>
      <c r="T258">
        <v>11344.687905</v>
      </c>
      <c r="U258" s="2">
        <v>44500</v>
      </c>
      <c r="V258" t="s">
        <v>799</v>
      </c>
    </row>
    <row r="259" spans="1:22">
      <c r="A259" s="1" t="s">
        <v>279</v>
      </c>
      <c r="B259">
        <f>HYPERLINK("https://www.suredividend.com/sure-analysis-ETR/","Entergy Corp.")</f>
        <v>0</v>
      </c>
      <c r="C259">
        <v>107.43</v>
      </c>
      <c r="D259">
        <v>90</v>
      </c>
      <c r="E259">
        <v>1.193666666666667</v>
      </c>
      <c r="F259">
        <v>0.03760588290049334</v>
      </c>
      <c r="G259">
        <v>-0.03478650181369713</v>
      </c>
      <c r="H259">
        <v>0.04</v>
      </c>
      <c r="I259">
        <v>0.04088585935262468</v>
      </c>
      <c r="J259" t="s">
        <v>781</v>
      </c>
      <c r="K259" t="s">
        <v>781</v>
      </c>
      <c r="L259">
        <v>6</v>
      </c>
      <c r="M259">
        <v>4.04</v>
      </c>
      <c r="N259">
        <v>0.6733333333333333</v>
      </c>
      <c r="O259">
        <v>28</v>
      </c>
      <c r="P259">
        <v>0.02496011802205444</v>
      </c>
      <c r="Q259">
        <v>0.08477636902393301</v>
      </c>
      <c r="R259" t="s">
        <v>784</v>
      </c>
      <c r="S259" t="s">
        <v>796</v>
      </c>
      <c r="T259">
        <v>21587.401218</v>
      </c>
      <c r="U259" s="2">
        <v>44510</v>
      </c>
      <c r="V259" t="s">
        <v>803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86.16</v>
      </c>
      <c r="D260">
        <v>66</v>
      </c>
      <c r="E260">
        <v>1.305454545454545</v>
      </c>
      <c r="F260">
        <v>0.02367688022284123</v>
      </c>
      <c r="G260">
        <v>-0.05191418451860208</v>
      </c>
      <c r="H260">
        <v>0.07000000000000001</v>
      </c>
      <c r="I260">
        <v>0.04057676326891668</v>
      </c>
      <c r="J260" t="s">
        <v>781</v>
      </c>
      <c r="K260" t="s">
        <v>781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0.210733030275351</v>
      </c>
      <c r="R260" t="s">
        <v>784</v>
      </c>
      <c r="S260" t="s">
        <v>792</v>
      </c>
      <c r="T260">
        <v>128962.370251</v>
      </c>
      <c r="U260" s="2">
        <v>44497</v>
      </c>
      <c r="V260" t="s">
        <v>801</v>
      </c>
    </row>
    <row r="261" spans="1:22">
      <c r="A261" s="1" t="s">
        <v>281</v>
      </c>
      <c r="B261">
        <f>HYPERLINK("https://www.suredividend.com/sure-analysis-WEYS/","Weyco Group, Inc")</f>
        <v>0</v>
      </c>
      <c r="C261">
        <v>24.46</v>
      </c>
      <c r="D261">
        <v>23</v>
      </c>
      <c r="E261">
        <v>1.063478260869565</v>
      </c>
      <c r="F261">
        <v>0.04088307440719542</v>
      </c>
      <c r="G261">
        <v>-0.01223353720674969</v>
      </c>
      <c r="H261">
        <v>0.01</v>
      </c>
      <c r="I261">
        <v>0.04039400348684552</v>
      </c>
      <c r="J261" t="s">
        <v>781</v>
      </c>
      <c r="K261" t="s">
        <v>780</v>
      </c>
      <c r="L261">
        <v>1.5</v>
      </c>
      <c r="M261">
        <v>1</v>
      </c>
      <c r="N261">
        <v>0.6666666666666666</v>
      </c>
      <c r="O261">
        <v>39</v>
      </c>
      <c r="P261">
        <v>0.04057159395880827</v>
      </c>
      <c r="Q261">
        <v>0.4063613992318481</v>
      </c>
      <c r="R261" t="s">
        <v>784</v>
      </c>
      <c r="S261" t="s">
        <v>790</v>
      </c>
      <c r="T261">
        <v>238.494515</v>
      </c>
      <c r="U261" s="2">
        <v>44509</v>
      </c>
      <c r="V261" t="s">
        <v>806</v>
      </c>
    </row>
    <row r="262" spans="1:22">
      <c r="A262" s="1" t="s">
        <v>282</v>
      </c>
      <c r="B262">
        <f>HYPERLINK("https://www.suredividend.com/sure-analysis-MTB/","M &amp; T Bank Corp")</f>
        <v>0</v>
      </c>
      <c r="C262">
        <v>152.21</v>
      </c>
      <c r="D262">
        <v>120</v>
      </c>
      <c r="E262">
        <v>1.268416666666667</v>
      </c>
      <c r="F262">
        <v>0.03153537875303856</v>
      </c>
      <c r="G262">
        <v>-0.04644090668480816</v>
      </c>
      <c r="H262">
        <v>0.057</v>
      </c>
      <c r="I262">
        <v>0.03946053101457148</v>
      </c>
      <c r="J262" t="s">
        <v>781</v>
      </c>
      <c r="K262" t="s">
        <v>781</v>
      </c>
      <c r="L262">
        <v>12.02</v>
      </c>
      <c r="M262">
        <v>4.8</v>
      </c>
      <c r="N262">
        <v>0.3993344425956739</v>
      </c>
      <c r="O262">
        <v>5</v>
      </c>
      <c r="P262">
        <v>0.03167836877916708</v>
      </c>
      <c r="Q262">
        <v>0.246016406714948</v>
      </c>
      <c r="R262" t="s">
        <v>784</v>
      </c>
      <c r="S262" t="s">
        <v>793</v>
      </c>
      <c r="T262">
        <v>19587.077943</v>
      </c>
      <c r="U262" s="2">
        <v>44490</v>
      </c>
      <c r="V262" t="s">
        <v>800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358.37</v>
      </c>
      <c r="D263">
        <v>370</v>
      </c>
      <c r="E263">
        <v>0.9685675675675676</v>
      </c>
      <c r="F263">
        <v>0.01171973100426933</v>
      </c>
      <c r="G263">
        <v>0.006407849664378462</v>
      </c>
      <c r="H263">
        <v>0.02</v>
      </c>
      <c r="I263">
        <v>0.03920681187598474</v>
      </c>
      <c r="J263" t="s">
        <v>781</v>
      </c>
      <c r="K263" t="s">
        <v>350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0.416406857692137</v>
      </c>
      <c r="R263" t="s">
        <v>784</v>
      </c>
      <c r="S263" t="s">
        <v>792</v>
      </c>
      <c r="T263">
        <v>111113.631256</v>
      </c>
      <c r="U263" s="2">
        <v>44525</v>
      </c>
      <c r="V263" t="s">
        <v>801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240.05</v>
      </c>
      <c r="D264">
        <v>204</v>
      </c>
      <c r="E264">
        <v>1.17671568627451</v>
      </c>
      <c r="F264">
        <v>0.0166631951676734</v>
      </c>
      <c r="G264">
        <v>-0.03202154407256608</v>
      </c>
      <c r="H264">
        <v>0.05</v>
      </c>
      <c r="I264">
        <v>0.03464493010107561</v>
      </c>
      <c r="J264" t="s">
        <v>781</v>
      </c>
      <c r="K264" t="s">
        <v>350</v>
      </c>
      <c r="L264">
        <v>12</v>
      </c>
      <c r="M264">
        <v>4</v>
      </c>
      <c r="N264">
        <v>0.3333333333333333</v>
      </c>
      <c r="O264">
        <v>2</v>
      </c>
      <c r="P264">
        <v>0.06498652656427617</v>
      </c>
      <c r="Q264">
        <v>0.5422512859589851</v>
      </c>
      <c r="R264" t="s">
        <v>784</v>
      </c>
      <c r="S264" t="s">
        <v>790</v>
      </c>
      <c r="T264">
        <v>14967.736687</v>
      </c>
      <c r="U264" s="2">
        <v>44517</v>
      </c>
      <c r="V264" t="s">
        <v>801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470.5001</v>
      </c>
      <c r="D265">
        <v>400</v>
      </c>
      <c r="E265">
        <v>1.17625025</v>
      </c>
      <c r="F265">
        <v>0.01105206991454412</v>
      </c>
      <c r="G265">
        <v>-0.03194495135874187</v>
      </c>
      <c r="H265">
        <v>0.055</v>
      </c>
      <c r="I265">
        <v>0.03282638582160713</v>
      </c>
      <c r="J265" t="s">
        <v>781</v>
      </c>
      <c r="K265" t="s">
        <v>526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0.292405164125806</v>
      </c>
      <c r="R265" t="s">
        <v>784</v>
      </c>
      <c r="S265" t="s">
        <v>795</v>
      </c>
      <c r="T265">
        <v>262384.899265</v>
      </c>
      <c r="U265" s="2">
        <v>44505</v>
      </c>
      <c r="V265" t="s">
        <v>799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168.54</v>
      </c>
      <c r="D266">
        <v>127</v>
      </c>
      <c r="E266">
        <v>1.327086614173228</v>
      </c>
      <c r="F266">
        <v>0.02753055654444049</v>
      </c>
      <c r="G266">
        <v>-0.05502537601713253</v>
      </c>
      <c r="H266">
        <v>0.06</v>
      </c>
      <c r="I266">
        <v>0.03075914447574024</v>
      </c>
      <c r="J266" t="s">
        <v>781</v>
      </c>
      <c r="K266" t="s">
        <v>781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-0.143785420524661</v>
      </c>
      <c r="R266" t="s">
        <v>784</v>
      </c>
      <c r="S266" t="s">
        <v>795</v>
      </c>
      <c r="T266">
        <v>20706.061954</v>
      </c>
      <c r="U266" s="2">
        <v>44519</v>
      </c>
      <c r="V266" t="s">
        <v>804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63.8</v>
      </c>
      <c r="D267">
        <v>54</v>
      </c>
      <c r="E267">
        <v>1.181481481481481</v>
      </c>
      <c r="F267">
        <v>0.03197492163009404</v>
      </c>
      <c r="G267">
        <v>-0.03280372281889088</v>
      </c>
      <c r="H267">
        <v>0.03</v>
      </c>
      <c r="I267">
        <v>0.03034725734038912</v>
      </c>
      <c r="J267" t="s">
        <v>781</v>
      </c>
      <c r="K267" t="s">
        <v>781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0.158649646502893</v>
      </c>
      <c r="R267" t="s">
        <v>784</v>
      </c>
      <c r="S267" t="s">
        <v>796</v>
      </c>
      <c r="T267">
        <v>32255.817194</v>
      </c>
      <c r="U267" s="2">
        <v>44513</v>
      </c>
      <c r="V267" t="s">
        <v>802</v>
      </c>
    </row>
    <row r="268" spans="1:22">
      <c r="A268" s="1" t="s">
        <v>288</v>
      </c>
      <c r="B268">
        <f>HYPERLINK("https://www.suredividend.com/sure-analysis-SBAC/","SBA Communications Corp")</f>
        <v>0</v>
      </c>
      <c r="C268">
        <v>358.93</v>
      </c>
      <c r="D268">
        <v>244</v>
      </c>
      <c r="E268">
        <v>1.471024590163934</v>
      </c>
      <c r="F268">
        <v>0.006463655866046304</v>
      </c>
      <c r="G268">
        <v>-0.07428774431099605</v>
      </c>
      <c r="H268">
        <v>0.1</v>
      </c>
      <c r="I268">
        <v>0.02879743547663205</v>
      </c>
      <c r="J268" t="s">
        <v>781</v>
      </c>
      <c r="K268" t="s">
        <v>526</v>
      </c>
      <c r="L268">
        <v>10.6</v>
      </c>
      <c r="M268">
        <v>2.32</v>
      </c>
      <c r="N268">
        <v>0.2188679245283019</v>
      </c>
      <c r="O268">
        <v>2</v>
      </c>
      <c r="P268">
        <v>0.1998793126786198</v>
      </c>
      <c r="Q268">
        <v>0.312331927511512</v>
      </c>
      <c r="R268" t="s">
        <v>784</v>
      </c>
      <c r="S268" t="s">
        <v>791</v>
      </c>
      <c r="T268">
        <v>39322.020526</v>
      </c>
      <c r="U268" s="2">
        <v>44502</v>
      </c>
      <c r="V268" t="s">
        <v>799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82.61</v>
      </c>
      <c r="D269">
        <v>65</v>
      </c>
      <c r="E269">
        <v>1.270923076923077</v>
      </c>
      <c r="F269">
        <v>0.03752572327805351</v>
      </c>
      <c r="G269">
        <v>-0.04681730993405087</v>
      </c>
      <c r="H269">
        <v>0.035</v>
      </c>
      <c r="I269">
        <v>0.02704087160466195</v>
      </c>
      <c r="J269" t="s">
        <v>781</v>
      </c>
      <c r="K269" t="s">
        <v>780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0.163247517837353</v>
      </c>
      <c r="R269" t="s">
        <v>784</v>
      </c>
      <c r="S269" t="s">
        <v>796</v>
      </c>
      <c r="T269">
        <v>29192.871159</v>
      </c>
      <c r="U269" s="2">
        <v>44507</v>
      </c>
      <c r="V269" t="s">
        <v>800</v>
      </c>
    </row>
    <row r="270" spans="1:22">
      <c r="A270" s="1" t="s">
        <v>290</v>
      </c>
      <c r="B270">
        <f>HYPERLINK("https://www.suredividend.com/sure-analysis-AMT/","American Tower Corp.")</f>
        <v>0</v>
      </c>
      <c r="C270">
        <v>272.58</v>
      </c>
      <c r="D270">
        <v>209</v>
      </c>
      <c r="E270">
        <v>1.304210526315789</v>
      </c>
      <c r="F270">
        <v>0.01922371413896838</v>
      </c>
      <c r="G270">
        <v>-0.05173338745683698</v>
      </c>
      <c r="H270">
        <v>0.06</v>
      </c>
      <c r="I270">
        <v>0.02671862255829183</v>
      </c>
      <c r="J270" t="s">
        <v>781</v>
      </c>
      <c r="K270" t="s">
        <v>526</v>
      </c>
      <c r="L270">
        <v>9.5</v>
      </c>
      <c r="M270">
        <v>5.24</v>
      </c>
      <c r="N270">
        <v>0.5515789473684211</v>
      </c>
      <c r="O270">
        <v>9</v>
      </c>
      <c r="P270">
        <v>0.0599303946492904</v>
      </c>
      <c r="Q270">
        <v>0.265249301506443</v>
      </c>
      <c r="R270" t="s">
        <v>786</v>
      </c>
      <c r="S270" t="s">
        <v>798</v>
      </c>
      <c r="T270">
        <v>124132.111391</v>
      </c>
      <c r="U270" s="2">
        <v>44502</v>
      </c>
      <c r="V270" t="s">
        <v>801</v>
      </c>
    </row>
    <row r="271" spans="1:22">
      <c r="A271" s="1" t="s">
        <v>291</v>
      </c>
      <c r="B271">
        <f>HYPERLINK("https://www.suredividend.com/sure-analysis-HON/","Honeywell International Inc")</f>
        <v>0</v>
      </c>
      <c r="C271">
        <v>209.81</v>
      </c>
      <c r="D271">
        <v>137</v>
      </c>
      <c r="E271">
        <v>1.531459854014598</v>
      </c>
      <c r="F271">
        <v>0.0186835708498165</v>
      </c>
      <c r="G271">
        <v>-0.08171206851814383</v>
      </c>
      <c r="H271">
        <v>0.09</v>
      </c>
      <c r="I271">
        <v>0.0241162451500716</v>
      </c>
      <c r="J271" t="s">
        <v>781</v>
      </c>
      <c r="K271" t="s">
        <v>350</v>
      </c>
      <c r="L271">
        <v>8.050000000000001</v>
      </c>
      <c r="M271">
        <v>3.92</v>
      </c>
      <c r="N271">
        <v>0.4869565217391304</v>
      </c>
      <c r="O271">
        <v>12</v>
      </c>
      <c r="P271">
        <v>0.08994918009420316</v>
      </c>
      <c r="Q271">
        <v>-0.005752900144059001</v>
      </c>
      <c r="R271" t="s">
        <v>784</v>
      </c>
      <c r="S271" t="s">
        <v>792</v>
      </c>
      <c r="T271">
        <v>144438.024385</v>
      </c>
      <c r="U271" s="2">
        <v>44491</v>
      </c>
      <c r="V271" t="s">
        <v>800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66.51000000000001</v>
      </c>
      <c r="D272">
        <v>53</v>
      </c>
      <c r="E272">
        <v>1.254905660377359</v>
      </c>
      <c r="F272">
        <v>0.02751465944970681</v>
      </c>
      <c r="G272">
        <v>-0.04439638421142322</v>
      </c>
      <c r="H272">
        <v>0.04</v>
      </c>
      <c r="I272">
        <v>0.02377397669873771</v>
      </c>
      <c r="J272" t="s">
        <v>781</v>
      </c>
      <c r="K272" t="s">
        <v>781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0.05172274747743</v>
      </c>
      <c r="R272" t="s">
        <v>784</v>
      </c>
      <c r="S272" t="s">
        <v>796</v>
      </c>
      <c r="T272">
        <v>35827.312161</v>
      </c>
      <c r="U272" s="2">
        <v>44502</v>
      </c>
      <c r="V272" t="s">
        <v>801</v>
      </c>
    </row>
    <row r="273" spans="1:22">
      <c r="A273" s="1" t="s">
        <v>293</v>
      </c>
      <c r="B273">
        <f>HYPERLINK("https://www.suredividend.com/sure-analysis-NSC/","Norfolk Southern Corp.")</f>
        <v>0</v>
      </c>
      <c r="C273">
        <v>289.53</v>
      </c>
      <c r="D273">
        <v>216</v>
      </c>
      <c r="E273">
        <v>1.340416666666667</v>
      </c>
      <c r="F273">
        <v>0.01505888854350154</v>
      </c>
      <c r="G273">
        <v>-0.05691239673064552</v>
      </c>
      <c r="H273">
        <v>0.065</v>
      </c>
      <c r="I273">
        <v>0.02248248797248986</v>
      </c>
      <c r="J273" t="s">
        <v>781</v>
      </c>
      <c r="K273" t="s">
        <v>526</v>
      </c>
      <c r="L273">
        <v>12</v>
      </c>
      <c r="M273">
        <v>4.36</v>
      </c>
      <c r="N273">
        <v>0.3633333333333333</v>
      </c>
      <c r="O273">
        <v>5</v>
      </c>
      <c r="P273">
        <v>0.0801257210213755</v>
      </c>
      <c r="Q273">
        <v>0.250049651403968</v>
      </c>
      <c r="R273" t="s">
        <v>784</v>
      </c>
      <c r="S273" t="s">
        <v>792</v>
      </c>
      <c r="T273">
        <v>73536.27473400001</v>
      </c>
      <c r="U273" s="2">
        <v>44503</v>
      </c>
      <c r="V273" t="s">
        <v>803</v>
      </c>
    </row>
    <row r="274" spans="1:22">
      <c r="A274" s="1" t="s">
        <v>294</v>
      </c>
      <c r="B274">
        <f>HYPERLINK("https://www.suredividend.com/sure-analysis-PEP/","PepsiCo Inc")</f>
        <v>0</v>
      </c>
      <c r="C274">
        <v>168.97</v>
      </c>
      <c r="D274">
        <v>124</v>
      </c>
      <c r="E274">
        <v>1.362661290322581</v>
      </c>
      <c r="F274">
        <v>0.02544830443273954</v>
      </c>
      <c r="G274">
        <v>-0.060011768759619</v>
      </c>
      <c r="H274">
        <v>0.055</v>
      </c>
      <c r="I274">
        <v>0.02090090567065173</v>
      </c>
      <c r="J274" t="s">
        <v>781</v>
      </c>
      <c r="K274" t="s">
        <v>781</v>
      </c>
      <c r="L274">
        <v>6.2</v>
      </c>
      <c r="M274">
        <v>4.3</v>
      </c>
      <c r="N274">
        <v>0.6935483870967741</v>
      </c>
      <c r="O274">
        <v>49</v>
      </c>
      <c r="P274">
        <v>0.0550027021888726</v>
      </c>
      <c r="Q274">
        <v>0.199599873061219</v>
      </c>
      <c r="R274" t="s">
        <v>784</v>
      </c>
      <c r="S274" t="s">
        <v>795</v>
      </c>
      <c r="T274">
        <v>233626.867779</v>
      </c>
      <c r="U274" s="2">
        <v>44474</v>
      </c>
      <c r="V274" t="s">
        <v>800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96.36</v>
      </c>
      <c r="D275">
        <v>79</v>
      </c>
      <c r="E275">
        <v>1.219746835443038</v>
      </c>
      <c r="F275">
        <v>0.02698215026982151</v>
      </c>
      <c r="G275">
        <v>-0.03894982972780892</v>
      </c>
      <c r="H275">
        <v>0.03</v>
      </c>
      <c r="I275">
        <v>0.0205422560198889</v>
      </c>
      <c r="J275" t="s">
        <v>781</v>
      </c>
      <c r="K275" t="s">
        <v>781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0.227354137845818</v>
      </c>
      <c r="R275" t="s">
        <v>784</v>
      </c>
      <c r="S275" t="s">
        <v>795</v>
      </c>
      <c r="T275">
        <v>6410.737048</v>
      </c>
      <c r="U275" s="2">
        <v>44509</v>
      </c>
      <c r="V275" t="s">
        <v>810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14.03</v>
      </c>
      <c r="D276">
        <v>11</v>
      </c>
      <c r="E276">
        <v>1.275454545454545</v>
      </c>
      <c r="F276">
        <v>0.01639344262295082</v>
      </c>
      <c r="G276">
        <v>-0.04749557303824004</v>
      </c>
      <c r="H276">
        <v>0.05</v>
      </c>
      <c r="I276">
        <v>0.01794932781616776</v>
      </c>
      <c r="J276" t="s">
        <v>781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0.193605744280816</v>
      </c>
      <c r="R276" t="s">
        <v>784</v>
      </c>
      <c r="S276" t="s">
        <v>792</v>
      </c>
      <c r="T276">
        <v>2216.726489</v>
      </c>
      <c r="U276" s="2">
        <v>44511</v>
      </c>
      <c r="V276" t="s">
        <v>799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77.66</v>
      </c>
      <c r="D277">
        <v>65</v>
      </c>
      <c r="E277">
        <v>1.194769230769231</v>
      </c>
      <c r="F277">
        <v>0.02240535668297708</v>
      </c>
      <c r="G277">
        <v>-0.03496471242990862</v>
      </c>
      <c r="H277">
        <v>0.03</v>
      </c>
      <c r="I277">
        <v>0.01792930090096201</v>
      </c>
      <c r="J277" t="s">
        <v>781</v>
      </c>
      <c r="K277" t="s">
        <v>781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0.262953157220267</v>
      </c>
      <c r="R277" t="s">
        <v>784</v>
      </c>
      <c r="S277" t="s">
        <v>792</v>
      </c>
      <c r="T277">
        <v>1882.988471</v>
      </c>
      <c r="U277" s="2">
        <v>44498</v>
      </c>
      <c r="V277" t="s">
        <v>800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169.61</v>
      </c>
      <c r="D278">
        <v>136</v>
      </c>
      <c r="E278">
        <v>1.247132352941177</v>
      </c>
      <c r="F278">
        <v>0.01132008725900595</v>
      </c>
      <c r="G278">
        <v>-0.04320809817144766</v>
      </c>
      <c r="H278">
        <v>0.05</v>
      </c>
      <c r="I278">
        <v>0.01720630964016734</v>
      </c>
      <c r="J278" t="s">
        <v>781</v>
      </c>
      <c r="K278" t="s">
        <v>526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0.43327496568929</v>
      </c>
      <c r="R278" t="s">
        <v>784</v>
      </c>
      <c r="S278" t="s">
        <v>793</v>
      </c>
      <c r="T278">
        <v>35154.3488</v>
      </c>
      <c r="U278" s="2">
        <v>44518</v>
      </c>
      <c r="V278" t="s">
        <v>804</v>
      </c>
    </row>
    <row r="279" spans="1:22">
      <c r="A279" s="1" t="s">
        <v>299</v>
      </c>
      <c r="B279">
        <f>HYPERLINK("https://www.suredividend.com/sure-analysis-AUY/","Yamana Gold Inc.")</f>
        <v>0</v>
      </c>
      <c r="C279">
        <v>3.93</v>
      </c>
      <c r="D279">
        <v>3.26</v>
      </c>
      <c r="E279">
        <v>1.205521472392638</v>
      </c>
      <c r="F279">
        <v>0.02798982188295165</v>
      </c>
      <c r="G279">
        <v>-0.03669234836399515</v>
      </c>
      <c r="H279">
        <v>0.02</v>
      </c>
      <c r="I279">
        <v>0.01512876854923584</v>
      </c>
      <c r="J279" t="s">
        <v>781</v>
      </c>
      <c r="K279" t="s">
        <v>350</v>
      </c>
      <c r="L279">
        <v>4.65</v>
      </c>
      <c r="M279">
        <v>0.11</v>
      </c>
      <c r="N279">
        <v>0.02365591397849462</v>
      </c>
      <c r="O279">
        <v>3</v>
      </c>
      <c r="P279">
        <v>0.04941452284458392</v>
      </c>
      <c r="Q279">
        <v>-0.266576859751534</v>
      </c>
      <c r="R279" t="s">
        <v>784</v>
      </c>
      <c r="S279" t="s">
        <v>794</v>
      </c>
      <c r="T279">
        <v>3775.576683</v>
      </c>
      <c r="U279" s="2">
        <v>44528</v>
      </c>
      <c r="V279" t="s">
        <v>802</v>
      </c>
    </row>
    <row r="280" spans="1:22">
      <c r="A280" s="1" t="s">
        <v>300</v>
      </c>
      <c r="B280">
        <f>HYPERLINK("https://www.suredividend.com/sure-analysis-HSY/","Hershey Company")</f>
        <v>0</v>
      </c>
      <c r="C280">
        <v>186.52</v>
      </c>
      <c r="D280">
        <v>141</v>
      </c>
      <c r="E280">
        <v>1.322836879432624</v>
      </c>
      <c r="F280">
        <v>0.0193008792622775</v>
      </c>
      <c r="G280">
        <v>-0.05441899122275118</v>
      </c>
      <c r="H280">
        <v>0.05</v>
      </c>
      <c r="I280">
        <v>0.01489347375537009</v>
      </c>
      <c r="J280" t="s">
        <v>781</v>
      </c>
      <c r="K280" t="s">
        <v>350</v>
      </c>
      <c r="L280">
        <v>7.05</v>
      </c>
      <c r="M280">
        <v>3.6</v>
      </c>
      <c r="N280">
        <v>0.5106382978723405</v>
      </c>
      <c r="O280">
        <v>12</v>
      </c>
      <c r="P280">
        <v>0.04978904632428516</v>
      </c>
      <c r="Q280">
        <v>0.276186944178538</v>
      </c>
      <c r="R280" t="s">
        <v>784</v>
      </c>
      <c r="S280" t="s">
        <v>795</v>
      </c>
      <c r="T280">
        <v>38820.56442</v>
      </c>
      <c r="U280" s="2">
        <v>44500</v>
      </c>
      <c r="V280" t="s">
        <v>801</v>
      </c>
    </row>
    <row r="281" spans="1:22">
      <c r="A281" s="1" t="s">
        <v>301</v>
      </c>
      <c r="B281">
        <f>HYPERLINK("https://www.suredividend.com/sure-analysis-RHHBY/","Roche Holding AG")</f>
        <v>0</v>
      </c>
      <c r="C281">
        <v>51.12</v>
      </c>
      <c r="D281">
        <v>42</v>
      </c>
      <c r="E281">
        <v>1.217142857142857</v>
      </c>
      <c r="F281">
        <v>0.02288732394366197</v>
      </c>
      <c r="G281">
        <v>-0.03853896342484009</v>
      </c>
      <c r="H281">
        <v>0.03</v>
      </c>
      <c r="I281">
        <v>0.01488765949453863</v>
      </c>
      <c r="J281" t="s">
        <v>781</v>
      </c>
      <c r="K281" t="s">
        <v>781</v>
      </c>
      <c r="L281">
        <v>2.3</v>
      </c>
      <c r="M281">
        <v>1.17</v>
      </c>
      <c r="N281">
        <v>0.5086956521739131</v>
      </c>
      <c r="O281">
        <v>34</v>
      </c>
      <c r="P281">
        <v>0.0275046295579735</v>
      </c>
      <c r="Q281">
        <v>0.219797368559197</v>
      </c>
      <c r="R281" t="s">
        <v>784</v>
      </c>
      <c r="S281" t="s">
        <v>789</v>
      </c>
      <c r="T281">
        <v>287320.041792</v>
      </c>
      <c r="U281" s="2">
        <v>44490</v>
      </c>
      <c r="V281" t="s">
        <v>810</v>
      </c>
    </row>
    <row r="282" spans="1:22">
      <c r="A282" s="1" t="s">
        <v>302</v>
      </c>
      <c r="B282">
        <f>HYPERLINK("https://www.suredividend.com/sure-analysis-AWK/","American Water Works Co. Inc.")</f>
        <v>0</v>
      </c>
      <c r="C282">
        <v>176.15</v>
      </c>
      <c r="D282">
        <v>136</v>
      </c>
      <c r="E282">
        <v>1.295220588235294</v>
      </c>
      <c r="F282">
        <v>0.01368152143059892</v>
      </c>
      <c r="G282">
        <v>-0.05042067078514978</v>
      </c>
      <c r="H282">
        <v>0.05</v>
      </c>
      <c r="I282">
        <v>0.01450433321743905</v>
      </c>
      <c r="J282" t="s">
        <v>781</v>
      </c>
      <c r="K282" t="s">
        <v>526</v>
      </c>
      <c r="L282">
        <v>4.25</v>
      </c>
      <c r="M282">
        <v>2.41</v>
      </c>
      <c r="N282">
        <v>0.5670588235294118</v>
      </c>
      <c r="O282">
        <v>13</v>
      </c>
      <c r="P282">
        <v>0.0901126350638779</v>
      </c>
      <c r="Q282">
        <v>0.204975878591189</v>
      </c>
      <c r="R282" t="s">
        <v>784</v>
      </c>
      <c r="S282" t="s">
        <v>796</v>
      </c>
      <c r="T282">
        <v>31976.058933</v>
      </c>
      <c r="U282" s="2">
        <v>44504</v>
      </c>
      <c r="V282" t="s">
        <v>799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261.38</v>
      </c>
      <c r="D283">
        <v>151</v>
      </c>
      <c r="E283">
        <v>1.730993377483444</v>
      </c>
      <c r="F283">
        <v>0.006427423674343867</v>
      </c>
      <c r="G283">
        <v>-0.1039321021884959</v>
      </c>
      <c r="H283">
        <v>0.12</v>
      </c>
      <c r="I283">
        <v>0.01197347323394449</v>
      </c>
      <c r="J283" t="s">
        <v>781</v>
      </c>
      <c r="K283" t="s">
        <v>526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0.286995963919995</v>
      </c>
      <c r="R283" t="s">
        <v>784</v>
      </c>
      <c r="S283" t="s">
        <v>789</v>
      </c>
      <c r="T283">
        <v>38089.114856</v>
      </c>
      <c r="U283" s="2">
        <v>44508</v>
      </c>
      <c r="V283" t="s">
        <v>803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90.28</v>
      </c>
      <c r="D284">
        <v>61</v>
      </c>
      <c r="E284">
        <v>1.48</v>
      </c>
      <c r="F284">
        <v>0.01705804164820558</v>
      </c>
      <c r="G284">
        <v>-0.07541326803240322</v>
      </c>
      <c r="H284">
        <v>0.07000000000000001</v>
      </c>
      <c r="I284">
        <v>0.01112339188719935</v>
      </c>
      <c r="J284" t="s">
        <v>781</v>
      </c>
      <c r="K284" t="s">
        <v>350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0.240822340299787</v>
      </c>
      <c r="R284" t="s">
        <v>784</v>
      </c>
      <c r="S284" t="s">
        <v>796</v>
      </c>
      <c r="T284">
        <v>176864.835267</v>
      </c>
      <c r="U284" s="2">
        <v>44498</v>
      </c>
      <c r="V284" t="s">
        <v>809</v>
      </c>
    </row>
    <row r="285" spans="1:22">
      <c r="A285" s="1" t="s">
        <v>305</v>
      </c>
      <c r="B285">
        <f>HYPERLINK("https://www.suredividend.com/sure-analysis-IFF/","International Flavors &amp; Fragrances Inc.")</f>
        <v>0</v>
      </c>
      <c r="C285">
        <v>147.13</v>
      </c>
      <c r="D285">
        <v>113</v>
      </c>
      <c r="E285">
        <v>1.302035398230089</v>
      </c>
      <c r="F285">
        <v>0.0214776048392578</v>
      </c>
      <c r="G285">
        <v>-0.05141677172661174</v>
      </c>
      <c r="H285">
        <v>0.04</v>
      </c>
      <c r="I285">
        <v>0.01082643798448601</v>
      </c>
      <c r="J285" t="s">
        <v>781</v>
      </c>
      <c r="K285" t="s">
        <v>350</v>
      </c>
      <c r="L285">
        <v>5.63</v>
      </c>
      <c r="M285">
        <v>3.16</v>
      </c>
      <c r="N285">
        <v>0.5612788632326821</v>
      </c>
      <c r="O285">
        <v>19</v>
      </c>
      <c r="P285">
        <v>0.03974975894363819</v>
      </c>
      <c r="Q285">
        <v>0.3568751291207981</v>
      </c>
      <c r="R285" t="s">
        <v>784</v>
      </c>
      <c r="S285" t="s">
        <v>794</v>
      </c>
      <c r="T285">
        <v>37448.953757</v>
      </c>
      <c r="U285" s="2">
        <v>44516</v>
      </c>
      <c r="V285" t="s">
        <v>806</v>
      </c>
    </row>
    <row r="286" spans="1:22">
      <c r="A286" s="1" t="s">
        <v>306</v>
      </c>
      <c r="B286">
        <f>HYPERLINK("https://www.suredividend.com/sure-analysis-UNP/","Union Pacific Corp.")</f>
        <v>0</v>
      </c>
      <c r="C286">
        <v>248.46</v>
      </c>
      <c r="D286">
        <v>169</v>
      </c>
      <c r="E286">
        <v>1.470177514792899</v>
      </c>
      <c r="F286">
        <v>0.01722611285518796</v>
      </c>
      <c r="G286">
        <v>-0.07418109495943037</v>
      </c>
      <c r="H286">
        <v>0.07000000000000001</v>
      </c>
      <c r="I286">
        <v>0.01055825134574251</v>
      </c>
      <c r="J286" t="s">
        <v>781</v>
      </c>
      <c r="K286" t="s">
        <v>350</v>
      </c>
      <c r="L286">
        <v>9.93</v>
      </c>
      <c r="M286">
        <v>4.28</v>
      </c>
      <c r="N286">
        <v>0.4310171198388721</v>
      </c>
      <c r="O286">
        <v>14</v>
      </c>
      <c r="P286">
        <v>0.04990444580451969</v>
      </c>
      <c r="Q286">
        <v>0.241127754835557</v>
      </c>
      <c r="R286" t="s">
        <v>784</v>
      </c>
      <c r="S286" t="s">
        <v>792</v>
      </c>
      <c r="T286">
        <v>159728.896422</v>
      </c>
      <c r="U286" s="2">
        <v>44490</v>
      </c>
      <c r="V286" t="s">
        <v>800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295.36</v>
      </c>
      <c r="D287">
        <v>200</v>
      </c>
      <c r="E287">
        <v>1.4768</v>
      </c>
      <c r="F287">
        <v>0.02031419284940411</v>
      </c>
      <c r="G287">
        <v>-0.0750129272319775</v>
      </c>
      <c r="H287">
        <v>0.06</v>
      </c>
      <c r="I287">
        <v>0.006165221362568696</v>
      </c>
      <c r="J287" t="s">
        <v>781</v>
      </c>
      <c r="K287" t="s">
        <v>781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0.128443931791324</v>
      </c>
      <c r="R287" t="s">
        <v>784</v>
      </c>
      <c r="S287" t="s">
        <v>794</v>
      </c>
      <c r="T287">
        <v>65408.323824</v>
      </c>
      <c r="U287" s="2">
        <v>44506</v>
      </c>
      <c r="V287" t="s">
        <v>803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55.51</v>
      </c>
      <c r="D288">
        <v>40</v>
      </c>
      <c r="E288">
        <v>1.38775</v>
      </c>
      <c r="F288">
        <v>0.01080886326787966</v>
      </c>
      <c r="G288">
        <v>-0.06343536898678703</v>
      </c>
      <c r="H288">
        <v>0.06</v>
      </c>
      <c r="I288">
        <v>0.005290186933592178</v>
      </c>
      <c r="J288" t="s">
        <v>781</v>
      </c>
      <c r="K288" t="s">
        <v>526</v>
      </c>
      <c r="L288">
        <v>2.2</v>
      </c>
      <c r="M288">
        <v>0.6</v>
      </c>
      <c r="N288">
        <v>0.2727272727272727</v>
      </c>
      <c r="O288">
        <v>2</v>
      </c>
      <c r="P288">
        <v>0.04841317128472156</v>
      </c>
      <c r="Q288">
        <v>0.509892776124599</v>
      </c>
      <c r="R288" t="s">
        <v>784</v>
      </c>
      <c r="S288" t="s">
        <v>792</v>
      </c>
      <c r="T288">
        <v>48104.129575</v>
      </c>
      <c r="U288" s="2">
        <v>44502</v>
      </c>
      <c r="V288" t="s">
        <v>801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193.89</v>
      </c>
      <c r="D289">
        <v>128</v>
      </c>
      <c r="E289">
        <v>1.514765625</v>
      </c>
      <c r="F289">
        <v>0.02289958223735108</v>
      </c>
      <c r="G289">
        <v>-0.07969684305943225</v>
      </c>
      <c r="H289">
        <v>0.055</v>
      </c>
      <c r="I289">
        <v>-0.002006393129475148</v>
      </c>
      <c r="J289" t="s">
        <v>781</v>
      </c>
      <c r="K289" t="s">
        <v>350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-0.145395210087589</v>
      </c>
      <c r="R289" t="s">
        <v>784</v>
      </c>
      <c r="S289" t="s">
        <v>793</v>
      </c>
      <c r="T289">
        <v>8955.598395000001</v>
      </c>
      <c r="U289" s="2">
        <v>44504</v>
      </c>
      <c r="V289" t="s">
        <v>803</v>
      </c>
    </row>
    <row r="290" spans="1:22">
      <c r="A290" s="1" t="s">
        <v>310</v>
      </c>
      <c r="B290">
        <f>HYPERLINK("https://www.suredividend.com/sure-analysis-NVO/","Novo Nordisk")</f>
        <v>0</v>
      </c>
      <c r="C290">
        <v>114.35</v>
      </c>
      <c r="D290">
        <v>75</v>
      </c>
      <c r="E290">
        <v>1.524666666666667</v>
      </c>
      <c r="F290">
        <v>0.01381722780935724</v>
      </c>
      <c r="G290">
        <v>-0.08089523240309204</v>
      </c>
      <c r="H290">
        <v>0.06</v>
      </c>
      <c r="I290">
        <v>-0.007546301116531429</v>
      </c>
      <c r="J290" t="s">
        <v>781</v>
      </c>
      <c r="K290" t="s">
        <v>526</v>
      </c>
      <c r="L290">
        <v>3.4</v>
      </c>
      <c r="M290">
        <v>1.58</v>
      </c>
      <c r="N290">
        <v>0.4647058823529412</v>
      </c>
      <c r="O290">
        <v>0</v>
      </c>
      <c r="P290">
        <v>0.0703829372933884</v>
      </c>
      <c r="Q290">
        <v>0.6769443975978701</v>
      </c>
      <c r="R290" t="s">
        <v>784</v>
      </c>
      <c r="S290" t="s">
        <v>789</v>
      </c>
      <c r="T290">
        <v>202692.6934</v>
      </c>
      <c r="U290" s="2">
        <v>44516</v>
      </c>
      <c r="V290" t="s">
        <v>806</v>
      </c>
    </row>
    <row r="291" spans="1:22">
      <c r="A291" s="1" t="s">
        <v>311</v>
      </c>
      <c r="B291">
        <f>HYPERLINK("https://www.suredividend.com/sure-analysis-WTRG/","Essential Utilities Inc")</f>
        <v>0</v>
      </c>
      <c r="C291">
        <v>50.44</v>
      </c>
      <c r="D291">
        <v>30</v>
      </c>
      <c r="E291">
        <v>1.681333333333333</v>
      </c>
      <c r="F291">
        <v>0.02121332275971451</v>
      </c>
      <c r="G291">
        <v>-0.09870028162658906</v>
      </c>
      <c r="H291">
        <v>0.07000000000000001</v>
      </c>
      <c r="I291">
        <v>-0.007957313567531044</v>
      </c>
      <c r="J291" t="s">
        <v>781</v>
      </c>
      <c r="K291" t="s">
        <v>350</v>
      </c>
      <c r="L291">
        <v>1.68</v>
      </c>
      <c r="M291">
        <v>1.07</v>
      </c>
      <c r="N291">
        <v>0.636904761904762</v>
      </c>
      <c r="O291">
        <v>30</v>
      </c>
      <c r="P291">
        <v>0.05971834352437777</v>
      </c>
      <c r="Q291">
        <v>0.08335892815337101</v>
      </c>
      <c r="R291" t="s">
        <v>784</v>
      </c>
      <c r="S291" t="s">
        <v>796</v>
      </c>
      <c r="T291">
        <v>12748.350968</v>
      </c>
      <c r="U291" s="2">
        <v>44502</v>
      </c>
      <c r="V291" t="s">
        <v>807</v>
      </c>
    </row>
    <row r="292" spans="1:22">
      <c r="A292" s="1" t="s">
        <v>312</v>
      </c>
      <c r="B292">
        <f>HYPERLINK("https://www.suredividend.com/sure-analysis-CNI/","Canadian National Railway Co.")</f>
        <v>0</v>
      </c>
      <c r="C292">
        <v>129.45</v>
      </c>
      <c r="D292">
        <v>79</v>
      </c>
      <c r="E292">
        <v>1.638607594936709</v>
      </c>
      <c r="F292">
        <v>0.01537273078408652</v>
      </c>
      <c r="G292">
        <v>-0.09404837712146663</v>
      </c>
      <c r="H292">
        <v>0.07000000000000001</v>
      </c>
      <c r="I292">
        <v>-0.01009972649702129</v>
      </c>
      <c r="J292" t="s">
        <v>781</v>
      </c>
      <c r="K292" t="s">
        <v>350</v>
      </c>
      <c r="L292">
        <v>4.4</v>
      </c>
      <c r="M292">
        <v>1.99</v>
      </c>
      <c r="N292">
        <v>0.4522727272727272</v>
      </c>
      <c r="O292">
        <v>26</v>
      </c>
      <c r="P292">
        <v>0.06991733814489587</v>
      </c>
      <c r="Q292">
        <v>0.187319239726762</v>
      </c>
      <c r="R292" t="s">
        <v>784</v>
      </c>
      <c r="S292" t="s">
        <v>792</v>
      </c>
      <c r="T292">
        <v>91260.53409299999</v>
      </c>
      <c r="U292" s="2">
        <v>44490</v>
      </c>
      <c r="V292" t="s">
        <v>800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130.33</v>
      </c>
      <c r="D293">
        <v>78.2</v>
      </c>
      <c r="E293">
        <v>1.666624040920716</v>
      </c>
      <c r="F293">
        <v>0.03283971457070513</v>
      </c>
      <c r="G293">
        <v>-0.0971149301673655</v>
      </c>
      <c r="H293">
        <v>0.05</v>
      </c>
      <c r="I293">
        <v>-0.01334815752802232</v>
      </c>
      <c r="J293" t="s">
        <v>781</v>
      </c>
      <c r="K293" t="s">
        <v>781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0.504866477889514</v>
      </c>
      <c r="R293" t="s">
        <v>786</v>
      </c>
      <c r="S293" t="s">
        <v>798</v>
      </c>
      <c r="T293">
        <v>10136.748572</v>
      </c>
      <c r="U293" s="2">
        <v>44509</v>
      </c>
      <c r="V293" t="s">
        <v>808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105.14</v>
      </c>
      <c r="D294">
        <v>97</v>
      </c>
      <c r="E294">
        <v>1.083917525773196</v>
      </c>
      <c r="F294">
        <v>0.01407646946927906</v>
      </c>
      <c r="G294">
        <v>-0.0159871896611512</v>
      </c>
      <c r="H294">
        <v>-0.015</v>
      </c>
      <c r="I294">
        <v>-0.01387490972774985</v>
      </c>
      <c r="J294" t="s">
        <v>781</v>
      </c>
      <c r="K294" t="s">
        <v>526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0.5744116920358481</v>
      </c>
      <c r="R294" t="s">
        <v>784</v>
      </c>
      <c r="S294" t="s">
        <v>793</v>
      </c>
      <c r="T294">
        <v>5084.443917</v>
      </c>
      <c r="U294" s="2">
        <v>44512</v>
      </c>
      <c r="V294" t="s">
        <v>804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350.64</v>
      </c>
      <c r="D295">
        <v>216</v>
      </c>
      <c r="E295">
        <v>1.623333333333333</v>
      </c>
      <c r="F295">
        <v>0.01277663700661648</v>
      </c>
      <c r="G295">
        <v>-0.09234990237278029</v>
      </c>
      <c r="H295">
        <v>0.065</v>
      </c>
      <c r="I295">
        <v>-0.0159855021005969</v>
      </c>
      <c r="J295" t="s">
        <v>781</v>
      </c>
      <c r="K295" t="s">
        <v>526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0.442971870196729</v>
      </c>
      <c r="R295" t="s">
        <v>784</v>
      </c>
      <c r="S295" t="s">
        <v>792</v>
      </c>
      <c r="T295">
        <v>40667.888156</v>
      </c>
      <c r="U295" s="2">
        <v>44503</v>
      </c>
      <c r="V295" t="s">
        <v>803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86.08</v>
      </c>
      <c r="D296">
        <v>52</v>
      </c>
      <c r="E296">
        <v>1.655384615384615</v>
      </c>
      <c r="F296">
        <v>0.01115241635687732</v>
      </c>
      <c r="G296">
        <v>-0.09589219787951209</v>
      </c>
      <c r="H296">
        <v>0.07000000000000001</v>
      </c>
      <c r="I296">
        <v>-0.01739388893298821</v>
      </c>
      <c r="J296" t="s">
        <v>781</v>
      </c>
      <c r="K296" t="s">
        <v>526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0.366503209091818</v>
      </c>
      <c r="R296" t="s">
        <v>784</v>
      </c>
      <c r="S296" t="s">
        <v>792</v>
      </c>
      <c r="T296">
        <v>36564.112507</v>
      </c>
      <c r="U296" s="2">
        <v>44495</v>
      </c>
      <c r="V296" t="s">
        <v>801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345.69</v>
      </c>
      <c r="D297">
        <v>224</v>
      </c>
      <c r="E297">
        <v>1.543258928571429</v>
      </c>
      <c r="F297">
        <v>0.02418351702392317</v>
      </c>
      <c r="G297">
        <v>-0.08312054717007844</v>
      </c>
      <c r="H297">
        <v>0.038</v>
      </c>
      <c r="I297">
        <v>-0.01928312489632933</v>
      </c>
      <c r="J297" t="s">
        <v>781</v>
      </c>
      <c r="K297" t="s">
        <v>350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0.459786817408827</v>
      </c>
      <c r="R297" t="s">
        <v>786</v>
      </c>
      <c r="S297" t="s">
        <v>798</v>
      </c>
      <c r="T297">
        <v>22499.56142</v>
      </c>
      <c r="U297" s="2">
        <v>44503</v>
      </c>
      <c r="V297" t="s">
        <v>808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128.71</v>
      </c>
      <c r="D298">
        <v>86</v>
      </c>
      <c r="E298">
        <v>1.496627906976744</v>
      </c>
      <c r="F298">
        <v>0.02330821226011965</v>
      </c>
      <c r="G298">
        <v>-0.07747693722472482</v>
      </c>
      <c r="H298">
        <v>0.03</v>
      </c>
      <c r="I298">
        <v>-0.01957420275516597</v>
      </c>
      <c r="J298" t="s">
        <v>781</v>
      </c>
      <c r="K298" t="s">
        <v>781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0.5164458374327641</v>
      </c>
      <c r="R298" t="s">
        <v>784</v>
      </c>
      <c r="S298" t="s">
        <v>793</v>
      </c>
      <c r="T298">
        <v>8200.12153</v>
      </c>
      <c r="U298" s="2">
        <v>44504</v>
      </c>
      <c r="V298" t="s">
        <v>801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202.69</v>
      </c>
      <c r="D299">
        <v>121</v>
      </c>
      <c r="E299">
        <v>1.675123966942149</v>
      </c>
      <c r="F299">
        <v>0.01164339631950269</v>
      </c>
      <c r="G299">
        <v>-0.09803308079459105</v>
      </c>
      <c r="H299">
        <v>0.06</v>
      </c>
      <c r="I299">
        <v>-0.02780838596625379</v>
      </c>
      <c r="J299" t="s">
        <v>781</v>
      </c>
      <c r="K299" t="s">
        <v>526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0.467532411114699</v>
      </c>
      <c r="R299" t="s">
        <v>784</v>
      </c>
      <c r="S299" t="s">
        <v>792</v>
      </c>
      <c r="T299">
        <v>48147.018679</v>
      </c>
      <c r="U299" s="2">
        <v>44511</v>
      </c>
      <c r="V299" t="s">
        <v>801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164.72</v>
      </c>
      <c r="D300">
        <v>98</v>
      </c>
      <c r="E300">
        <v>1.680816326530612</v>
      </c>
      <c r="F300">
        <v>0.01578436134045653</v>
      </c>
      <c r="G300">
        <v>-0.09864484180769462</v>
      </c>
      <c r="H300">
        <v>0.05</v>
      </c>
      <c r="I300">
        <v>-0.03327494993936553</v>
      </c>
      <c r="J300" t="s">
        <v>781</v>
      </c>
      <c r="K300" t="s">
        <v>526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0.450430277291767</v>
      </c>
      <c r="R300" t="s">
        <v>784</v>
      </c>
      <c r="S300" t="s">
        <v>792</v>
      </c>
      <c r="T300">
        <v>68905.07032499999</v>
      </c>
      <c r="U300" s="2">
        <v>44496</v>
      </c>
      <c r="V300" t="s">
        <v>801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74.06999999999999</v>
      </c>
      <c r="D301">
        <v>55</v>
      </c>
      <c r="E301">
        <v>1.346727272727273</v>
      </c>
      <c r="F301">
        <v>0.02322127717024437</v>
      </c>
      <c r="G301">
        <v>-0.05779789761247567</v>
      </c>
      <c r="H301">
        <v>-0.02</v>
      </c>
      <c r="I301">
        <v>-0.04582716020603317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0.17101832423894</v>
      </c>
      <c r="R301" t="s">
        <v>784</v>
      </c>
      <c r="S301" t="s">
        <v>793</v>
      </c>
      <c r="T301">
        <v>3994.133859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244.14</v>
      </c>
      <c r="D302">
        <v>140</v>
      </c>
      <c r="E302">
        <v>1.743857142857143</v>
      </c>
      <c r="F302">
        <v>0.01392643565167527</v>
      </c>
      <c r="G302">
        <v>-0.1052580101155163</v>
      </c>
      <c r="H302">
        <v>0.04</v>
      </c>
      <c r="I302">
        <v>-0.04825967220632443</v>
      </c>
      <c r="J302" t="s">
        <v>781</v>
      </c>
      <c r="K302" t="s">
        <v>526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0.5486134853825571</v>
      </c>
      <c r="R302" t="s">
        <v>784</v>
      </c>
      <c r="S302" t="s">
        <v>789</v>
      </c>
      <c r="T302">
        <v>233542.466827</v>
      </c>
      <c r="U302" s="2">
        <v>44496</v>
      </c>
      <c r="V302" t="s">
        <v>800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231.45</v>
      </c>
      <c r="D303">
        <v>92</v>
      </c>
      <c r="E303">
        <v>2.515760869565217</v>
      </c>
      <c r="F303">
        <v>0.005616763879887665</v>
      </c>
      <c r="G303">
        <v>-0.1684925811047975</v>
      </c>
      <c r="H303">
        <v>0.12</v>
      </c>
      <c r="I303">
        <v>-0.05913829760854039</v>
      </c>
      <c r="J303" t="s">
        <v>781</v>
      </c>
      <c r="K303" t="s">
        <v>526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0.456560880091276</v>
      </c>
      <c r="R303" t="s">
        <v>784</v>
      </c>
      <c r="S303" t="s">
        <v>789</v>
      </c>
      <c r="T303">
        <v>109504.971502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HYPERLINK("https://www.suredividend.com/sure-analysis-XYL/","Xylem Inc")</f>
        <v>0</v>
      </c>
      <c r="C304">
        <v>122.8</v>
      </c>
      <c r="D304">
        <v>54</v>
      </c>
      <c r="E304">
        <v>2.274074074074074</v>
      </c>
      <c r="F304">
        <v>0.009120521172638438</v>
      </c>
      <c r="G304">
        <v>-0.1515249451276408</v>
      </c>
      <c r="H304">
        <v>0.09</v>
      </c>
      <c r="I304">
        <v>-0.05923571489174928</v>
      </c>
      <c r="J304" t="s">
        <v>781</v>
      </c>
      <c r="K304" t="s">
        <v>526</v>
      </c>
      <c r="L304">
        <v>2.45</v>
      </c>
      <c r="M304">
        <v>1.12</v>
      </c>
      <c r="N304">
        <v>0.4571428571428571</v>
      </c>
      <c r="O304">
        <v>10</v>
      </c>
      <c r="P304">
        <v>0.09460878422315755</v>
      </c>
      <c r="Q304">
        <v>0.258853233909897</v>
      </c>
      <c r="R304" t="s">
        <v>784</v>
      </c>
      <c r="S304" t="s">
        <v>792</v>
      </c>
      <c r="T304">
        <v>22143.943402</v>
      </c>
      <c r="U304" s="2">
        <v>44507</v>
      </c>
      <c r="V304" t="s">
        <v>803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4.49</v>
      </c>
      <c r="D305">
        <v>12</v>
      </c>
      <c r="E305">
        <v>0.3741666666666667</v>
      </c>
      <c r="F305">
        <v>0.008908685968819599</v>
      </c>
      <c r="G305">
        <v>0.2172701742918173</v>
      </c>
      <c r="H305">
        <v>0</v>
      </c>
      <c r="I305">
        <v>0.2638759335126453</v>
      </c>
      <c r="J305" t="s">
        <v>350</v>
      </c>
      <c r="K305" t="s">
        <v>526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-0.6781794149761501</v>
      </c>
      <c r="R305" t="s">
        <v>785</v>
      </c>
      <c r="S305" t="s">
        <v>797</v>
      </c>
      <c r="T305">
        <v>149.457468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4.63</v>
      </c>
      <c r="D306">
        <v>9.17</v>
      </c>
      <c r="E306">
        <v>0.5049073064340239</v>
      </c>
      <c r="F306">
        <v>0.03887688984881209</v>
      </c>
      <c r="G306">
        <v>0.1464567322713042</v>
      </c>
      <c r="H306">
        <v>0.04</v>
      </c>
      <c r="I306">
        <v>0.2132963301333852</v>
      </c>
      <c r="J306" t="s">
        <v>350</v>
      </c>
      <c r="K306" t="s">
        <v>781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-0.201352353681886</v>
      </c>
      <c r="R306" t="s">
        <v>784</v>
      </c>
      <c r="S306" t="s">
        <v>791</v>
      </c>
      <c r="T306">
        <v>1554.082872</v>
      </c>
      <c r="U306" s="2">
        <v>44384</v>
      </c>
      <c r="V306" t="s">
        <v>800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83.31</v>
      </c>
      <c r="D307">
        <v>130</v>
      </c>
      <c r="E307">
        <v>0.6408461538461538</v>
      </c>
      <c r="F307">
        <v>0.02112591525627176</v>
      </c>
      <c r="G307">
        <v>0.09307319289956806</v>
      </c>
      <c r="H307">
        <v>0.09</v>
      </c>
      <c r="I307">
        <v>0.2047379675211067</v>
      </c>
      <c r="J307" t="s">
        <v>350</v>
      </c>
      <c r="K307" t="s">
        <v>526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-0.051966052396201</v>
      </c>
      <c r="R307" t="s">
        <v>784</v>
      </c>
      <c r="S307" t="s">
        <v>790</v>
      </c>
      <c r="T307">
        <v>1750.623105</v>
      </c>
      <c r="U307" s="2">
        <v>44524</v>
      </c>
      <c r="V307" t="s">
        <v>807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12.7</v>
      </c>
      <c r="D308">
        <v>26.6</v>
      </c>
      <c r="E308">
        <v>0.4774436090225563</v>
      </c>
      <c r="F308">
        <v>0.01732283464566929</v>
      </c>
      <c r="G308">
        <v>0.1593527143032727</v>
      </c>
      <c r="H308">
        <v>0.02</v>
      </c>
      <c r="I308">
        <v>0.1917317480105662</v>
      </c>
      <c r="J308" t="s">
        <v>350</v>
      </c>
      <c r="K308" t="s">
        <v>526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-0.250516376512245</v>
      </c>
      <c r="R308" t="s">
        <v>784</v>
      </c>
      <c r="S308" t="s">
        <v>789</v>
      </c>
      <c r="T308">
        <v>15359.296383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113.81</v>
      </c>
      <c r="D309">
        <v>158.96</v>
      </c>
      <c r="E309">
        <v>0.7159662808253648</v>
      </c>
      <c r="F309">
        <v>0.01537650470081715</v>
      </c>
      <c r="G309">
        <v>0.06910777062404239</v>
      </c>
      <c r="H309">
        <v>0.075</v>
      </c>
      <c r="I309">
        <v>0.1605590963455366</v>
      </c>
      <c r="J309" t="s">
        <v>350</v>
      </c>
      <c r="K309" t="s">
        <v>526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1.158533994871561</v>
      </c>
      <c r="R309" t="s">
        <v>784</v>
      </c>
      <c r="S309" t="s">
        <v>790</v>
      </c>
      <c r="T309">
        <v>7159.820788</v>
      </c>
      <c r="U309" s="2">
        <v>44439</v>
      </c>
      <c r="V309" t="s">
        <v>805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58.25</v>
      </c>
      <c r="D310">
        <v>81</v>
      </c>
      <c r="E310">
        <v>0.7191358024691358</v>
      </c>
      <c r="F310">
        <v>0.04463519313304721</v>
      </c>
      <c r="G310">
        <v>0.06816370694253782</v>
      </c>
      <c r="H310">
        <v>0.05</v>
      </c>
      <c r="I310">
        <v>0.1543352155067372</v>
      </c>
      <c r="J310" t="s">
        <v>350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0.249193117750122</v>
      </c>
      <c r="R310" t="s">
        <v>784</v>
      </c>
      <c r="S310" t="s">
        <v>792</v>
      </c>
      <c r="T310">
        <v>3889.437662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45.5</v>
      </c>
      <c r="D311">
        <v>60</v>
      </c>
      <c r="E311">
        <v>0.7583333333333333</v>
      </c>
      <c r="F311">
        <v>0.09120879120879122</v>
      </c>
      <c r="G311">
        <v>0.05688557575961517</v>
      </c>
      <c r="H311">
        <v>0.03</v>
      </c>
      <c r="I311">
        <v>0.1499370916239764</v>
      </c>
      <c r="J311" t="s">
        <v>350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0.06731847375804001</v>
      </c>
      <c r="R311" t="s">
        <v>785</v>
      </c>
      <c r="S311" t="s">
        <v>797</v>
      </c>
      <c r="T311">
        <v>9711.758329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55.79</v>
      </c>
      <c r="D312">
        <v>65</v>
      </c>
      <c r="E312">
        <v>0.8583076923076923</v>
      </c>
      <c r="F312">
        <v>0.0358487184083169</v>
      </c>
      <c r="G312">
        <v>0.03103022995375215</v>
      </c>
      <c r="H312">
        <v>0.08</v>
      </c>
      <c r="I312">
        <v>0.1416148217063149</v>
      </c>
      <c r="J312" t="s">
        <v>350</v>
      </c>
      <c r="K312" t="s">
        <v>781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0.298544113026173</v>
      </c>
      <c r="R312" t="s">
        <v>784</v>
      </c>
      <c r="S312" t="s">
        <v>793</v>
      </c>
      <c r="T312">
        <v>3943.203057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89.91</v>
      </c>
      <c r="D313">
        <v>190</v>
      </c>
      <c r="E313">
        <v>0.4732105263157895</v>
      </c>
      <c r="F313">
        <v>0.05027249471693916</v>
      </c>
      <c r="G313">
        <v>0.1614195192063521</v>
      </c>
      <c r="H313">
        <v>-0.05</v>
      </c>
      <c r="I313">
        <v>0.1412041213138946</v>
      </c>
      <c r="J313" t="s">
        <v>350</v>
      </c>
      <c r="K313" t="s">
        <v>781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0.04771282577156701</v>
      </c>
      <c r="R313" t="s">
        <v>784</v>
      </c>
      <c r="S313" t="s">
        <v>794</v>
      </c>
      <c r="T313">
        <v>29920.604405</v>
      </c>
      <c r="U313" s="2">
        <v>44502</v>
      </c>
      <c r="V313" t="s">
        <v>799</v>
      </c>
    </row>
    <row r="314" spans="1:22">
      <c r="A314" s="1" t="s">
        <v>334</v>
      </c>
      <c r="B314">
        <f>HYPERLINK("https://www.suredividend.com/sure-analysis-FL/","Foot Locker Inc")</f>
        <v>0</v>
      </c>
      <c r="C314">
        <v>44.42</v>
      </c>
      <c r="D314">
        <v>84</v>
      </c>
      <c r="E314">
        <v>0.5288095238095238</v>
      </c>
      <c r="F314">
        <v>0.02701485817199459</v>
      </c>
      <c r="G314">
        <v>0.135900122472935</v>
      </c>
      <c r="H314">
        <v>-0.02</v>
      </c>
      <c r="I314">
        <v>0.1391931050711193</v>
      </c>
      <c r="J314" t="s">
        <v>350</v>
      </c>
      <c r="K314" t="s">
        <v>350</v>
      </c>
      <c r="L314">
        <v>7.6</v>
      </c>
      <c r="M314">
        <v>1.2</v>
      </c>
      <c r="N314">
        <v>0.1578947368421053</v>
      </c>
      <c r="O314">
        <v>1</v>
      </c>
      <c r="P314">
        <v>0.1496540121887568</v>
      </c>
      <c r="Q314">
        <v>0.074020600106894</v>
      </c>
      <c r="R314" t="s">
        <v>784</v>
      </c>
      <c r="S314" t="s">
        <v>790</v>
      </c>
      <c r="T314">
        <v>4457.363397</v>
      </c>
      <c r="U314" s="2">
        <v>44535</v>
      </c>
      <c r="V314" t="s">
        <v>804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101.78</v>
      </c>
      <c r="D315">
        <v>144</v>
      </c>
      <c r="E315">
        <v>0.7068055555555556</v>
      </c>
      <c r="F315">
        <v>0.01689919434073492</v>
      </c>
      <c r="G315">
        <v>0.07186480041926879</v>
      </c>
      <c r="H315">
        <v>0.05</v>
      </c>
      <c r="I315">
        <v>0.136904769061025</v>
      </c>
      <c r="J315" t="s">
        <v>350</v>
      </c>
      <c r="K315" t="s">
        <v>526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0.085488917945228</v>
      </c>
      <c r="R315" t="s">
        <v>784</v>
      </c>
      <c r="S315" t="s">
        <v>790</v>
      </c>
      <c r="T315">
        <v>5660.855917</v>
      </c>
      <c r="U315" s="2">
        <v>44491</v>
      </c>
      <c r="V315" t="s">
        <v>805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48.64</v>
      </c>
      <c r="D316">
        <v>68</v>
      </c>
      <c r="E316">
        <v>0.7152941176470589</v>
      </c>
      <c r="F316">
        <v>0.02055921052631579</v>
      </c>
      <c r="G316">
        <v>0.06930862364325407</v>
      </c>
      <c r="H316">
        <v>0.04</v>
      </c>
      <c r="I316">
        <v>0.1295724806015</v>
      </c>
      <c r="J316" t="s">
        <v>350</v>
      </c>
      <c r="K316" t="s">
        <v>526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0.460777098571664</v>
      </c>
      <c r="R316" t="s">
        <v>784</v>
      </c>
      <c r="S316" t="s">
        <v>793</v>
      </c>
      <c r="T316">
        <v>16847.57172</v>
      </c>
      <c r="U316" s="2">
        <v>44498</v>
      </c>
      <c r="V316" t="s">
        <v>803</v>
      </c>
    </row>
    <row r="317" spans="1:22">
      <c r="A317" s="1" t="s">
        <v>337</v>
      </c>
      <c r="B317">
        <f>HYPERLINK("https://www.suredividend.com/sure-analysis-ALL/","Allstate Corp (The)")</f>
        <v>0</v>
      </c>
      <c r="C317">
        <v>108.03</v>
      </c>
      <c r="D317">
        <v>143</v>
      </c>
      <c r="E317">
        <v>0.7554545454545455</v>
      </c>
      <c r="F317">
        <v>0.02999166898083866</v>
      </c>
      <c r="G317">
        <v>0.05768983918429904</v>
      </c>
      <c r="H317">
        <v>0.04</v>
      </c>
      <c r="I317">
        <v>0.1228182757445091</v>
      </c>
      <c r="J317" t="s">
        <v>350</v>
      </c>
      <c r="K317" t="s">
        <v>350</v>
      </c>
      <c r="L317">
        <v>14.25</v>
      </c>
      <c r="M317">
        <v>3.24</v>
      </c>
      <c r="N317">
        <v>0.2273684210526316</v>
      </c>
      <c r="O317">
        <v>9</v>
      </c>
      <c r="P317">
        <v>0.05024607263868264</v>
      </c>
      <c r="Q317">
        <v>0.06184390442421801</v>
      </c>
      <c r="R317" t="s">
        <v>784</v>
      </c>
      <c r="S317" t="s">
        <v>793</v>
      </c>
      <c r="T317">
        <v>30966.745949</v>
      </c>
      <c r="U317" s="2">
        <v>44505</v>
      </c>
      <c r="V317" t="s">
        <v>805</v>
      </c>
    </row>
    <row r="318" spans="1:22">
      <c r="A318" s="1" t="s">
        <v>338</v>
      </c>
      <c r="B318">
        <f>HYPERLINK("https://www.suredividend.com/sure-analysis-TFC/","Truist Financial Corporation")</f>
        <v>0</v>
      </c>
      <c r="C318">
        <v>59.39</v>
      </c>
      <c r="D318">
        <v>70</v>
      </c>
      <c r="E318">
        <v>0.8484285714285714</v>
      </c>
      <c r="F318">
        <v>0.03232867486108772</v>
      </c>
      <c r="G318">
        <v>0.0334201919376913</v>
      </c>
      <c r="H318">
        <v>0.06</v>
      </c>
      <c r="I318">
        <v>0.1203180455426101</v>
      </c>
      <c r="J318" t="s">
        <v>350</v>
      </c>
      <c r="K318" t="s">
        <v>350</v>
      </c>
      <c r="L318">
        <v>5.38</v>
      </c>
      <c r="M318">
        <v>1.92</v>
      </c>
      <c r="N318">
        <v>0.3568773234200743</v>
      </c>
      <c r="O318">
        <v>10</v>
      </c>
      <c r="P318">
        <v>0.04996052445273014</v>
      </c>
      <c r="Q318">
        <v>0.30393639934397</v>
      </c>
      <c r="R318" t="s">
        <v>784</v>
      </c>
      <c r="S318" t="s">
        <v>793</v>
      </c>
      <c r="T318">
        <v>79279.207729</v>
      </c>
      <c r="U318" s="2">
        <v>44493</v>
      </c>
      <c r="V318" t="s">
        <v>805</v>
      </c>
    </row>
    <row r="319" spans="1:22">
      <c r="A319" s="1" t="s">
        <v>339</v>
      </c>
      <c r="B319">
        <f>HYPERLINK("https://www.suredividend.com/sure-analysis-FNF/","Fidelity National Financial Inc")</f>
        <v>0</v>
      </c>
      <c r="C319">
        <v>50.32</v>
      </c>
      <c r="D319">
        <v>75</v>
      </c>
      <c r="E319">
        <v>0.6709333333333334</v>
      </c>
      <c r="F319">
        <v>0.03497615262321144</v>
      </c>
      <c r="G319">
        <v>0.08308895283629569</v>
      </c>
      <c r="H319">
        <v>0.01</v>
      </c>
      <c r="I319">
        <v>0.1186776265345701</v>
      </c>
      <c r="J319" t="s">
        <v>350</v>
      </c>
      <c r="K319" t="s">
        <v>781</v>
      </c>
      <c r="L319">
        <v>7.5</v>
      </c>
      <c r="M319">
        <v>1.76</v>
      </c>
      <c r="N319">
        <v>0.2346666666666667</v>
      </c>
      <c r="O319">
        <v>11</v>
      </c>
      <c r="P319">
        <v>0.01966570441215199</v>
      </c>
      <c r="Q319">
        <v>0.3906971729954301</v>
      </c>
      <c r="R319" t="s">
        <v>784</v>
      </c>
      <c r="S319" t="s">
        <v>793</v>
      </c>
      <c r="T319">
        <v>14314.791688</v>
      </c>
      <c r="U319" s="2">
        <v>44511</v>
      </c>
      <c r="V319" t="s">
        <v>801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36.73</v>
      </c>
      <c r="D320">
        <v>42</v>
      </c>
      <c r="E320">
        <v>0.8745238095238095</v>
      </c>
      <c r="F320">
        <v>0.0789545330792268</v>
      </c>
      <c r="G320">
        <v>0.02717791311269968</v>
      </c>
      <c r="H320">
        <v>0.03</v>
      </c>
      <c r="I320">
        <v>0.1185427740944656</v>
      </c>
      <c r="J320" t="s">
        <v>350</v>
      </c>
      <c r="K320" t="s">
        <v>780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0.023040704315604</v>
      </c>
      <c r="R320" t="s">
        <v>784</v>
      </c>
      <c r="S320" t="s">
        <v>795</v>
      </c>
      <c r="T320">
        <v>84258.726757</v>
      </c>
      <c r="U320" s="2">
        <v>44462</v>
      </c>
      <c r="V320" t="s">
        <v>803</v>
      </c>
    </row>
    <row r="321" spans="1:22">
      <c r="A321" s="1" t="s">
        <v>341</v>
      </c>
      <c r="B321">
        <f>HYPERLINK("https://www.suredividend.com/sure-analysis-PNW/","Pinnacle West Capital Corp.")</f>
        <v>0</v>
      </c>
      <c r="C321">
        <v>66.28</v>
      </c>
      <c r="D321">
        <v>88</v>
      </c>
      <c r="E321">
        <v>0.7531818181818182</v>
      </c>
      <c r="F321">
        <v>0.0515992757996379</v>
      </c>
      <c r="G321">
        <v>0.05832738626539924</v>
      </c>
      <c r="H321">
        <v>0.02</v>
      </c>
      <c r="I321">
        <v>0.1171409397100938</v>
      </c>
      <c r="J321" t="s">
        <v>350</v>
      </c>
      <c r="K321" t="s">
        <v>780</v>
      </c>
      <c r="L321">
        <v>5.06</v>
      </c>
      <c r="M321">
        <v>3.42</v>
      </c>
      <c r="N321">
        <v>0.6758893280632411</v>
      </c>
      <c r="O321">
        <v>10</v>
      </c>
      <c r="P321">
        <v>0.02021836907521135</v>
      </c>
      <c r="Q321">
        <v>-0.131561603702262</v>
      </c>
      <c r="R321" t="s">
        <v>784</v>
      </c>
      <c r="S321" t="s">
        <v>796</v>
      </c>
      <c r="T321">
        <v>7475.428773</v>
      </c>
      <c r="U321" s="2">
        <v>44513</v>
      </c>
      <c r="V321" t="s">
        <v>802</v>
      </c>
    </row>
    <row r="322" spans="1:22">
      <c r="A322" s="1" t="s">
        <v>342</v>
      </c>
      <c r="B322">
        <f>HYPERLINK("https://www.suredividend.com/sure-analysis-SNY/","Sanofi")</f>
        <v>0</v>
      </c>
      <c r="C322">
        <v>49.07</v>
      </c>
      <c r="D322">
        <v>61</v>
      </c>
      <c r="E322">
        <v>0.8044262295081968</v>
      </c>
      <c r="F322">
        <v>0.03933156714897085</v>
      </c>
      <c r="G322">
        <v>0.04448631797502034</v>
      </c>
      <c r="H322">
        <v>0.04</v>
      </c>
      <c r="I322">
        <v>0.1163884161724782</v>
      </c>
      <c r="J322" t="s">
        <v>350</v>
      </c>
      <c r="K322" t="s">
        <v>781</v>
      </c>
      <c r="L322">
        <v>3.79</v>
      </c>
      <c r="M322">
        <v>1.93</v>
      </c>
      <c r="N322">
        <v>0.5092348284960422</v>
      </c>
      <c r="O322">
        <v>27</v>
      </c>
      <c r="P322">
        <v>0.04016469901021225</v>
      </c>
      <c r="Q322">
        <v>0.064674587538946</v>
      </c>
      <c r="R322" t="s">
        <v>784</v>
      </c>
      <c r="S322" t="s">
        <v>789</v>
      </c>
      <c r="T322">
        <v>123993.316092</v>
      </c>
      <c r="U322" s="2">
        <v>44501</v>
      </c>
      <c r="V322" t="s">
        <v>800</v>
      </c>
    </row>
    <row r="323" spans="1:22">
      <c r="A323" s="1" t="s">
        <v>343</v>
      </c>
      <c r="B323">
        <f>HYPERLINK("https://www.suredividend.com/sure-analysis-AEG/","Aegon N. V.")</f>
        <v>0</v>
      </c>
      <c r="C323">
        <v>4.57</v>
      </c>
      <c r="D323">
        <v>5.6</v>
      </c>
      <c r="E323">
        <v>0.8160714285714287</v>
      </c>
      <c r="F323">
        <v>0.03719912472647702</v>
      </c>
      <c r="G323">
        <v>0.04148822783383621</v>
      </c>
      <c r="H323">
        <v>0.04</v>
      </c>
      <c r="I323">
        <v>0.1154306722700553</v>
      </c>
      <c r="J323" t="s">
        <v>350</v>
      </c>
      <c r="K323" t="s">
        <v>350</v>
      </c>
      <c r="L323">
        <v>0.7</v>
      </c>
      <c r="M323">
        <v>0.17</v>
      </c>
      <c r="N323">
        <v>0.2428571428571429</v>
      </c>
      <c r="O323">
        <v>0</v>
      </c>
      <c r="P323">
        <v>0.0801851873035635</v>
      </c>
      <c r="Q323">
        <v>0.33696895065529</v>
      </c>
      <c r="R323" t="s">
        <v>784</v>
      </c>
      <c r="S323" t="s">
        <v>793</v>
      </c>
      <c r="T323">
        <v>9599.433316000001</v>
      </c>
      <c r="U323" s="2">
        <v>44517</v>
      </c>
      <c r="V323" t="s">
        <v>807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87.13</v>
      </c>
      <c r="D324">
        <v>81</v>
      </c>
      <c r="E324">
        <v>1.075679012345679</v>
      </c>
      <c r="F324">
        <v>0.01067370595661655</v>
      </c>
      <c r="G324">
        <v>-0.01448449591792433</v>
      </c>
      <c r="H324">
        <v>0.12</v>
      </c>
      <c r="I324">
        <v>0.1138297713115501</v>
      </c>
      <c r="J324" t="s">
        <v>350</v>
      </c>
      <c r="K324" t="s">
        <v>526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1.506443743815156</v>
      </c>
      <c r="R324" t="s">
        <v>784</v>
      </c>
      <c r="S324" t="s">
        <v>791</v>
      </c>
      <c r="T324">
        <v>48345.885137</v>
      </c>
      <c r="U324" s="2">
        <v>44513</v>
      </c>
      <c r="V324" t="s">
        <v>799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29.73</v>
      </c>
      <c r="D325">
        <v>34</v>
      </c>
      <c r="E325">
        <v>0.8744117647058823</v>
      </c>
      <c r="F325">
        <v>0.05280861083081063</v>
      </c>
      <c r="G325">
        <v>0.02720423573744513</v>
      </c>
      <c r="H325">
        <v>0.045</v>
      </c>
      <c r="I325">
        <v>0.1137791597248738</v>
      </c>
      <c r="J325" t="s">
        <v>350</v>
      </c>
      <c r="K325" t="s">
        <v>780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0.294296909011754</v>
      </c>
      <c r="R325" t="s">
        <v>784</v>
      </c>
      <c r="S325" t="s">
        <v>793</v>
      </c>
      <c r="T325">
        <v>27663.318634</v>
      </c>
      <c r="U325" s="2">
        <v>44514</v>
      </c>
      <c r="V325" t="s">
        <v>805</v>
      </c>
    </row>
    <row r="326" spans="1:22">
      <c r="A326" s="1" t="s">
        <v>346</v>
      </c>
      <c r="B326">
        <f>HYPERLINK("https://www.suredividend.com/sure-analysis-SMG/","Scotts Miracle-Gro Company")</f>
        <v>0</v>
      </c>
      <c r="C326">
        <v>151.93</v>
      </c>
      <c r="D326">
        <v>174</v>
      </c>
      <c r="E326">
        <v>0.8731609195402299</v>
      </c>
      <c r="F326">
        <v>0.01737642335285987</v>
      </c>
      <c r="G326">
        <v>0.02749837117080589</v>
      </c>
      <c r="H326">
        <v>0.07000000000000001</v>
      </c>
      <c r="I326">
        <v>0.1132756450796795</v>
      </c>
      <c r="J326" t="s">
        <v>350</v>
      </c>
      <c r="K326" t="s">
        <v>526</v>
      </c>
      <c r="L326">
        <v>8.699999999999999</v>
      </c>
      <c r="M326">
        <v>2.64</v>
      </c>
      <c r="N326">
        <v>0.303448275862069</v>
      </c>
      <c r="O326">
        <v>12</v>
      </c>
      <c r="P326">
        <v>0.05982499004041508</v>
      </c>
      <c r="Q326">
        <v>-0.193454201066829</v>
      </c>
      <c r="R326" t="s">
        <v>784</v>
      </c>
      <c r="S326" t="s">
        <v>794</v>
      </c>
      <c r="T326">
        <v>8379.716469999999</v>
      </c>
      <c r="U326" s="2">
        <v>44503</v>
      </c>
      <c r="V326" t="s">
        <v>799</v>
      </c>
    </row>
    <row r="327" spans="1:22">
      <c r="A327" s="1" t="s">
        <v>347</v>
      </c>
      <c r="B327">
        <f>HYPERLINK("https://www.suredividend.com/sure-analysis-SVC/","Service Properties Trust")</f>
        <v>0</v>
      </c>
      <c r="C327">
        <v>9.19</v>
      </c>
      <c r="D327">
        <v>14</v>
      </c>
      <c r="E327">
        <v>0.6564285714285714</v>
      </c>
      <c r="F327">
        <v>0.004352557127312296</v>
      </c>
      <c r="G327">
        <v>0.08783369038695166</v>
      </c>
      <c r="H327">
        <v>0.02</v>
      </c>
      <c r="I327">
        <v>0.1124470178117469</v>
      </c>
      <c r="J327" t="s">
        <v>350</v>
      </c>
      <c r="K327" t="s">
        <v>782</v>
      </c>
      <c r="L327">
        <v>0.3</v>
      </c>
      <c r="M327">
        <v>0.04</v>
      </c>
      <c r="N327">
        <v>0.1333333333333333</v>
      </c>
      <c r="O327">
        <v>0</v>
      </c>
      <c r="P327">
        <v>0</v>
      </c>
      <c r="Q327">
        <v>-0.231483262391182</v>
      </c>
      <c r="R327" t="s">
        <v>786</v>
      </c>
      <c r="S327" t="s">
        <v>798</v>
      </c>
      <c r="T327">
        <v>1517.19854</v>
      </c>
      <c r="U327" s="2">
        <v>44512</v>
      </c>
      <c r="V327" t="s">
        <v>803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38</v>
      </c>
      <c r="D328">
        <v>43</v>
      </c>
      <c r="E328">
        <v>0.8837209302325582</v>
      </c>
      <c r="F328">
        <v>0.03052631578947368</v>
      </c>
      <c r="G328">
        <v>0.02503093353490349</v>
      </c>
      <c r="H328">
        <v>0.06</v>
      </c>
      <c r="I328">
        <v>0.1122708272230322</v>
      </c>
      <c r="J328" t="s">
        <v>350</v>
      </c>
      <c r="K328" t="s">
        <v>781</v>
      </c>
      <c r="L328">
        <v>3.45</v>
      </c>
      <c r="M328">
        <v>1.16</v>
      </c>
      <c r="N328">
        <v>0.336231884057971</v>
      </c>
      <c r="O328">
        <v>30</v>
      </c>
      <c r="P328">
        <v>0.07039956279333892</v>
      </c>
      <c r="Q328">
        <v>0.08769077523728801</v>
      </c>
      <c r="R328" t="s">
        <v>784</v>
      </c>
      <c r="S328" t="s">
        <v>793</v>
      </c>
      <c r="T328">
        <v>104.90888</v>
      </c>
      <c r="U328" s="2">
        <v>44529</v>
      </c>
      <c r="V328" t="s">
        <v>803</v>
      </c>
    </row>
    <row r="329" spans="1:22">
      <c r="A329" s="1" t="s">
        <v>349</v>
      </c>
      <c r="B329">
        <f>HYPERLINK("https://www.suredividend.com/sure-analysis-TX/","Ternium S.A.")</f>
        <v>0</v>
      </c>
      <c r="C329">
        <v>43.65</v>
      </c>
      <c r="D329">
        <v>135</v>
      </c>
      <c r="E329">
        <v>0.3233333333333333</v>
      </c>
      <c r="F329">
        <v>0.04810996563573883</v>
      </c>
      <c r="G329">
        <v>0.2533428969258982</v>
      </c>
      <c r="H329">
        <v>-0.15</v>
      </c>
      <c r="I329">
        <v>0.1101310964898865</v>
      </c>
      <c r="J329" t="s">
        <v>350</v>
      </c>
      <c r="K329" t="s">
        <v>781</v>
      </c>
      <c r="L329">
        <v>18</v>
      </c>
      <c r="M329">
        <v>2.1</v>
      </c>
      <c r="N329">
        <v>0.1166666666666667</v>
      </c>
      <c r="O329">
        <v>1</v>
      </c>
      <c r="P329">
        <v>0.08992507843838271</v>
      </c>
      <c r="Q329">
        <v>0.5865977020685741</v>
      </c>
      <c r="R329" t="s">
        <v>784</v>
      </c>
      <c r="S329" t="s">
        <v>794</v>
      </c>
      <c r="T329">
        <v>8750.705115999999</v>
      </c>
      <c r="U329" s="2">
        <v>44513</v>
      </c>
      <c r="V329" t="s">
        <v>805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60.72</v>
      </c>
      <c r="D330">
        <v>105</v>
      </c>
      <c r="E330">
        <v>0.5782857142857143</v>
      </c>
      <c r="F330">
        <v>0.03359683794466403</v>
      </c>
      <c r="G330">
        <v>0.1157618480858398</v>
      </c>
      <c r="H330">
        <v>-0.03</v>
      </c>
      <c r="I330">
        <v>0.1100868766189325</v>
      </c>
      <c r="J330" t="s">
        <v>350</v>
      </c>
      <c r="K330" t="s">
        <v>781</v>
      </c>
      <c r="L330">
        <v>10.5</v>
      </c>
      <c r="M330">
        <v>2.04</v>
      </c>
      <c r="N330">
        <v>0.1942857142857143</v>
      </c>
      <c r="O330">
        <v>6</v>
      </c>
      <c r="P330">
        <v>0.06000153927394081</v>
      </c>
      <c r="Q330">
        <v>0.06166431751649901</v>
      </c>
      <c r="R330" t="s">
        <v>784</v>
      </c>
      <c r="S330" t="s">
        <v>793</v>
      </c>
      <c r="T330">
        <v>123046.12846</v>
      </c>
      <c r="U330" s="2">
        <v>44485</v>
      </c>
      <c r="V330" t="s">
        <v>804</v>
      </c>
    </row>
    <row r="331" spans="1:22">
      <c r="A331" s="1" t="s">
        <v>351</v>
      </c>
      <c r="B331">
        <f>HYPERLINK("https://www.suredividend.com/sure-analysis-DHI/","D.R. Horton Inc.")</f>
        <v>0</v>
      </c>
      <c r="C331">
        <v>109.66</v>
      </c>
      <c r="D331">
        <v>127</v>
      </c>
      <c r="E331">
        <v>0.8634645669291339</v>
      </c>
      <c r="F331">
        <v>0.008207185847163961</v>
      </c>
      <c r="G331">
        <v>0.02979575174046234</v>
      </c>
      <c r="H331">
        <v>0.07000000000000001</v>
      </c>
      <c r="I331">
        <v>0.1092614513937102</v>
      </c>
      <c r="J331" t="s">
        <v>350</v>
      </c>
      <c r="K331" t="s">
        <v>526</v>
      </c>
      <c r="L331">
        <v>13.35</v>
      </c>
      <c r="M331">
        <v>0.9</v>
      </c>
      <c r="N331">
        <v>0.06741573033707865</v>
      </c>
      <c r="O331">
        <v>7</v>
      </c>
      <c r="P331">
        <v>0.100082101138866</v>
      </c>
      <c r="Q331">
        <v>0.578322357767462</v>
      </c>
      <c r="R331" t="s">
        <v>784</v>
      </c>
      <c r="S331" t="s">
        <v>790</v>
      </c>
      <c r="T331">
        <v>39093.460443</v>
      </c>
      <c r="U331" s="2">
        <v>44513</v>
      </c>
      <c r="V331" t="s">
        <v>805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67.47</v>
      </c>
      <c r="D332">
        <v>76</v>
      </c>
      <c r="E332">
        <v>0.8877631578947368</v>
      </c>
      <c r="F332">
        <v>0.02667852378835038</v>
      </c>
      <c r="G332">
        <v>0.02409577972346688</v>
      </c>
      <c r="H332">
        <v>0.06</v>
      </c>
      <c r="I332">
        <v>0.1081929026791477</v>
      </c>
      <c r="J332" t="s">
        <v>350</v>
      </c>
      <c r="K332" t="s">
        <v>350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0.35131345985916</v>
      </c>
      <c r="R332" t="s">
        <v>784</v>
      </c>
      <c r="S332" t="s">
        <v>793</v>
      </c>
      <c r="T332">
        <v>12192.415112</v>
      </c>
      <c r="U332" s="2">
        <v>44505</v>
      </c>
      <c r="V332" t="s">
        <v>805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26.4</v>
      </c>
      <c r="D333">
        <v>34.8</v>
      </c>
      <c r="E333">
        <v>0.7586206896551725</v>
      </c>
      <c r="F333">
        <v>0.02727272727272727</v>
      </c>
      <c r="G333">
        <v>0.05680549653640732</v>
      </c>
      <c r="H333">
        <v>0.02</v>
      </c>
      <c r="I333">
        <v>0.1060683004838059</v>
      </c>
      <c r="J333" t="s">
        <v>350</v>
      </c>
      <c r="K333" t="s">
        <v>526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0.6058784885277011</v>
      </c>
      <c r="R333" t="s">
        <v>784</v>
      </c>
      <c r="S333" t="s">
        <v>797</v>
      </c>
      <c r="T333">
        <v>86002.95546500001</v>
      </c>
      <c r="U333" s="2">
        <v>44502</v>
      </c>
      <c r="V333" t="s">
        <v>799</v>
      </c>
    </row>
    <row r="334" spans="1:22">
      <c r="A334" s="1" t="s">
        <v>354</v>
      </c>
      <c r="B334">
        <f>HYPERLINK("https://www.suredividend.com/sure-analysis-RLJ/","RLJ Lodging Trust")</f>
        <v>0</v>
      </c>
      <c r="C334">
        <v>13.4</v>
      </c>
      <c r="D334">
        <v>18.7</v>
      </c>
      <c r="E334">
        <v>0.716577540106952</v>
      </c>
      <c r="F334">
        <v>0.002985074626865672</v>
      </c>
      <c r="G334">
        <v>0.06892531300930727</v>
      </c>
      <c r="H334">
        <v>0.01</v>
      </c>
      <c r="I334">
        <v>0.1055810386307932</v>
      </c>
      <c r="J334" t="s">
        <v>350</v>
      </c>
      <c r="K334" t="s">
        <v>782</v>
      </c>
      <c r="L334">
        <v>0.2</v>
      </c>
      <c r="M334">
        <v>0.04</v>
      </c>
      <c r="N334">
        <v>0.2</v>
      </c>
      <c r="O334">
        <v>0</v>
      </c>
      <c r="P334">
        <v>1</v>
      </c>
      <c r="Q334">
        <v>0.007185592736237</v>
      </c>
      <c r="R334" t="s">
        <v>786</v>
      </c>
      <c r="S334" t="s">
        <v>798</v>
      </c>
      <c r="T334">
        <v>2232.169079</v>
      </c>
      <c r="U334" s="2">
        <v>44526</v>
      </c>
      <c r="V334" t="s">
        <v>807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47.87</v>
      </c>
      <c r="D335">
        <v>63</v>
      </c>
      <c r="E335">
        <v>0.7598412698412698</v>
      </c>
      <c r="F335">
        <v>0.01838312095257991</v>
      </c>
      <c r="G335">
        <v>0.05646575571701473</v>
      </c>
      <c r="H335">
        <v>0.03</v>
      </c>
      <c r="I335">
        <v>0.1034145026295448</v>
      </c>
      <c r="J335" t="s">
        <v>350</v>
      </c>
      <c r="K335" t="s">
        <v>526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0.513905667895838</v>
      </c>
      <c r="R335" t="s">
        <v>784</v>
      </c>
      <c r="S335" t="s">
        <v>793</v>
      </c>
      <c r="T335">
        <v>26197.296803</v>
      </c>
      <c r="U335" s="2">
        <v>44500</v>
      </c>
      <c r="V335" t="s">
        <v>803</v>
      </c>
    </row>
    <row r="336" spans="1:22">
      <c r="A336" s="1" t="s">
        <v>356</v>
      </c>
      <c r="B336">
        <f>HYPERLINK("https://www.suredividend.com/sure-analysis-BASFY/","Basf SE")</f>
        <v>0</v>
      </c>
      <c r="C336">
        <v>17</v>
      </c>
      <c r="D336">
        <v>19.6</v>
      </c>
      <c r="E336">
        <v>0.8673469387755102</v>
      </c>
      <c r="F336">
        <v>0.05529411764705882</v>
      </c>
      <c r="G336">
        <v>0.02887219336182856</v>
      </c>
      <c r="H336">
        <v>0.03</v>
      </c>
      <c r="I336">
        <v>0.1031744030414645</v>
      </c>
      <c r="J336" t="s">
        <v>350</v>
      </c>
      <c r="K336" t="s">
        <v>780</v>
      </c>
      <c r="L336">
        <v>1.51</v>
      </c>
      <c r="M336">
        <v>0.9399999999999999</v>
      </c>
      <c r="N336">
        <v>0.6225165562913907</v>
      </c>
      <c r="O336">
        <v>0</v>
      </c>
      <c r="P336">
        <v>0.02431988176177757</v>
      </c>
      <c r="Q336">
        <v>-0.06829915270028801</v>
      </c>
      <c r="R336" t="s">
        <v>784</v>
      </c>
      <c r="S336" t="s">
        <v>794</v>
      </c>
      <c r="T336">
        <v>62456.551192</v>
      </c>
      <c r="U336" s="2">
        <v>44497</v>
      </c>
      <c r="V336" t="s">
        <v>810</v>
      </c>
    </row>
    <row r="337" spans="1:22">
      <c r="A337" s="1" t="s">
        <v>357</v>
      </c>
      <c r="B337">
        <f>HYPERLINK("https://www.suredividend.com/sure-analysis-SJI/","South Jersey Industries Inc.")</f>
        <v>0</v>
      </c>
      <c r="C337">
        <v>24.63</v>
      </c>
      <c r="D337">
        <v>29</v>
      </c>
      <c r="E337">
        <v>0.8493103448275862</v>
      </c>
      <c r="F337">
        <v>0.048721071863581</v>
      </c>
      <c r="G337">
        <v>0.03320551867819344</v>
      </c>
      <c r="H337">
        <v>0.03</v>
      </c>
      <c r="I337">
        <v>0.102977449277172</v>
      </c>
      <c r="J337" t="s">
        <v>350</v>
      </c>
      <c r="K337" t="s">
        <v>780</v>
      </c>
      <c r="L337">
        <v>1.6</v>
      </c>
      <c r="M337">
        <v>1.2</v>
      </c>
      <c r="N337">
        <v>0.7499999999999999</v>
      </c>
      <c r="O337">
        <v>23</v>
      </c>
      <c r="P337">
        <v>0.03131030647754507</v>
      </c>
      <c r="Q337">
        <v>0.123703156223481</v>
      </c>
      <c r="R337" t="s">
        <v>784</v>
      </c>
      <c r="S337" t="s">
        <v>796</v>
      </c>
      <c r="T337">
        <v>2769.572048</v>
      </c>
      <c r="U337" s="2">
        <v>44517</v>
      </c>
      <c r="V337" t="s">
        <v>806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116.78</v>
      </c>
      <c r="D338">
        <v>154</v>
      </c>
      <c r="E338">
        <v>0.7583116883116883</v>
      </c>
      <c r="F338">
        <v>0.01712622024319233</v>
      </c>
      <c r="G338">
        <v>0.05689160917577651</v>
      </c>
      <c r="H338">
        <v>0.03</v>
      </c>
      <c r="I338">
        <v>0.1028086355362663</v>
      </c>
      <c r="J338" t="s">
        <v>350</v>
      </c>
      <c r="K338" t="s">
        <v>526</v>
      </c>
      <c r="L338">
        <v>17.1</v>
      </c>
      <c r="M338">
        <v>2</v>
      </c>
      <c r="N338">
        <v>0.1169590643274854</v>
      </c>
      <c r="O338">
        <v>10</v>
      </c>
      <c r="P338">
        <v>0.0602809527753625</v>
      </c>
      <c r="Q338">
        <v>0.422464883012404</v>
      </c>
      <c r="R338" t="s">
        <v>784</v>
      </c>
      <c r="S338" t="s">
        <v>793</v>
      </c>
      <c r="T338">
        <v>34222.455795</v>
      </c>
      <c r="U338" s="2">
        <v>44499</v>
      </c>
      <c r="V338" t="s">
        <v>803</v>
      </c>
    </row>
    <row r="339" spans="1:22">
      <c r="A339" s="1" t="s">
        <v>359</v>
      </c>
      <c r="B339">
        <f>HYPERLINK("https://www.suredividend.com/sure-analysis-MPLX/","MPLX LP")</f>
        <v>0</v>
      </c>
      <c r="C339">
        <v>28.99</v>
      </c>
      <c r="D339">
        <v>29</v>
      </c>
      <c r="E339">
        <v>0.9996551724137931</v>
      </c>
      <c r="F339">
        <v>0.09727492238703001</v>
      </c>
      <c r="G339">
        <v>6.897978957831619e-05</v>
      </c>
      <c r="H339">
        <v>0.02</v>
      </c>
      <c r="I339">
        <v>0.1013551704408906</v>
      </c>
      <c r="J339" t="s">
        <v>350</v>
      </c>
      <c r="K339" t="s">
        <v>780</v>
      </c>
      <c r="L339">
        <v>4.1</v>
      </c>
      <c r="M339">
        <v>2.82</v>
      </c>
      <c r="N339">
        <v>0.6878048780487805</v>
      </c>
      <c r="O339">
        <v>9</v>
      </c>
      <c r="P339">
        <v>0.01977005769334617</v>
      </c>
      <c r="Q339">
        <v>0.357915396109401</v>
      </c>
      <c r="R339" t="s">
        <v>785</v>
      </c>
      <c r="S339" t="s">
        <v>797</v>
      </c>
      <c r="T339">
        <v>29565.846866</v>
      </c>
      <c r="U339" s="2">
        <v>44509</v>
      </c>
      <c r="V339" t="s">
        <v>801</v>
      </c>
    </row>
    <row r="340" spans="1:22">
      <c r="A340" s="1" t="s">
        <v>360</v>
      </c>
      <c r="B340">
        <f>HYPERLINK("https://www.suredividend.com/sure-analysis-NHI/","National Health Investors, Inc.")</f>
        <v>0</v>
      </c>
      <c r="C340">
        <v>55.08</v>
      </c>
      <c r="D340">
        <v>61</v>
      </c>
      <c r="E340">
        <v>0.9029508196721311</v>
      </c>
      <c r="F340">
        <v>0.06535947712418301</v>
      </c>
      <c r="G340">
        <v>0.0206272997972945</v>
      </c>
      <c r="H340">
        <v>0.03</v>
      </c>
      <c r="I340">
        <v>0.1013491103158011</v>
      </c>
      <c r="J340" t="s">
        <v>350</v>
      </c>
      <c r="K340" t="s">
        <v>781</v>
      </c>
      <c r="L340">
        <v>4.78</v>
      </c>
      <c r="M340">
        <v>3.6</v>
      </c>
      <c r="N340">
        <v>0.7531380753138075</v>
      </c>
      <c r="O340">
        <v>0</v>
      </c>
      <c r="P340">
        <v>0.009805797673485328</v>
      </c>
      <c r="Q340">
        <v>-0.127056955254537</v>
      </c>
      <c r="R340" t="s">
        <v>786</v>
      </c>
      <c r="S340" t="s">
        <v>798</v>
      </c>
      <c r="T340">
        <v>2525.450993</v>
      </c>
      <c r="U340" s="2">
        <v>44513</v>
      </c>
      <c r="V340" t="s">
        <v>805</v>
      </c>
    </row>
    <row r="341" spans="1:22">
      <c r="A341" s="1" t="s">
        <v>361</v>
      </c>
      <c r="B341">
        <f>HYPERLINK("https://www.suredividend.com/sure-analysis-MKTX/","MarketAxess Holdings Inc.")</f>
        <v>0</v>
      </c>
      <c r="C341">
        <v>385.84</v>
      </c>
      <c r="D341">
        <v>300</v>
      </c>
      <c r="E341">
        <v>1.286133333333333</v>
      </c>
      <c r="F341">
        <v>0.006842214389384201</v>
      </c>
      <c r="G341">
        <v>-0.04908258485269024</v>
      </c>
      <c r="H341">
        <v>0.15</v>
      </c>
      <c r="I341">
        <v>0.1008758756940109</v>
      </c>
      <c r="J341" t="s">
        <v>350</v>
      </c>
      <c r="K341" t="s">
        <v>782</v>
      </c>
      <c r="L341">
        <v>7.15</v>
      </c>
      <c r="M341">
        <v>2.64</v>
      </c>
      <c r="N341">
        <v>0.3692307692307693</v>
      </c>
      <c r="O341">
        <v>11</v>
      </c>
      <c r="P341">
        <v>0.1500007374307972</v>
      </c>
      <c r="Q341">
        <v>-0.29149394260741</v>
      </c>
      <c r="R341" t="s">
        <v>784</v>
      </c>
      <c r="S341" t="s">
        <v>793</v>
      </c>
      <c r="T341">
        <v>14672.138201</v>
      </c>
      <c r="U341" s="2">
        <v>44494</v>
      </c>
      <c r="V341" t="s">
        <v>805</v>
      </c>
    </row>
    <row r="342" spans="1:22">
      <c r="A342" s="1" t="s">
        <v>362</v>
      </c>
      <c r="B342">
        <f>HYPERLINK("https://www.suredividend.com/sure-analysis-OGS/","ONE Gas Inc")</f>
        <v>0</v>
      </c>
      <c r="C342">
        <v>72.51000000000001</v>
      </c>
      <c r="D342">
        <v>77</v>
      </c>
      <c r="E342">
        <v>0.9416883116883118</v>
      </c>
      <c r="F342">
        <v>0.03199558681561163</v>
      </c>
      <c r="G342">
        <v>0.01208867211523579</v>
      </c>
      <c r="H342">
        <v>0.06</v>
      </c>
      <c r="I342">
        <v>0.1006341625655234</v>
      </c>
      <c r="J342" t="s">
        <v>350</v>
      </c>
      <c r="K342" t="s">
        <v>781</v>
      </c>
      <c r="L342">
        <v>3.85</v>
      </c>
      <c r="M342">
        <v>2.32</v>
      </c>
      <c r="N342">
        <v>0.6025974025974026</v>
      </c>
      <c r="O342">
        <v>7</v>
      </c>
      <c r="P342">
        <v>0.06509372738446295</v>
      </c>
      <c r="Q342">
        <v>-0.06449573597904701</v>
      </c>
      <c r="R342" t="s">
        <v>784</v>
      </c>
      <c r="S342" t="s">
        <v>796</v>
      </c>
      <c r="T342">
        <v>3885.630205</v>
      </c>
      <c r="U342" s="2">
        <v>44502</v>
      </c>
      <c r="V342" t="s">
        <v>799</v>
      </c>
    </row>
    <row r="343" spans="1:22">
      <c r="A343" s="1" t="s">
        <v>363</v>
      </c>
      <c r="B343">
        <f>HYPERLINK("https://www.suredividend.com/sure-analysis-JBL/","Jabil Inc")</f>
        <v>0</v>
      </c>
      <c r="C343">
        <v>65.40000000000001</v>
      </c>
      <c r="D343">
        <v>73</v>
      </c>
      <c r="E343">
        <v>0.8958904109589042</v>
      </c>
      <c r="F343">
        <v>0.004892966360856269</v>
      </c>
      <c r="G343">
        <v>0.02223094162919925</v>
      </c>
      <c r="H343">
        <v>0.07000000000000001</v>
      </c>
      <c r="I343">
        <v>0.09773488662925267</v>
      </c>
      <c r="J343" t="s">
        <v>350</v>
      </c>
      <c r="K343" t="s">
        <v>782</v>
      </c>
      <c r="L343">
        <v>6.35</v>
      </c>
      <c r="M343">
        <v>0.32</v>
      </c>
      <c r="N343">
        <v>0.05039370078740158</v>
      </c>
      <c r="O343">
        <v>0</v>
      </c>
      <c r="P343">
        <v>0.05081623913789235</v>
      </c>
      <c r="Q343">
        <v>0.66053909122301</v>
      </c>
      <c r="R343" t="s">
        <v>784</v>
      </c>
      <c r="S343" t="s">
        <v>791</v>
      </c>
      <c r="T343">
        <v>9374.107496000001</v>
      </c>
      <c r="U343" s="2">
        <v>44491</v>
      </c>
      <c r="V343" t="s">
        <v>805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23.14</v>
      </c>
      <c r="D344">
        <v>30</v>
      </c>
      <c r="E344">
        <v>0.7713333333333333</v>
      </c>
      <c r="F344">
        <v>0.02938634399308557</v>
      </c>
      <c r="G344">
        <v>0.05329877724471643</v>
      </c>
      <c r="H344">
        <v>0.02</v>
      </c>
      <c r="I344">
        <v>0.09715616540697591</v>
      </c>
      <c r="J344" t="s">
        <v>350</v>
      </c>
      <c r="K344" t="s">
        <v>350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0.329885057471264</v>
      </c>
      <c r="R344" t="s">
        <v>784</v>
      </c>
      <c r="S344" t="s">
        <v>793</v>
      </c>
      <c r="T344">
        <v>10672.318803</v>
      </c>
      <c r="U344" s="2">
        <v>44505</v>
      </c>
      <c r="V344" t="s">
        <v>803</v>
      </c>
    </row>
    <row r="345" spans="1:22">
      <c r="A345" s="1" t="s">
        <v>365</v>
      </c>
      <c r="B345">
        <f>HYPERLINK("https://www.suredividend.com/sure-analysis-DGX/","Quest Diagnostics, Inc.")</f>
        <v>0</v>
      </c>
      <c r="C345">
        <v>160.08</v>
      </c>
      <c r="D345">
        <v>206</v>
      </c>
      <c r="E345">
        <v>0.7770873786407767</v>
      </c>
      <c r="F345">
        <v>0.01549225387306347</v>
      </c>
      <c r="G345">
        <v>0.0517342787839179</v>
      </c>
      <c r="H345">
        <v>0.03</v>
      </c>
      <c r="I345">
        <v>0.09679395072095809</v>
      </c>
      <c r="J345" t="s">
        <v>350</v>
      </c>
      <c r="K345" t="s">
        <v>526</v>
      </c>
      <c r="L345">
        <v>13.7</v>
      </c>
      <c r="M345">
        <v>2.48</v>
      </c>
      <c r="N345">
        <v>0.181021897810219</v>
      </c>
      <c r="O345">
        <v>10</v>
      </c>
      <c r="P345">
        <v>0.07010283006626494</v>
      </c>
      <c r="Q345">
        <v>0.323325029825659</v>
      </c>
      <c r="R345" t="s">
        <v>784</v>
      </c>
      <c r="S345" t="s">
        <v>789</v>
      </c>
      <c r="T345">
        <v>19635.323846</v>
      </c>
      <c r="U345" s="2">
        <v>44490</v>
      </c>
      <c r="V345" t="s">
        <v>802</v>
      </c>
    </row>
    <row r="346" spans="1:22">
      <c r="A346" s="1" t="s">
        <v>366</v>
      </c>
      <c r="B346">
        <f>HYPERLINK("https://www.suredividend.com/sure-analysis-DDAIF/","Daimler AG")</f>
        <v>0</v>
      </c>
      <c r="C346">
        <v>84.29000000000001</v>
      </c>
      <c r="D346">
        <v>113</v>
      </c>
      <c r="E346">
        <v>0.7459292035398231</v>
      </c>
      <c r="F346">
        <v>0.01886344762130739</v>
      </c>
      <c r="G346">
        <v>0.06037743652699024</v>
      </c>
      <c r="H346">
        <v>0.02</v>
      </c>
      <c r="I346">
        <v>0.09605116904841826</v>
      </c>
      <c r="J346" t="s">
        <v>350</v>
      </c>
      <c r="K346" t="s">
        <v>526</v>
      </c>
      <c r="L346">
        <v>14.1</v>
      </c>
      <c r="M346">
        <v>1.59</v>
      </c>
      <c r="N346">
        <v>0.1127659574468085</v>
      </c>
      <c r="O346">
        <v>1</v>
      </c>
      <c r="P346">
        <v>0.02512087219852699</v>
      </c>
      <c r="Q346">
        <v>0.262771535580524</v>
      </c>
      <c r="R346" t="s">
        <v>784</v>
      </c>
      <c r="S346" t="s">
        <v>790</v>
      </c>
      <c r="T346">
        <v>90176.59840800001</v>
      </c>
      <c r="U346" s="2">
        <v>44498</v>
      </c>
      <c r="V346" t="s">
        <v>803</v>
      </c>
    </row>
    <row r="347" spans="1:22">
      <c r="A347" s="1" t="s">
        <v>367</v>
      </c>
      <c r="B347">
        <f>HYPERLINK("https://www.suredividend.com/sure-analysis-OGE/","Oge Energy Corp.")</f>
        <v>0</v>
      </c>
      <c r="C347">
        <v>35.93</v>
      </c>
      <c r="D347">
        <v>37</v>
      </c>
      <c r="E347">
        <v>0.971081081081081</v>
      </c>
      <c r="F347">
        <v>0.0456443083774005</v>
      </c>
      <c r="G347">
        <v>0.005886318993599815</v>
      </c>
      <c r="H347">
        <v>0.05</v>
      </c>
      <c r="I347">
        <v>0.09586089206883353</v>
      </c>
      <c r="J347" t="s">
        <v>350</v>
      </c>
      <c r="K347" t="s">
        <v>781</v>
      </c>
      <c r="L347">
        <v>2.17</v>
      </c>
      <c r="M347">
        <v>1.64</v>
      </c>
      <c r="N347">
        <v>0.7557603686635944</v>
      </c>
      <c r="O347">
        <v>15</v>
      </c>
      <c r="P347">
        <v>0.05168994430952489</v>
      </c>
      <c r="Q347">
        <v>0.173546376802127</v>
      </c>
      <c r="R347" t="s">
        <v>784</v>
      </c>
      <c r="S347" t="s">
        <v>796</v>
      </c>
      <c r="T347">
        <v>7192.264791</v>
      </c>
      <c r="U347" s="2">
        <v>44508</v>
      </c>
      <c r="V347" t="s">
        <v>807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16.97</v>
      </c>
      <c r="D348">
        <v>20</v>
      </c>
      <c r="E348">
        <v>0.8484999999999999</v>
      </c>
      <c r="F348">
        <v>0.02828520919269299</v>
      </c>
      <c r="G348">
        <v>0.03340279224088327</v>
      </c>
      <c r="H348">
        <v>0.04</v>
      </c>
      <c r="I348">
        <v>0.09514937543799684</v>
      </c>
      <c r="J348" t="s">
        <v>350</v>
      </c>
      <c r="K348" t="s">
        <v>350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-0.176344817532436</v>
      </c>
      <c r="R348" t="s">
        <v>784</v>
      </c>
      <c r="S348" t="s">
        <v>790</v>
      </c>
      <c r="T348">
        <v>6329.184986</v>
      </c>
      <c r="U348" s="2">
        <v>44528</v>
      </c>
      <c r="V348" t="s">
        <v>802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53.25</v>
      </c>
      <c r="D349">
        <v>54</v>
      </c>
      <c r="E349">
        <v>0.9861111111111112</v>
      </c>
      <c r="F349">
        <v>0.03812206572769953</v>
      </c>
      <c r="G349">
        <v>0.002801164344682805</v>
      </c>
      <c r="H349">
        <v>0.06</v>
      </c>
      <c r="I349">
        <v>0.09413966437535759</v>
      </c>
      <c r="J349" t="s">
        <v>350</v>
      </c>
      <c r="K349" t="s">
        <v>781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-0.06410157266086901</v>
      </c>
      <c r="R349" t="s">
        <v>784</v>
      </c>
      <c r="S349" t="s">
        <v>795</v>
      </c>
      <c r="T349">
        <v>136805.992835</v>
      </c>
      <c r="U349" s="2">
        <v>44516</v>
      </c>
      <c r="V349" t="s">
        <v>807</v>
      </c>
    </row>
    <row r="350" spans="1:22">
      <c r="A350" s="1" t="s">
        <v>370</v>
      </c>
      <c r="B350">
        <f>HYPERLINK("https://www.suredividend.com/sure-analysis-M/","Macy`s Inc")</f>
        <v>0</v>
      </c>
      <c r="C350">
        <v>26.73</v>
      </c>
      <c r="D350">
        <v>37</v>
      </c>
      <c r="E350">
        <v>0.7224324324324325</v>
      </c>
      <c r="F350">
        <v>0.02244668911335578</v>
      </c>
      <c r="G350">
        <v>0.0671870659553031</v>
      </c>
      <c r="H350">
        <v>0.01</v>
      </c>
      <c r="I350">
        <v>0.09399876238301608</v>
      </c>
      <c r="J350" t="s">
        <v>350</v>
      </c>
      <c r="K350" t="s">
        <v>526</v>
      </c>
      <c r="L350">
        <v>4.65</v>
      </c>
      <c r="M350">
        <v>0.6</v>
      </c>
      <c r="N350">
        <v>0.1290322580645161</v>
      </c>
      <c r="O350">
        <v>0</v>
      </c>
      <c r="P350">
        <v>0</v>
      </c>
      <c r="Q350">
        <v>1.429734938006762</v>
      </c>
      <c r="R350" t="s">
        <v>784</v>
      </c>
      <c r="S350" t="s">
        <v>790</v>
      </c>
      <c r="T350">
        <v>7999.47149</v>
      </c>
      <c r="U350" s="2">
        <v>44519</v>
      </c>
      <c r="V350" t="s">
        <v>803</v>
      </c>
    </row>
    <row r="351" spans="1:22">
      <c r="A351" s="1" t="s">
        <v>371</v>
      </c>
      <c r="B351">
        <f>HYPERLINK("https://www.suredividend.com/sure-analysis-HPQ/","HP Inc")</f>
        <v>0</v>
      </c>
      <c r="C351">
        <v>36.44</v>
      </c>
      <c r="D351">
        <v>42</v>
      </c>
      <c r="E351">
        <v>0.8676190476190475</v>
      </c>
      <c r="F351">
        <v>0.0274423710208562</v>
      </c>
      <c r="G351">
        <v>0.02880764882423814</v>
      </c>
      <c r="H351">
        <v>0.04</v>
      </c>
      <c r="I351">
        <v>0.09390757307816155</v>
      </c>
      <c r="J351" t="s">
        <v>350</v>
      </c>
      <c r="K351" t="s">
        <v>350</v>
      </c>
      <c r="L351">
        <v>4.17</v>
      </c>
      <c r="M351">
        <v>1</v>
      </c>
      <c r="N351">
        <v>0.2398081534772182</v>
      </c>
      <c r="O351">
        <v>11</v>
      </c>
      <c r="P351">
        <v>0.0602809527753625</v>
      </c>
      <c r="Q351">
        <v>0.6075794081566011</v>
      </c>
      <c r="R351" t="s">
        <v>784</v>
      </c>
      <c r="S351" t="s">
        <v>791</v>
      </c>
      <c r="T351">
        <v>39443.582824</v>
      </c>
      <c r="U351" s="2">
        <v>44533</v>
      </c>
      <c r="V351" t="s">
        <v>803</v>
      </c>
    </row>
    <row r="352" spans="1:22">
      <c r="A352" s="1" t="s">
        <v>372</v>
      </c>
      <c r="B352">
        <f>HYPERLINK("https://www.suredividend.com/sure-analysis-SR/","Spire Inc.")</f>
        <v>0</v>
      </c>
      <c r="C352">
        <v>63.15</v>
      </c>
      <c r="D352">
        <v>63</v>
      </c>
      <c r="E352">
        <v>1.002380952380952</v>
      </c>
      <c r="F352">
        <v>0.04338875692794933</v>
      </c>
      <c r="G352">
        <v>-0.000475511389600447</v>
      </c>
      <c r="H352">
        <v>0.055</v>
      </c>
      <c r="I352">
        <v>0.09241249088235071</v>
      </c>
      <c r="J352" t="s">
        <v>350</v>
      </c>
      <c r="K352" t="s">
        <v>781</v>
      </c>
      <c r="L352">
        <v>3.96</v>
      </c>
      <c r="M352">
        <v>2.74</v>
      </c>
      <c r="N352">
        <v>0.6919191919191919</v>
      </c>
      <c r="O352">
        <v>19</v>
      </c>
      <c r="P352">
        <v>0.05017940304678881</v>
      </c>
      <c r="Q352">
        <v>0.005230701639887</v>
      </c>
      <c r="R352" t="s">
        <v>784</v>
      </c>
      <c r="S352" t="s">
        <v>796</v>
      </c>
      <c r="T352">
        <v>3264.187694</v>
      </c>
      <c r="U352" s="2">
        <v>44527</v>
      </c>
      <c r="V352" t="s">
        <v>802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90.04000000000001</v>
      </c>
      <c r="D353">
        <v>97</v>
      </c>
      <c r="E353">
        <v>0.9282474226804124</v>
      </c>
      <c r="F353">
        <v>0.05553087516659262</v>
      </c>
      <c r="G353">
        <v>0.01500282170313016</v>
      </c>
      <c r="H353">
        <v>0.03</v>
      </c>
      <c r="I353">
        <v>0.09198242164403547</v>
      </c>
      <c r="J353" t="s">
        <v>350</v>
      </c>
      <c r="K353" t="s">
        <v>781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0.115872807354548</v>
      </c>
      <c r="R353" t="s">
        <v>784</v>
      </c>
      <c r="S353" t="s">
        <v>795</v>
      </c>
      <c r="T353">
        <v>140176.764307</v>
      </c>
      <c r="U353" s="2">
        <v>44488</v>
      </c>
      <c r="V353" t="s">
        <v>799</v>
      </c>
    </row>
    <row r="354" spans="1:22">
      <c r="A354" s="1" t="s">
        <v>374</v>
      </c>
      <c r="B354">
        <f>HYPERLINK("https://www.suredividend.com/sure-analysis-ROST/","Ross Stores, Inc.")</f>
        <v>0</v>
      </c>
      <c r="C354">
        <v>112.86</v>
      </c>
      <c r="D354">
        <v>90</v>
      </c>
      <c r="E354">
        <v>1.254</v>
      </c>
      <c r="F354">
        <v>0.0101010101010101</v>
      </c>
      <c r="G354">
        <v>-0.04425839339455884</v>
      </c>
      <c r="H354">
        <v>0.13</v>
      </c>
      <c r="I354">
        <v>0.09122327239594208</v>
      </c>
      <c r="J354" t="s">
        <v>350</v>
      </c>
      <c r="K354" t="s">
        <v>782</v>
      </c>
      <c r="L354">
        <v>4.8</v>
      </c>
      <c r="M354">
        <v>1.14</v>
      </c>
      <c r="N354">
        <v>0.2375</v>
      </c>
      <c r="O354">
        <v>0</v>
      </c>
      <c r="P354">
        <v>0.1486983549970351</v>
      </c>
      <c r="Q354">
        <v>0.010150734968346</v>
      </c>
      <c r="R354" t="s">
        <v>784</v>
      </c>
      <c r="S354" t="s">
        <v>790</v>
      </c>
      <c r="T354">
        <v>39876.793892</v>
      </c>
      <c r="U354" s="2">
        <v>44522</v>
      </c>
      <c r="V354" t="s">
        <v>807</v>
      </c>
    </row>
    <row r="355" spans="1:22">
      <c r="A355" s="1" t="s">
        <v>375</v>
      </c>
      <c r="B355">
        <f>HYPERLINK("https://www.suredividend.com/sure-analysis-GLOP/","Gaslog Partners LP")</f>
        <v>0</v>
      </c>
      <c r="C355">
        <v>4.51</v>
      </c>
      <c r="D355">
        <v>5.25</v>
      </c>
      <c r="E355">
        <v>0.8590476190476191</v>
      </c>
      <c r="F355">
        <v>0.008869179600886918</v>
      </c>
      <c r="G355">
        <v>0.03085255649400542</v>
      </c>
      <c r="H355">
        <v>0.05</v>
      </c>
      <c r="I355">
        <v>0.090566454365413</v>
      </c>
      <c r="J355" t="s">
        <v>350</v>
      </c>
      <c r="K355" t="s">
        <v>526</v>
      </c>
      <c r="L355">
        <v>1.25</v>
      </c>
      <c r="M355">
        <v>0.04</v>
      </c>
      <c r="N355">
        <v>0.032</v>
      </c>
      <c r="O355">
        <v>0</v>
      </c>
      <c r="P355">
        <v>0.08447177119769855</v>
      </c>
      <c r="Q355">
        <v>0.7290401905786521</v>
      </c>
      <c r="R355" t="s">
        <v>784</v>
      </c>
      <c r="S355" t="s">
        <v>797</v>
      </c>
      <c r="T355">
        <v>213.830208</v>
      </c>
      <c r="U355" s="2">
        <v>44498</v>
      </c>
      <c r="V355" t="s">
        <v>799</v>
      </c>
    </row>
    <row r="356" spans="1:22">
      <c r="A356" s="1" t="s">
        <v>376</v>
      </c>
      <c r="B356">
        <f>HYPERLINK("https://www.suredividend.com/sure-analysis-CC/","Chemours Company")</f>
        <v>0</v>
      </c>
      <c r="C356">
        <v>32.61</v>
      </c>
      <c r="D356">
        <v>39</v>
      </c>
      <c r="E356">
        <v>0.8361538461538461</v>
      </c>
      <c r="F356">
        <v>0.03066544004906471</v>
      </c>
      <c r="G356">
        <v>0.03643664936863056</v>
      </c>
      <c r="H356">
        <v>0.03</v>
      </c>
      <c r="I356">
        <v>0.09016141373402919</v>
      </c>
      <c r="J356" t="s">
        <v>350</v>
      </c>
      <c r="K356" t="s">
        <v>350</v>
      </c>
      <c r="L356">
        <v>3.93</v>
      </c>
      <c r="M356">
        <v>1</v>
      </c>
      <c r="N356">
        <v>0.2544529262086514</v>
      </c>
      <c r="O356">
        <v>0</v>
      </c>
      <c r="P356">
        <v>0</v>
      </c>
      <c r="Q356">
        <v>0.266014500914559</v>
      </c>
      <c r="R356" t="s">
        <v>784</v>
      </c>
      <c r="S356" t="s">
        <v>794</v>
      </c>
      <c r="T356">
        <v>5312.52358</v>
      </c>
      <c r="U356" s="2">
        <v>44505</v>
      </c>
      <c r="V356" t="s">
        <v>800</v>
      </c>
    </row>
    <row r="357" spans="1:22">
      <c r="A357" s="1" t="s">
        <v>377</v>
      </c>
      <c r="B357">
        <f>HYPERLINK("https://www.suredividend.com/sure-analysis-CE/","Celanese Corp")</f>
        <v>0</v>
      </c>
      <c r="C357">
        <v>160.94</v>
      </c>
      <c r="D357">
        <v>197</v>
      </c>
      <c r="E357">
        <v>0.8169543147208121</v>
      </c>
      <c r="F357">
        <v>0.01690070833851125</v>
      </c>
      <c r="G357">
        <v>0.04126302227159973</v>
      </c>
      <c r="H357">
        <v>0.03</v>
      </c>
      <c r="I357">
        <v>0.08913212568177165</v>
      </c>
      <c r="J357" t="s">
        <v>350</v>
      </c>
      <c r="K357" t="s">
        <v>526</v>
      </c>
      <c r="L357">
        <v>17.12</v>
      </c>
      <c r="M357">
        <v>2.72</v>
      </c>
      <c r="N357">
        <v>0.1588785046728972</v>
      </c>
      <c r="O357">
        <v>11</v>
      </c>
      <c r="P357">
        <v>0.09997050830829379</v>
      </c>
      <c r="Q357">
        <v>0.251301495076674</v>
      </c>
      <c r="R357" t="s">
        <v>784</v>
      </c>
      <c r="S357" t="s">
        <v>792</v>
      </c>
      <c r="T357">
        <v>17519.49686</v>
      </c>
      <c r="U357" s="2">
        <v>44494</v>
      </c>
      <c r="V357" t="s">
        <v>805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76.04000000000001</v>
      </c>
      <c r="D358">
        <v>82</v>
      </c>
      <c r="E358">
        <v>0.9273170731707318</v>
      </c>
      <c r="F358">
        <v>0.02551288795370857</v>
      </c>
      <c r="G358">
        <v>0.01520640442032883</v>
      </c>
      <c r="H358">
        <v>0.05</v>
      </c>
      <c r="I358">
        <v>0.08798980681626545</v>
      </c>
      <c r="J358" t="s">
        <v>350</v>
      </c>
      <c r="K358" t="s">
        <v>350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0.5108069493542851</v>
      </c>
      <c r="R358" t="s">
        <v>784</v>
      </c>
      <c r="S358" t="s">
        <v>793</v>
      </c>
      <c r="T358">
        <v>8345.583946000001</v>
      </c>
      <c r="U358" s="2">
        <v>44494</v>
      </c>
      <c r="V358" t="s">
        <v>805</v>
      </c>
    </row>
    <row r="359" spans="1:22">
      <c r="A359" s="1" t="s">
        <v>379</v>
      </c>
      <c r="B359">
        <f>HYPERLINK("https://www.suredividend.com/sure-analysis-HPE/","Hewlett Packard Enterprise Co")</f>
        <v>0</v>
      </c>
      <c r="C359">
        <v>15.22</v>
      </c>
      <c r="D359">
        <v>15.23</v>
      </c>
      <c r="E359">
        <v>0.9993434011818779</v>
      </c>
      <c r="F359">
        <v>0.03153745072273324</v>
      </c>
      <c r="G359">
        <v>0.0001313715231889834</v>
      </c>
      <c r="H359">
        <v>0.06</v>
      </c>
      <c r="I359">
        <v>0.08757695964049006</v>
      </c>
      <c r="J359" t="s">
        <v>350</v>
      </c>
      <c r="K359" t="s">
        <v>350</v>
      </c>
      <c r="L359">
        <v>2.03</v>
      </c>
      <c r="M359">
        <v>0.48</v>
      </c>
      <c r="N359">
        <v>0.2364532019704434</v>
      </c>
      <c r="O359">
        <v>0</v>
      </c>
      <c r="P359">
        <v>0.04910201101938982</v>
      </c>
      <c r="Q359">
        <v>0.309479737931865</v>
      </c>
      <c r="R359" t="s">
        <v>784</v>
      </c>
      <c r="S359" t="s">
        <v>791</v>
      </c>
      <c r="T359">
        <v>19895.440713</v>
      </c>
      <c r="U359" s="2">
        <v>44534</v>
      </c>
      <c r="V359" t="s">
        <v>799</v>
      </c>
    </row>
    <row r="360" spans="1:22">
      <c r="A360" s="1" t="s">
        <v>380</v>
      </c>
      <c r="B360">
        <f>HYPERLINK("https://www.suredividend.com/sure-analysis-STN/","Stantec Inc")</f>
        <v>0</v>
      </c>
      <c r="C360">
        <v>56.46</v>
      </c>
      <c r="D360">
        <v>49</v>
      </c>
      <c r="E360">
        <v>1.152244897959184</v>
      </c>
      <c r="F360">
        <v>0.0093871767623096</v>
      </c>
      <c r="G360">
        <v>-0.02794454622765841</v>
      </c>
      <c r="H360">
        <v>0.11</v>
      </c>
      <c r="I360">
        <v>0.08713958208989148</v>
      </c>
      <c r="J360" t="s">
        <v>350</v>
      </c>
      <c r="K360" t="s">
        <v>782</v>
      </c>
      <c r="L360">
        <v>1.95</v>
      </c>
      <c r="M360">
        <v>0.53</v>
      </c>
      <c r="N360">
        <v>0.2717948717948718</v>
      </c>
      <c r="O360">
        <v>3</v>
      </c>
      <c r="P360">
        <v>0.06022122873100355</v>
      </c>
      <c r="Q360">
        <v>0.7526976518942541</v>
      </c>
      <c r="R360" t="s">
        <v>784</v>
      </c>
      <c r="S360" t="s">
        <v>792</v>
      </c>
      <c r="T360">
        <v>6277.57607</v>
      </c>
      <c r="U360" s="2">
        <v>44511</v>
      </c>
      <c r="V360" t="s">
        <v>799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45.39</v>
      </c>
      <c r="D361">
        <v>47</v>
      </c>
      <c r="E361">
        <v>0.9657446808510638</v>
      </c>
      <c r="F361">
        <v>0.03525005507821106</v>
      </c>
      <c r="G361">
        <v>0.006995512125095527</v>
      </c>
      <c r="H361">
        <v>0.05</v>
      </c>
      <c r="I361">
        <v>0.08648942682229155</v>
      </c>
      <c r="J361" t="s">
        <v>350</v>
      </c>
      <c r="K361" t="s">
        <v>781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-0.012311830062799</v>
      </c>
      <c r="R361" t="s">
        <v>784</v>
      </c>
      <c r="S361" t="s">
        <v>788</v>
      </c>
      <c r="T361">
        <v>17873.306859</v>
      </c>
      <c r="U361" s="2">
        <v>44496</v>
      </c>
      <c r="V361" t="s">
        <v>807</v>
      </c>
    </row>
    <row r="362" spans="1:22">
      <c r="A362" s="1" t="s">
        <v>382</v>
      </c>
      <c r="B362">
        <f>HYPERLINK("https://www.suredividend.com/sure-analysis-PHM/","PulteGroup Inc")</f>
        <v>0</v>
      </c>
      <c r="C362">
        <v>56.22</v>
      </c>
      <c r="D362">
        <v>61</v>
      </c>
      <c r="E362">
        <v>0.9216393442622951</v>
      </c>
      <c r="F362">
        <v>0.01067235859124867</v>
      </c>
      <c r="G362">
        <v>0.01645416262950161</v>
      </c>
      <c r="H362">
        <v>0.06</v>
      </c>
      <c r="I362">
        <v>0.08607286525033686</v>
      </c>
      <c r="J362" t="s">
        <v>350</v>
      </c>
      <c r="K362" t="s">
        <v>526</v>
      </c>
      <c r="L362">
        <v>7.13</v>
      </c>
      <c r="M362">
        <v>0.6</v>
      </c>
      <c r="N362">
        <v>0.08415147265077139</v>
      </c>
      <c r="O362">
        <v>4</v>
      </c>
      <c r="P362">
        <v>0.03424021252947318</v>
      </c>
      <c r="Q362">
        <v>0.34302258915262</v>
      </c>
      <c r="R362" t="s">
        <v>784</v>
      </c>
      <c r="S362" t="s">
        <v>790</v>
      </c>
      <c r="T362">
        <v>14234.098199</v>
      </c>
      <c r="U362" s="2">
        <v>44498</v>
      </c>
      <c r="V362" t="s">
        <v>805</v>
      </c>
    </row>
    <row r="363" spans="1:22">
      <c r="A363" s="1" t="s">
        <v>383</v>
      </c>
      <c r="B363">
        <f>HYPERLINK("https://www.suredividend.com/sure-analysis-PFE/","Pfizer Inc.")</f>
        <v>0</v>
      </c>
      <c r="C363">
        <v>52.78</v>
      </c>
      <c r="D363">
        <v>56</v>
      </c>
      <c r="E363">
        <v>0.9425</v>
      </c>
      <c r="F363">
        <v>0.03031451307313376</v>
      </c>
      <c r="G363">
        <v>0.01191428830941677</v>
      </c>
      <c r="H363">
        <v>0.05</v>
      </c>
      <c r="I363">
        <v>0.08562371444296768</v>
      </c>
      <c r="J363" t="s">
        <v>350</v>
      </c>
      <c r="K363" t="s">
        <v>350</v>
      </c>
      <c r="L363">
        <v>4.15</v>
      </c>
      <c r="M363">
        <v>1.6</v>
      </c>
      <c r="N363">
        <v>0.3855421686746988</v>
      </c>
      <c r="O363">
        <v>13</v>
      </c>
      <c r="P363">
        <v>0.004950737119488569</v>
      </c>
      <c r="Q363">
        <v>0.3337814650368821</v>
      </c>
      <c r="R363" t="s">
        <v>784</v>
      </c>
      <c r="S363" t="s">
        <v>789</v>
      </c>
      <c r="T363">
        <v>296247.099042</v>
      </c>
      <c r="U363" s="2">
        <v>44504</v>
      </c>
      <c r="V363" t="s">
        <v>806</v>
      </c>
    </row>
    <row r="364" spans="1:22">
      <c r="A364" s="1" t="s">
        <v>384</v>
      </c>
      <c r="B364">
        <f>HYPERLINK("https://www.suredividend.com/sure-analysis-PRU/","Prudential Financial Inc.")</f>
        <v>0</v>
      </c>
      <c r="C364">
        <v>107.04</v>
      </c>
      <c r="D364">
        <v>116</v>
      </c>
      <c r="E364">
        <v>0.9227586206896552</v>
      </c>
      <c r="F364">
        <v>0.0429745889387145</v>
      </c>
      <c r="G364">
        <v>0.01620745768319809</v>
      </c>
      <c r="H364">
        <v>0.03</v>
      </c>
      <c r="I364">
        <v>0.08425170924389724</v>
      </c>
      <c r="J364" t="s">
        <v>350</v>
      </c>
      <c r="K364" t="s">
        <v>781</v>
      </c>
      <c r="L364">
        <v>14.5</v>
      </c>
      <c r="M364">
        <v>4.6</v>
      </c>
      <c r="N364">
        <v>0.3172413793103448</v>
      </c>
      <c r="O364">
        <v>13</v>
      </c>
      <c r="P364">
        <v>0.04012620718096094</v>
      </c>
      <c r="Q364">
        <v>0.427719689967148</v>
      </c>
      <c r="R364" t="s">
        <v>784</v>
      </c>
      <c r="S364" t="s">
        <v>793</v>
      </c>
      <c r="T364">
        <v>40461.12</v>
      </c>
      <c r="U364" s="2">
        <v>44509</v>
      </c>
      <c r="V364" t="s">
        <v>801</v>
      </c>
    </row>
    <row r="365" spans="1:22">
      <c r="A365" s="1" t="s">
        <v>385</v>
      </c>
      <c r="B365">
        <f>HYPERLINK("https://www.suredividend.com/sure-analysis-ALE/","Allete, Inc.")</f>
        <v>0</v>
      </c>
      <c r="C365">
        <v>62.95</v>
      </c>
      <c r="D365">
        <v>63</v>
      </c>
      <c r="E365">
        <v>0.9992063492063492</v>
      </c>
      <c r="F365">
        <v>0.04003177124702145</v>
      </c>
      <c r="G365">
        <v>0.0001588057885397731</v>
      </c>
      <c r="H365">
        <v>0.05</v>
      </c>
      <c r="I365">
        <v>0.08391342800347545</v>
      </c>
      <c r="J365" t="s">
        <v>350</v>
      </c>
      <c r="K365" t="s">
        <v>781</v>
      </c>
      <c r="L365">
        <v>3.15</v>
      </c>
      <c r="M365">
        <v>2.52</v>
      </c>
      <c r="N365">
        <v>0.8</v>
      </c>
      <c r="O365">
        <v>10</v>
      </c>
      <c r="P365">
        <v>0.02990332946790675</v>
      </c>
      <c r="Q365">
        <v>0.105409022413774</v>
      </c>
      <c r="R365" t="s">
        <v>784</v>
      </c>
      <c r="S365" t="s">
        <v>796</v>
      </c>
      <c r="T365">
        <v>3308.91101</v>
      </c>
      <c r="U365" s="2">
        <v>44513</v>
      </c>
      <c r="V365" t="s">
        <v>805</v>
      </c>
    </row>
    <row r="366" spans="1:22">
      <c r="A366" s="1" t="s">
        <v>386</v>
      </c>
      <c r="B366">
        <f>HYPERLINK("https://www.suredividend.com/sure-analysis-PFG/","Principal Financial Group Inc")</f>
        <v>0</v>
      </c>
      <c r="C366">
        <v>71.98999999999999</v>
      </c>
      <c r="D366">
        <v>72</v>
      </c>
      <c r="E366">
        <v>0.9998611111111111</v>
      </c>
      <c r="F366">
        <v>0.03556049451312682</v>
      </c>
      <c r="G366">
        <v>2.778009282833338e-05</v>
      </c>
      <c r="H366">
        <v>0.05</v>
      </c>
      <c r="I366">
        <v>0.08289168872692154</v>
      </c>
      <c r="J366" t="s">
        <v>350</v>
      </c>
      <c r="K366" t="s">
        <v>350</v>
      </c>
      <c r="L366">
        <v>6.55</v>
      </c>
      <c r="M366">
        <v>2.56</v>
      </c>
      <c r="N366">
        <v>0.3908396946564885</v>
      </c>
      <c r="O366">
        <v>15</v>
      </c>
      <c r="P366">
        <v>0.06025622492066018</v>
      </c>
      <c r="Q366">
        <v>0.5323378848671251</v>
      </c>
      <c r="R366" t="s">
        <v>784</v>
      </c>
      <c r="S366" t="s">
        <v>793</v>
      </c>
      <c r="T366">
        <v>19082.34769</v>
      </c>
      <c r="U366" s="2">
        <v>44505</v>
      </c>
      <c r="V366" t="s">
        <v>803</v>
      </c>
    </row>
    <row r="367" spans="1:22">
      <c r="A367" s="1" t="s">
        <v>387</v>
      </c>
      <c r="B367">
        <f>HYPERLINK("https://www.suredividend.com/sure-analysis-NAVI/","Navient Corp")</f>
        <v>0</v>
      </c>
      <c r="C367">
        <v>20.81</v>
      </c>
      <c r="D367">
        <v>26</v>
      </c>
      <c r="E367">
        <v>0.8003846153846154</v>
      </c>
      <c r="F367">
        <v>0.03075444497837578</v>
      </c>
      <c r="G367">
        <v>0.04553903931895609</v>
      </c>
      <c r="H367">
        <v>0.01</v>
      </c>
      <c r="I367">
        <v>0.07964333347518227</v>
      </c>
      <c r="J367" t="s">
        <v>350</v>
      </c>
      <c r="K367" t="s">
        <v>350</v>
      </c>
      <c r="L367">
        <v>4.35</v>
      </c>
      <c r="M367">
        <v>0.64</v>
      </c>
      <c r="N367">
        <v>0.1471264367816092</v>
      </c>
      <c r="O367">
        <v>0</v>
      </c>
      <c r="P367">
        <v>0</v>
      </c>
      <c r="Q367">
        <v>1.274192667067373</v>
      </c>
      <c r="R367" t="s">
        <v>784</v>
      </c>
      <c r="S367" t="s">
        <v>793</v>
      </c>
      <c r="T367">
        <v>3353.997061</v>
      </c>
      <c r="U367" s="2">
        <v>44505</v>
      </c>
      <c r="V367" t="s">
        <v>803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43.62</v>
      </c>
      <c r="D368">
        <v>52</v>
      </c>
      <c r="E368">
        <v>0.8388461538461538</v>
      </c>
      <c r="F368">
        <v>0.02292526364053187</v>
      </c>
      <c r="G368">
        <v>0.03577049726673742</v>
      </c>
      <c r="H368">
        <v>0.02</v>
      </c>
      <c r="I368">
        <v>0.07884449168652585</v>
      </c>
      <c r="J368" t="s">
        <v>350</v>
      </c>
      <c r="K368" t="s">
        <v>526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0.020460681149316</v>
      </c>
      <c r="R368" t="s">
        <v>784</v>
      </c>
      <c r="S368" t="s">
        <v>790</v>
      </c>
      <c r="T368">
        <v>11559.367306</v>
      </c>
      <c r="U368" s="2">
        <v>44524</v>
      </c>
      <c r="V368" t="s">
        <v>807</v>
      </c>
    </row>
    <row r="369" spans="1:22">
      <c r="A369" s="1" t="s">
        <v>389</v>
      </c>
      <c r="B369">
        <f>HYPERLINK("https://www.suredividend.com/sure-analysis-PDCO/","Patterson Companies Inc.")</f>
        <v>0</v>
      </c>
      <c r="C369">
        <v>28.65</v>
      </c>
      <c r="D369">
        <v>30</v>
      </c>
      <c r="E369">
        <v>0.955</v>
      </c>
      <c r="F369">
        <v>0.03630017452006981</v>
      </c>
      <c r="G369">
        <v>0.009251319039511818</v>
      </c>
      <c r="H369">
        <v>0.04</v>
      </c>
      <c r="I369">
        <v>0.07795697158557857</v>
      </c>
      <c r="J369" t="s">
        <v>350</v>
      </c>
      <c r="K369" t="s">
        <v>781</v>
      </c>
      <c r="L369">
        <v>2</v>
      </c>
      <c r="M369">
        <v>1.04</v>
      </c>
      <c r="N369">
        <v>0.52</v>
      </c>
      <c r="O369">
        <v>0</v>
      </c>
      <c r="P369">
        <v>0</v>
      </c>
      <c r="Q369">
        <v>-0.058299943793818</v>
      </c>
      <c r="R369" t="s">
        <v>784</v>
      </c>
      <c r="S369" t="s">
        <v>789</v>
      </c>
      <c r="T369">
        <v>2793.2604</v>
      </c>
      <c r="U369" s="2">
        <v>44446</v>
      </c>
      <c r="V369" t="s">
        <v>806</v>
      </c>
    </row>
    <row r="370" spans="1:22">
      <c r="A370" s="1" t="s">
        <v>390</v>
      </c>
      <c r="B370">
        <f>HYPERLINK("https://www.suredividend.com/sure-analysis-VIAC/","ViacomCBS Inc")</f>
        <v>0</v>
      </c>
      <c r="C370">
        <v>31.22</v>
      </c>
      <c r="D370">
        <v>36</v>
      </c>
      <c r="E370">
        <v>0.8672222222222222</v>
      </c>
      <c r="F370">
        <v>0.03074951953875721</v>
      </c>
      <c r="G370">
        <v>0.02890178439620716</v>
      </c>
      <c r="H370">
        <v>0.02</v>
      </c>
      <c r="I370">
        <v>0.07743453495217922</v>
      </c>
      <c r="J370" t="s">
        <v>350</v>
      </c>
      <c r="K370" t="s">
        <v>350</v>
      </c>
      <c r="L370">
        <v>3.64</v>
      </c>
      <c r="M370">
        <v>0.96</v>
      </c>
      <c r="N370">
        <v>0.2637362637362637</v>
      </c>
      <c r="O370">
        <v>1</v>
      </c>
      <c r="P370">
        <v>0.05081623913789235</v>
      </c>
      <c r="Q370">
        <v>-0.104248079097017</v>
      </c>
      <c r="R370" t="s">
        <v>784</v>
      </c>
      <c r="S370" t="s">
        <v>788</v>
      </c>
      <c r="T370">
        <v>20356.364882</v>
      </c>
      <c r="U370" s="2">
        <v>44513</v>
      </c>
      <c r="V370" t="s">
        <v>802</v>
      </c>
    </row>
    <row r="371" spans="1:22">
      <c r="A371" s="1" t="s">
        <v>391</v>
      </c>
      <c r="B371">
        <f>HYPERLINK("https://www.suredividend.com/sure-analysis-LRCX/","Lam Research Corp.")</f>
        <v>0</v>
      </c>
      <c r="C371">
        <v>705.96</v>
      </c>
      <c r="D371">
        <v>615</v>
      </c>
      <c r="E371">
        <v>1.14790243902439</v>
      </c>
      <c r="F371">
        <v>0.007365856422460196</v>
      </c>
      <c r="G371">
        <v>-0.02721020890005044</v>
      </c>
      <c r="H371">
        <v>0.1</v>
      </c>
      <c r="I371">
        <v>0.07729942920350608</v>
      </c>
      <c r="J371" t="s">
        <v>350</v>
      </c>
      <c r="K371" t="s">
        <v>782</v>
      </c>
      <c r="L371">
        <v>34.16</v>
      </c>
      <c r="M371">
        <v>5.2</v>
      </c>
      <c r="N371">
        <v>0.1522248243559719</v>
      </c>
      <c r="O371">
        <v>7</v>
      </c>
      <c r="P371">
        <v>0.08997698704834534</v>
      </c>
      <c r="Q371">
        <v>0.44566292930021</v>
      </c>
      <c r="R371" t="s">
        <v>784</v>
      </c>
      <c r="S371" t="s">
        <v>791</v>
      </c>
      <c r="T371">
        <v>99398.24813399999</v>
      </c>
      <c r="U371" s="2">
        <v>44499</v>
      </c>
      <c r="V371" t="s">
        <v>802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32.88</v>
      </c>
      <c r="D372">
        <v>33</v>
      </c>
      <c r="E372">
        <v>0.9963636363636365</v>
      </c>
      <c r="F372">
        <v>0.02281021897810219</v>
      </c>
      <c r="G372">
        <v>0.0007288637478843896</v>
      </c>
      <c r="H372">
        <v>0.05</v>
      </c>
      <c r="I372">
        <v>0.07218444950125891</v>
      </c>
      <c r="J372" t="s">
        <v>350</v>
      </c>
      <c r="K372" t="s">
        <v>526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0.317365749291835</v>
      </c>
      <c r="R372" t="s">
        <v>784</v>
      </c>
      <c r="S372" t="s">
        <v>794</v>
      </c>
      <c r="T372">
        <v>7168.851192</v>
      </c>
      <c r="U372" s="2">
        <v>44503</v>
      </c>
      <c r="V372" t="s">
        <v>799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24.726</v>
      </c>
      <c r="D373">
        <v>26</v>
      </c>
      <c r="E373">
        <v>0.951</v>
      </c>
      <c r="F373">
        <v>0.04165655585213945</v>
      </c>
      <c r="G373">
        <v>0.01009889640003769</v>
      </c>
      <c r="H373">
        <v>0.025</v>
      </c>
      <c r="I373">
        <v>0.07184477057896421</v>
      </c>
      <c r="J373" t="s">
        <v>350</v>
      </c>
      <c r="K373" t="s">
        <v>781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0.181366459627329</v>
      </c>
      <c r="R373" t="s">
        <v>784</v>
      </c>
      <c r="S373" t="s">
        <v>793</v>
      </c>
      <c r="T373">
        <v>27403.917286</v>
      </c>
      <c r="U373" s="2">
        <v>44507</v>
      </c>
      <c r="V373" t="s">
        <v>800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20.68</v>
      </c>
      <c r="D374">
        <v>24</v>
      </c>
      <c r="E374">
        <v>0.8616666666666667</v>
      </c>
      <c r="F374">
        <v>0.01160541586073501</v>
      </c>
      <c r="G374">
        <v>0.03022513511818192</v>
      </c>
      <c r="H374">
        <v>0.03</v>
      </c>
      <c r="I374">
        <v>0.07141621372486595</v>
      </c>
      <c r="J374" t="s">
        <v>350</v>
      </c>
      <c r="K374" t="s">
        <v>782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0.09357813689821401</v>
      </c>
      <c r="R374" t="s">
        <v>784</v>
      </c>
      <c r="S374" t="s">
        <v>792</v>
      </c>
      <c r="T374">
        <v>7422.619501</v>
      </c>
      <c r="U374" s="2">
        <v>44504</v>
      </c>
      <c r="V374" t="s">
        <v>803</v>
      </c>
    </row>
    <row r="375" spans="1:22">
      <c r="A375" s="1" t="s">
        <v>395</v>
      </c>
      <c r="B375">
        <f>HYPERLINK("https://www.suredividend.com/sure-analysis-O/","Realty Income Corp.")</f>
        <v>0</v>
      </c>
      <c r="C375">
        <v>66.94</v>
      </c>
      <c r="D375">
        <v>64</v>
      </c>
      <c r="E375">
        <v>1.0459375</v>
      </c>
      <c r="F375">
        <v>0.04406931580519869</v>
      </c>
      <c r="G375">
        <v>-0.008942498363891049</v>
      </c>
      <c r="H375">
        <v>0.04</v>
      </c>
      <c r="I375">
        <v>0.07077699472795995</v>
      </c>
      <c r="J375" t="s">
        <v>350</v>
      </c>
      <c r="K375" t="s">
        <v>781</v>
      </c>
      <c r="L375">
        <v>3.58</v>
      </c>
      <c r="M375">
        <v>2.95</v>
      </c>
      <c r="N375">
        <v>0.8240223463687151</v>
      </c>
      <c r="O375">
        <v>26</v>
      </c>
      <c r="P375">
        <v>0.03478281035457087</v>
      </c>
      <c r="Q375">
        <v>0.155301199828792</v>
      </c>
      <c r="R375" t="s">
        <v>786</v>
      </c>
      <c r="S375" t="s">
        <v>798</v>
      </c>
      <c r="T375">
        <v>27058.010455</v>
      </c>
      <c r="U375" s="2">
        <v>44507</v>
      </c>
      <c r="V375" t="s">
        <v>803</v>
      </c>
    </row>
    <row r="376" spans="1:22">
      <c r="A376" s="1" t="s">
        <v>396</v>
      </c>
      <c r="B376">
        <f>HYPERLINK("https://www.suredividend.com/sure-analysis-APLE/","Apple Hospitality REIT Inc")</f>
        <v>0</v>
      </c>
      <c r="C376">
        <v>15.66</v>
      </c>
      <c r="D376">
        <v>18.3</v>
      </c>
      <c r="E376">
        <v>0.8557377049180328</v>
      </c>
      <c r="F376">
        <v>0.002554278416347382</v>
      </c>
      <c r="G376">
        <v>0.03164877399595856</v>
      </c>
      <c r="H376">
        <v>0.018</v>
      </c>
      <c r="I376">
        <v>0.06999260156082565</v>
      </c>
      <c r="J376" t="s">
        <v>350</v>
      </c>
      <c r="K376" t="s">
        <v>782</v>
      </c>
      <c r="L376">
        <v>0.87</v>
      </c>
      <c r="M376">
        <v>0.04</v>
      </c>
      <c r="N376">
        <v>0.04597701149425287</v>
      </c>
      <c r="O376">
        <v>0</v>
      </c>
      <c r="P376">
        <v>0.888175022589804</v>
      </c>
      <c r="Q376">
        <v>0.200668998956607</v>
      </c>
      <c r="R376" t="s">
        <v>786</v>
      </c>
      <c r="S376" t="s">
        <v>798</v>
      </c>
      <c r="T376">
        <v>3573.743449</v>
      </c>
      <c r="U376" s="2">
        <v>44509</v>
      </c>
      <c r="V376" t="s">
        <v>808</v>
      </c>
    </row>
    <row r="377" spans="1:22">
      <c r="A377" s="1" t="s">
        <v>397</v>
      </c>
      <c r="B377">
        <f>HYPERLINK("https://www.suredividend.com/sure-analysis-AEP/","American Electric Power Company Inc.")</f>
        <v>0</v>
      </c>
      <c r="C377">
        <v>83.98999999999999</v>
      </c>
      <c r="D377">
        <v>79.59999999999999</v>
      </c>
      <c r="E377">
        <v>1.055150753768844</v>
      </c>
      <c r="F377">
        <v>0.03714727943802834</v>
      </c>
      <c r="G377">
        <v>-0.01067929730029593</v>
      </c>
      <c r="H377">
        <v>0.049</v>
      </c>
      <c r="I377">
        <v>0.06963247214254964</v>
      </c>
      <c r="J377" t="s">
        <v>350</v>
      </c>
      <c r="K377" t="s">
        <v>781</v>
      </c>
      <c r="L377">
        <v>4.68</v>
      </c>
      <c r="M377">
        <v>3.12</v>
      </c>
      <c r="N377">
        <v>0.6666666666666667</v>
      </c>
      <c r="O377">
        <v>16</v>
      </c>
      <c r="P377">
        <v>0.01853111887485781</v>
      </c>
      <c r="Q377">
        <v>0.05129556312967801</v>
      </c>
      <c r="R377" t="s">
        <v>784</v>
      </c>
      <c r="S377" t="s">
        <v>796</v>
      </c>
      <c r="T377">
        <v>42301.704351</v>
      </c>
      <c r="U377" s="2">
        <v>44503</v>
      </c>
      <c r="V377" t="s">
        <v>808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32.36</v>
      </c>
      <c r="D378">
        <v>30</v>
      </c>
      <c r="E378">
        <v>1.078666666666667</v>
      </c>
      <c r="F378">
        <v>0.02719406674907293</v>
      </c>
      <c r="G378">
        <v>-0.01503103124233396</v>
      </c>
      <c r="H378">
        <v>0.06</v>
      </c>
      <c r="I378">
        <v>0.06905803745366956</v>
      </c>
      <c r="J378" t="s">
        <v>350</v>
      </c>
      <c r="K378" t="s">
        <v>350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-0.023120881243981</v>
      </c>
      <c r="R378" t="s">
        <v>786</v>
      </c>
      <c r="S378" t="s">
        <v>798</v>
      </c>
      <c r="T378">
        <v>8632.659887</v>
      </c>
      <c r="U378" s="2">
        <v>44513</v>
      </c>
      <c r="V378" t="s">
        <v>799</v>
      </c>
    </row>
    <row r="379" spans="1:22">
      <c r="A379" s="1" t="s">
        <v>399</v>
      </c>
      <c r="B379">
        <f>HYPERLINK("https://www.suredividend.com/sure-analysis-R/","Ryder System, Inc.")</f>
        <v>0</v>
      </c>
      <c r="C379">
        <v>81.13</v>
      </c>
      <c r="D379">
        <v>101</v>
      </c>
      <c r="E379">
        <v>0.8032673267326732</v>
      </c>
      <c r="F379">
        <v>0.02859608036484654</v>
      </c>
      <c r="G379">
        <v>0.0447875278233687</v>
      </c>
      <c r="H379">
        <v>0</v>
      </c>
      <c r="I379">
        <v>0.06843173777276967</v>
      </c>
      <c r="J379" t="s">
        <v>350</v>
      </c>
      <c r="K379" t="s">
        <v>350</v>
      </c>
      <c r="L379">
        <v>8.449999999999999</v>
      </c>
      <c r="M379">
        <v>2.32</v>
      </c>
      <c r="N379">
        <v>0.2745562130177515</v>
      </c>
      <c r="O379">
        <v>17</v>
      </c>
      <c r="P379">
        <v>0.01013720758985226</v>
      </c>
      <c r="Q379">
        <v>0.333471397671314</v>
      </c>
      <c r="R379" t="s">
        <v>784</v>
      </c>
      <c r="S379" t="s">
        <v>792</v>
      </c>
      <c r="T379">
        <v>4356.134427</v>
      </c>
      <c r="U379" s="2">
        <v>44497</v>
      </c>
      <c r="V379" t="s">
        <v>801</v>
      </c>
    </row>
    <row r="380" spans="1:22">
      <c r="A380" s="1" t="s">
        <v>400</v>
      </c>
      <c r="B380">
        <f>HYPERLINK("https://www.suredividend.com/sure-analysis-MGA/","Magna International Inc.")</f>
        <v>0</v>
      </c>
      <c r="C380">
        <v>79.84</v>
      </c>
      <c r="D380">
        <v>65</v>
      </c>
      <c r="E380">
        <v>1.228307692307692</v>
      </c>
      <c r="F380">
        <v>0.02154308617234469</v>
      </c>
      <c r="G380">
        <v>-0.04029321399773034</v>
      </c>
      <c r="H380">
        <v>0.09</v>
      </c>
      <c r="I380">
        <v>0.06764382822525827</v>
      </c>
      <c r="J380" t="s">
        <v>350</v>
      </c>
      <c r="K380" t="s">
        <v>526</v>
      </c>
      <c r="L380">
        <v>4.71</v>
      </c>
      <c r="M380">
        <v>1.72</v>
      </c>
      <c r="N380">
        <v>0.3651804670912951</v>
      </c>
      <c r="O380">
        <v>11</v>
      </c>
      <c r="P380">
        <v>0.0750624704770988</v>
      </c>
      <c r="Q380">
        <v>0.325721724633782</v>
      </c>
      <c r="R380" t="s">
        <v>784</v>
      </c>
      <c r="S380" t="s">
        <v>790</v>
      </c>
      <c r="T380">
        <v>24012.117604</v>
      </c>
      <c r="U380" s="2">
        <v>44520</v>
      </c>
      <c r="V380" t="s">
        <v>809</v>
      </c>
    </row>
    <row r="381" spans="1:22">
      <c r="A381" s="1" t="s">
        <v>401</v>
      </c>
      <c r="B381">
        <f>HYPERLINK("https://www.suredividend.com/sure-analysis-OKE/","Oneok Inc.")</f>
        <v>0</v>
      </c>
      <c r="C381">
        <v>62</v>
      </c>
      <c r="D381">
        <v>57</v>
      </c>
      <c r="E381">
        <v>1.087719298245614</v>
      </c>
      <c r="F381">
        <v>0.06032258064516129</v>
      </c>
      <c r="G381">
        <v>-0.01667601332921098</v>
      </c>
      <c r="H381">
        <v>0.03</v>
      </c>
      <c r="I381">
        <v>0.06746540584116789</v>
      </c>
      <c r="J381" t="s">
        <v>350</v>
      </c>
      <c r="K381" t="s">
        <v>780</v>
      </c>
      <c r="L381">
        <v>5.15</v>
      </c>
      <c r="M381">
        <v>3.74</v>
      </c>
      <c r="N381">
        <v>0.7262135922330097</v>
      </c>
      <c r="O381">
        <v>18</v>
      </c>
      <c r="P381">
        <v>0.02003644710053942</v>
      </c>
      <c r="Q381">
        <v>0.6041729194912181</v>
      </c>
      <c r="R381" t="s">
        <v>784</v>
      </c>
      <c r="S381" t="s">
        <v>797</v>
      </c>
      <c r="T381">
        <v>27648.075586</v>
      </c>
      <c r="U381" s="2">
        <v>44506</v>
      </c>
      <c r="V381" t="s">
        <v>803</v>
      </c>
    </row>
    <row r="382" spans="1:22">
      <c r="A382" s="1" t="s">
        <v>402</v>
      </c>
      <c r="B382">
        <f>HYPERLINK("https://www.suredividend.com/sure-analysis-CPB/","Campbell Soup Co.")</f>
        <v>0</v>
      </c>
      <c r="C382">
        <v>43.16</v>
      </c>
      <c r="D382">
        <v>46</v>
      </c>
      <c r="E382">
        <v>0.9382608695652174</v>
      </c>
      <c r="F382">
        <v>0.03429101019462465</v>
      </c>
      <c r="G382">
        <v>0.01282702066128993</v>
      </c>
      <c r="H382">
        <v>0.025</v>
      </c>
      <c r="I382">
        <v>0.06729069574704072</v>
      </c>
      <c r="J382" t="s">
        <v>350</v>
      </c>
      <c r="K382" t="s">
        <v>781</v>
      </c>
      <c r="L382">
        <v>2.8</v>
      </c>
      <c r="M382">
        <v>1.48</v>
      </c>
      <c r="N382">
        <v>0.5285714285714286</v>
      </c>
      <c r="O382">
        <v>0</v>
      </c>
      <c r="P382">
        <v>0.01444167341264735</v>
      </c>
      <c r="Q382">
        <v>-0.056226173265063</v>
      </c>
      <c r="R382" t="s">
        <v>784</v>
      </c>
      <c r="S382" t="s">
        <v>795</v>
      </c>
      <c r="T382">
        <v>13019.989436</v>
      </c>
      <c r="U382" s="2">
        <v>44453</v>
      </c>
      <c r="V382" t="s">
        <v>805</v>
      </c>
    </row>
    <row r="383" spans="1:22">
      <c r="A383" s="1" t="s">
        <v>403</v>
      </c>
      <c r="B383">
        <f>HYPERLINK("https://www.suredividend.com/sure-analysis-KSS/","Kohl`s Corp.")</f>
        <v>0</v>
      </c>
      <c r="C383">
        <v>51.76</v>
      </c>
      <c r="D383">
        <v>80</v>
      </c>
      <c r="E383">
        <v>0.647</v>
      </c>
      <c r="F383">
        <v>0.01931993817619784</v>
      </c>
      <c r="G383">
        <v>0.09098591533035361</v>
      </c>
      <c r="H383">
        <v>-0.04</v>
      </c>
      <c r="I383">
        <v>0.06695082455587476</v>
      </c>
      <c r="J383" t="s">
        <v>350</v>
      </c>
      <c r="K383" t="s">
        <v>526</v>
      </c>
      <c r="L383">
        <v>7.3</v>
      </c>
      <c r="M383">
        <v>1</v>
      </c>
      <c r="N383">
        <v>0.136986301369863</v>
      </c>
      <c r="O383">
        <v>0</v>
      </c>
      <c r="P383">
        <v>0.08009875865888949</v>
      </c>
      <c r="Q383">
        <v>0.371947178973371</v>
      </c>
      <c r="R383" t="s">
        <v>784</v>
      </c>
      <c r="S383" t="s">
        <v>790</v>
      </c>
      <c r="T383">
        <v>7202.821341</v>
      </c>
      <c r="U383" s="2">
        <v>44535</v>
      </c>
      <c r="V383" t="s">
        <v>804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56.75</v>
      </c>
      <c r="D384">
        <v>52</v>
      </c>
      <c r="E384">
        <v>1.091346153846154</v>
      </c>
      <c r="F384">
        <v>0.0239647577092511</v>
      </c>
      <c r="G384">
        <v>-0.01733045727506199</v>
      </c>
      <c r="H384">
        <v>0.06</v>
      </c>
      <c r="I384">
        <v>0.0648952822017097</v>
      </c>
      <c r="J384" t="s">
        <v>350</v>
      </c>
      <c r="K384" t="s">
        <v>526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0.447906750007018</v>
      </c>
      <c r="R384" t="s">
        <v>784</v>
      </c>
      <c r="S384" t="s">
        <v>793</v>
      </c>
      <c r="T384">
        <v>46848.828904</v>
      </c>
      <c r="U384" s="2">
        <v>44491</v>
      </c>
      <c r="V384" t="s">
        <v>804</v>
      </c>
    </row>
    <row r="385" spans="1:22">
      <c r="A385" s="1" t="s">
        <v>405</v>
      </c>
      <c r="B385">
        <f>HYPERLINK("https://www.suredividend.com/sure-analysis-ASML/","ASML Holding NV")</f>
        <v>0</v>
      </c>
      <c r="C385">
        <v>781.84</v>
      </c>
      <c r="D385">
        <v>583</v>
      </c>
      <c r="E385">
        <v>1.34106346483705</v>
      </c>
      <c r="F385">
        <v>0.005346362427095058</v>
      </c>
      <c r="G385">
        <v>-0.05700338497478441</v>
      </c>
      <c r="H385">
        <v>0.12</v>
      </c>
      <c r="I385">
        <v>0.06273823185945204</v>
      </c>
      <c r="J385" t="s">
        <v>350</v>
      </c>
      <c r="K385" t="s">
        <v>782</v>
      </c>
      <c r="L385">
        <v>15.75</v>
      </c>
      <c r="M385">
        <v>4.18</v>
      </c>
      <c r="N385">
        <v>0.2653968253968254</v>
      </c>
      <c r="O385">
        <v>6</v>
      </c>
      <c r="P385">
        <v>0.1500691206588143</v>
      </c>
      <c r="Q385">
        <v>0.736872984387381</v>
      </c>
      <c r="R385" t="s">
        <v>784</v>
      </c>
      <c r="S385" t="s">
        <v>791</v>
      </c>
      <c r="T385">
        <v>323157.295473</v>
      </c>
      <c r="U385" s="2">
        <v>44494</v>
      </c>
      <c r="V385" t="s">
        <v>804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33.91</v>
      </c>
      <c r="D386">
        <v>35</v>
      </c>
      <c r="E386">
        <v>0.9688571428571428</v>
      </c>
      <c r="F386">
        <v>0.02270716602772044</v>
      </c>
      <c r="G386">
        <v>0.006347682756505879</v>
      </c>
      <c r="H386">
        <v>0.03</v>
      </c>
      <c r="I386">
        <v>0.06170500038572646</v>
      </c>
      <c r="J386" t="s">
        <v>350</v>
      </c>
      <c r="K386" t="s">
        <v>526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0.187324929971988</v>
      </c>
      <c r="R386" t="s">
        <v>784</v>
      </c>
      <c r="S386" t="s">
        <v>790</v>
      </c>
      <c r="T386">
        <v>61240.971289</v>
      </c>
      <c r="U386" s="2">
        <v>44518</v>
      </c>
      <c r="V386" t="s">
        <v>807</v>
      </c>
    </row>
    <row r="387" spans="1:22">
      <c r="A387" s="1" t="s">
        <v>407</v>
      </c>
      <c r="B387">
        <f>HYPERLINK("https://www.suredividend.com/sure-analysis-KLAC/","KLA Corp.")</f>
        <v>0</v>
      </c>
      <c r="C387">
        <v>410.69</v>
      </c>
      <c r="D387">
        <v>357</v>
      </c>
      <c r="E387">
        <v>1.150392156862745</v>
      </c>
      <c r="F387">
        <v>0.01022669166524629</v>
      </c>
      <c r="G387">
        <v>-0.02763164284219466</v>
      </c>
      <c r="H387">
        <v>0.08</v>
      </c>
      <c r="I387">
        <v>0.06121183901688787</v>
      </c>
      <c r="J387" t="s">
        <v>350</v>
      </c>
      <c r="K387" t="s">
        <v>526</v>
      </c>
      <c r="L387">
        <v>21</v>
      </c>
      <c r="M387">
        <v>4.2</v>
      </c>
      <c r="N387">
        <v>0.2</v>
      </c>
      <c r="O387">
        <v>12</v>
      </c>
      <c r="P387">
        <v>0.09986525071768737</v>
      </c>
      <c r="Q387">
        <v>0.612568841128849</v>
      </c>
      <c r="R387" t="s">
        <v>784</v>
      </c>
      <c r="S387" t="s">
        <v>791</v>
      </c>
      <c r="T387">
        <v>62269.706944</v>
      </c>
      <c r="U387" s="2">
        <v>44508</v>
      </c>
      <c r="V387" t="s">
        <v>803</v>
      </c>
    </row>
    <row r="388" spans="1:22">
      <c r="A388" s="1" t="s">
        <v>408</v>
      </c>
      <c r="B388">
        <f>HYPERLINK("https://www.suredividend.com/sure-analysis-CFG/","Citizens Financial Group Inc")</f>
        <v>0</v>
      </c>
      <c r="C388">
        <v>47.41</v>
      </c>
      <c r="D388">
        <v>59</v>
      </c>
      <c r="E388">
        <v>0.8035593220338982</v>
      </c>
      <c r="F388">
        <v>0.03290445053786122</v>
      </c>
      <c r="G388">
        <v>0.044711586348267</v>
      </c>
      <c r="H388">
        <v>-0.02</v>
      </c>
      <c r="I388">
        <v>0.06118700049241266</v>
      </c>
      <c r="J388" t="s">
        <v>350</v>
      </c>
      <c r="K388" t="s">
        <v>350</v>
      </c>
      <c r="L388">
        <v>5.15</v>
      </c>
      <c r="M388">
        <v>1.56</v>
      </c>
      <c r="N388">
        <v>0.3029126213592233</v>
      </c>
      <c r="O388">
        <v>6</v>
      </c>
      <c r="P388">
        <v>0.09979014724923641</v>
      </c>
      <c r="Q388">
        <v>0.389666626598922</v>
      </c>
      <c r="R388" t="s">
        <v>784</v>
      </c>
      <c r="S388" t="s">
        <v>793</v>
      </c>
      <c r="T388">
        <v>20201.859902</v>
      </c>
      <c r="U388" s="2">
        <v>44492</v>
      </c>
      <c r="V388" t="s">
        <v>804</v>
      </c>
    </row>
    <row r="389" spans="1:22">
      <c r="A389" s="1" t="s">
        <v>409</v>
      </c>
      <c r="B389">
        <f>HYPERLINK("https://www.suredividend.com/sure-analysis-GOLD/","Barrick Gold Corp.")</f>
        <v>0</v>
      </c>
      <c r="C389">
        <v>17.96</v>
      </c>
      <c r="D389">
        <v>22</v>
      </c>
      <c r="E389">
        <v>0.8163636363636364</v>
      </c>
      <c r="F389">
        <v>0.0200445434298441</v>
      </c>
      <c r="G389">
        <v>0.04141365945666964</v>
      </c>
      <c r="H389">
        <v>0</v>
      </c>
      <c r="I389">
        <v>0.05999163474032998</v>
      </c>
      <c r="J389" t="s">
        <v>350</v>
      </c>
      <c r="K389" t="s">
        <v>526</v>
      </c>
      <c r="L389">
        <v>1.2</v>
      </c>
      <c r="M389">
        <v>0.36</v>
      </c>
      <c r="N389">
        <v>0.3</v>
      </c>
      <c r="O389">
        <v>5</v>
      </c>
      <c r="P389">
        <v>0.04095039696925684</v>
      </c>
      <c r="Q389">
        <v>-0.200399132243737</v>
      </c>
      <c r="R389" t="s">
        <v>784</v>
      </c>
      <c r="S389" t="s">
        <v>794</v>
      </c>
      <c r="T389">
        <v>31923.107459</v>
      </c>
      <c r="U389" s="2">
        <v>44527</v>
      </c>
      <c r="V389" t="s">
        <v>804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50.2</v>
      </c>
      <c r="D390">
        <v>50</v>
      </c>
      <c r="E390">
        <v>1.004</v>
      </c>
      <c r="F390">
        <v>0.01593625498007968</v>
      </c>
      <c r="G390">
        <v>-0.0007980856140379355</v>
      </c>
      <c r="H390">
        <v>0.04</v>
      </c>
      <c r="I390">
        <v>0.05955473375813747</v>
      </c>
      <c r="J390" t="s">
        <v>350</v>
      </c>
      <c r="K390" t="s">
        <v>526</v>
      </c>
      <c r="L390">
        <v>4.35</v>
      </c>
      <c r="M390">
        <v>0.8</v>
      </c>
      <c r="N390">
        <v>0.1839080459770115</v>
      </c>
      <c r="O390">
        <v>0</v>
      </c>
      <c r="P390">
        <v>0.1501306516611158</v>
      </c>
      <c r="Q390">
        <v>0.7497995747499041</v>
      </c>
      <c r="R390" t="s">
        <v>784</v>
      </c>
      <c r="S390" t="s">
        <v>793</v>
      </c>
      <c r="T390">
        <v>206141.807753</v>
      </c>
      <c r="U390" s="2">
        <v>44485</v>
      </c>
      <c r="V390" t="s">
        <v>804</v>
      </c>
    </row>
    <row r="391" spans="1:22">
      <c r="A391" s="1" t="s">
        <v>411</v>
      </c>
      <c r="B391">
        <f>HYPERLINK("https://www.suredividend.com/sure-analysis-GIS/","General Mills, Inc.")</f>
        <v>0</v>
      </c>
      <c r="C391">
        <v>64.77</v>
      </c>
      <c r="D391">
        <v>65</v>
      </c>
      <c r="E391">
        <v>0.9964615384615384</v>
      </c>
      <c r="F391">
        <v>0.03242241778601205</v>
      </c>
      <c r="G391">
        <v>0.0007091987027252333</v>
      </c>
      <c r="H391">
        <v>0.03</v>
      </c>
      <c r="I391">
        <v>0.05943358665396059</v>
      </c>
      <c r="J391" t="s">
        <v>350</v>
      </c>
      <c r="K391" t="s">
        <v>781</v>
      </c>
      <c r="L391">
        <v>3.8</v>
      </c>
      <c r="M391">
        <v>2.1</v>
      </c>
      <c r="N391">
        <v>0.5526315789473685</v>
      </c>
      <c r="O391">
        <v>1</v>
      </c>
      <c r="P391">
        <v>0.0183608813392091</v>
      </c>
      <c r="Q391">
        <v>0.119650066131277</v>
      </c>
      <c r="R391" t="s">
        <v>784</v>
      </c>
      <c r="S391" t="s">
        <v>795</v>
      </c>
      <c r="T391">
        <v>39224.643192</v>
      </c>
      <c r="U391" s="2">
        <v>44461</v>
      </c>
      <c r="V391" t="s">
        <v>807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159.82</v>
      </c>
      <c r="D392">
        <v>188</v>
      </c>
      <c r="E392">
        <v>0.8501063829787233</v>
      </c>
      <c r="F392">
        <v>0.02502815667626079</v>
      </c>
      <c r="G392">
        <v>0.03301194778761363</v>
      </c>
      <c r="H392">
        <v>0</v>
      </c>
      <c r="I392">
        <v>0.05847076963872855</v>
      </c>
      <c r="J392" t="s">
        <v>350</v>
      </c>
      <c r="K392" t="s">
        <v>350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0.370303461083707</v>
      </c>
      <c r="R392" t="s">
        <v>784</v>
      </c>
      <c r="S392" t="s">
        <v>793</v>
      </c>
      <c r="T392">
        <v>472310.621869</v>
      </c>
      <c r="U392" s="2">
        <v>44485</v>
      </c>
      <c r="V392" t="s">
        <v>804</v>
      </c>
    </row>
    <row r="393" spans="1:22">
      <c r="A393" s="1" t="s">
        <v>413</v>
      </c>
      <c r="B393">
        <f>HYPERLINK("https://www.suredividend.com/sure-analysis-KEY/","Keycorp")</f>
        <v>0</v>
      </c>
      <c r="C393">
        <v>23.01</v>
      </c>
      <c r="D393">
        <v>26</v>
      </c>
      <c r="E393">
        <v>0.885</v>
      </c>
      <c r="F393">
        <v>0.03389830508474576</v>
      </c>
      <c r="G393">
        <v>0.02473447145840368</v>
      </c>
      <c r="H393">
        <v>0</v>
      </c>
      <c r="I393">
        <v>0.05804733680408947</v>
      </c>
      <c r="J393" t="s">
        <v>350</v>
      </c>
      <c r="K393" t="s">
        <v>350</v>
      </c>
      <c r="L393">
        <v>2.4</v>
      </c>
      <c r="M393">
        <v>0.78</v>
      </c>
      <c r="N393">
        <v>0.325</v>
      </c>
      <c r="O393">
        <v>11</v>
      </c>
      <c r="P393">
        <v>0.0488372867840543</v>
      </c>
      <c r="Q393">
        <v>0.503882251444406</v>
      </c>
      <c r="R393" t="s">
        <v>784</v>
      </c>
      <c r="S393" t="s">
        <v>793</v>
      </c>
      <c r="T393">
        <v>21423.651138</v>
      </c>
      <c r="U393" s="2">
        <v>44490</v>
      </c>
      <c r="V393" t="s">
        <v>801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293.75</v>
      </c>
      <c r="D394">
        <v>233</v>
      </c>
      <c r="E394">
        <v>1.260729613733906</v>
      </c>
      <c r="F394">
        <v>0.00694468085106383</v>
      </c>
      <c r="G394">
        <v>-0.04528090428187481</v>
      </c>
      <c r="H394">
        <v>0.1</v>
      </c>
      <c r="I394">
        <v>0.0579719533688634</v>
      </c>
      <c r="J394" t="s">
        <v>350</v>
      </c>
      <c r="K394" t="s">
        <v>782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0.4505227738593811</v>
      </c>
      <c r="R394" t="s">
        <v>784</v>
      </c>
      <c r="S394" t="s">
        <v>793</v>
      </c>
      <c r="T394">
        <v>64720.440938</v>
      </c>
      <c r="U394" s="2">
        <v>44519</v>
      </c>
      <c r="V394" t="s">
        <v>804</v>
      </c>
    </row>
    <row r="395" spans="1:22">
      <c r="A395" s="1" t="s">
        <v>415</v>
      </c>
      <c r="B395">
        <f>HYPERLINK("https://www.suredividend.com/sure-analysis-GE/","General Electric Co.")</f>
        <v>0</v>
      </c>
      <c r="C395">
        <v>96.95999999999999</v>
      </c>
      <c r="D395">
        <v>72</v>
      </c>
      <c r="E395">
        <v>1.346666666666667</v>
      </c>
      <c r="F395">
        <v>0.003300330033003301</v>
      </c>
      <c r="G395">
        <v>-0.05778941709815066</v>
      </c>
      <c r="H395">
        <v>0.12</v>
      </c>
      <c r="I395">
        <v>0.05792382763295056</v>
      </c>
      <c r="J395" t="s">
        <v>350</v>
      </c>
      <c r="K395" t="s">
        <v>782</v>
      </c>
      <c r="L395">
        <v>2</v>
      </c>
      <c r="M395">
        <v>0.32</v>
      </c>
      <c r="N395">
        <v>0.16</v>
      </c>
      <c r="O395">
        <v>0</v>
      </c>
      <c r="P395">
        <v>0</v>
      </c>
      <c r="Q395">
        <v>0.089384596023156</v>
      </c>
      <c r="R395" t="s">
        <v>784</v>
      </c>
      <c r="S395" t="s">
        <v>792</v>
      </c>
      <c r="T395">
        <v>106464.39456</v>
      </c>
      <c r="U395" s="2">
        <v>44500</v>
      </c>
      <c r="V395" t="s">
        <v>799</v>
      </c>
    </row>
    <row r="396" spans="1:22">
      <c r="A396" s="1" t="s">
        <v>416</v>
      </c>
      <c r="B396">
        <f>HYPERLINK("https://www.suredividend.com/sure-analysis-SO/","Southern Company")</f>
        <v>0</v>
      </c>
      <c r="C396">
        <v>65.08</v>
      </c>
      <c r="D396">
        <v>56</v>
      </c>
      <c r="E396">
        <v>1.162142857142857</v>
      </c>
      <c r="F396">
        <v>0.04056545789797173</v>
      </c>
      <c r="G396">
        <v>-0.0296060135218712</v>
      </c>
      <c r="H396">
        <v>0.05</v>
      </c>
      <c r="I396">
        <v>0.05710024990219709</v>
      </c>
      <c r="J396" t="s">
        <v>350</v>
      </c>
      <c r="K396" t="s">
        <v>781</v>
      </c>
      <c r="L396">
        <v>3.38</v>
      </c>
      <c r="M396">
        <v>2.64</v>
      </c>
      <c r="N396">
        <v>0.7810650887573966</v>
      </c>
      <c r="O396">
        <v>20</v>
      </c>
      <c r="P396">
        <v>0.02996744995959233</v>
      </c>
      <c r="Q396">
        <v>0.122436660285265</v>
      </c>
      <c r="R396" t="s">
        <v>784</v>
      </c>
      <c r="S396" t="s">
        <v>796</v>
      </c>
      <c r="T396">
        <v>68972.039829</v>
      </c>
      <c r="U396" s="2">
        <v>44512</v>
      </c>
      <c r="V396" t="s">
        <v>807</v>
      </c>
    </row>
    <row r="397" spans="1:22">
      <c r="A397" s="1" t="s">
        <v>417</v>
      </c>
      <c r="B397">
        <f>HYPERLINK("https://www.suredividend.com/sure-analysis-MA/","Mastercard Incorporated")</f>
        <v>0</v>
      </c>
      <c r="C397">
        <v>349.92</v>
      </c>
      <c r="D397">
        <v>222</v>
      </c>
      <c r="E397">
        <v>1.576216216216216</v>
      </c>
      <c r="F397">
        <v>0.005601280292638317</v>
      </c>
      <c r="G397">
        <v>-0.08698725134876639</v>
      </c>
      <c r="H397">
        <v>0.15</v>
      </c>
      <c r="I397">
        <v>0.05654497189151164</v>
      </c>
      <c r="J397" t="s">
        <v>350</v>
      </c>
      <c r="K397" t="s">
        <v>782</v>
      </c>
      <c r="L397">
        <v>8.24</v>
      </c>
      <c r="M397">
        <v>1.96</v>
      </c>
      <c r="N397">
        <v>0.2378640776699029</v>
      </c>
      <c r="O397">
        <v>11</v>
      </c>
      <c r="P397">
        <v>0.1255102076739985</v>
      </c>
      <c r="Q397">
        <v>0.07269770966531501</v>
      </c>
      <c r="R397" t="s">
        <v>784</v>
      </c>
      <c r="S397" t="s">
        <v>793</v>
      </c>
      <c r="T397">
        <v>341070.208622</v>
      </c>
      <c r="U397" s="2">
        <v>44499</v>
      </c>
      <c r="V397" t="s">
        <v>800</v>
      </c>
    </row>
    <row r="398" spans="1:22">
      <c r="A398" s="1" t="s">
        <v>418</v>
      </c>
      <c r="B398">
        <f>HYPERLINK("https://www.suredividend.com/sure-analysis-CUBE/","CubeSmart")</f>
        <v>0</v>
      </c>
      <c r="C398">
        <v>54.32</v>
      </c>
      <c r="D398">
        <v>42</v>
      </c>
      <c r="E398">
        <v>1.293333333333333</v>
      </c>
      <c r="F398">
        <v>0.03166421207658321</v>
      </c>
      <c r="G398">
        <v>-0.05014370380564104</v>
      </c>
      <c r="H398">
        <v>0.075</v>
      </c>
      <c r="I398">
        <v>0.05561644854900716</v>
      </c>
      <c r="J398" t="s">
        <v>350</v>
      </c>
      <c r="K398" t="s">
        <v>350</v>
      </c>
      <c r="L398">
        <v>2.1</v>
      </c>
      <c r="M398">
        <v>1.72</v>
      </c>
      <c r="N398">
        <v>0.819047619047619</v>
      </c>
      <c r="O398">
        <v>12</v>
      </c>
      <c r="P398">
        <v>0.08023542380212056</v>
      </c>
      <c r="Q398">
        <v>0.7058875263845611</v>
      </c>
      <c r="R398" t="s">
        <v>786</v>
      </c>
      <c r="S398" t="s">
        <v>798</v>
      </c>
      <c r="T398">
        <v>11883.610366</v>
      </c>
      <c r="U398" s="2">
        <v>44507</v>
      </c>
      <c r="V398" t="s">
        <v>799</v>
      </c>
    </row>
    <row r="399" spans="1:22">
      <c r="A399" s="1" t="s">
        <v>419</v>
      </c>
      <c r="B399">
        <f>HYPERLINK("https://www.suredividend.com/sure-analysis-PKX/","Posco")</f>
        <v>0</v>
      </c>
      <c r="C399">
        <v>60.07</v>
      </c>
      <c r="D399">
        <v>90</v>
      </c>
      <c r="E399">
        <v>0.6674444444444444</v>
      </c>
      <c r="F399">
        <v>0.02913267854170135</v>
      </c>
      <c r="G399">
        <v>0.08421890476340477</v>
      </c>
      <c r="H399">
        <v>-0.05</v>
      </c>
      <c r="I399">
        <v>0.05468051259881035</v>
      </c>
      <c r="J399" t="s">
        <v>350</v>
      </c>
      <c r="K399" t="s">
        <v>350</v>
      </c>
      <c r="L399">
        <v>9</v>
      </c>
      <c r="M399">
        <v>1.75</v>
      </c>
      <c r="N399">
        <v>0.1944444444444444</v>
      </c>
      <c r="O399">
        <v>0</v>
      </c>
      <c r="P399">
        <v>0</v>
      </c>
      <c r="Q399">
        <v>-0.01611849163283</v>
      </c>
      <c r="R399" t="s">
        <v>784</v>
      </c>
      <c r="S399" t="s">
        <v>794</v>
      </c>
      <c r="T399">
        <v>20949.252714</v>
      </c>
      <c r="U399" s="2">
        <v>44509</v>
      </c>
      <c r="V399" t="s">
        <v>799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9.24</v>
      </c>
      <c r="D400">
        <v>9.75</v>
      </c>
      <c r="E400">
        <v>0.9476923076923077</v>
      </c>
      <c r="F400">
        <v>0.01515151515151515</v>
      </c>
      <c r="G400">
        <v>0.0108030155638934</v>
      </c>
      <c r="H400">
        <v>0.02</v>
      </c>
      <c r="I400">
        <v>0.05399530660432483</v>
      </c>
      <c r="J400" t="s">
        <v>350</v>
      </c>
      <c r="K400" t="s">
        <v>526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-0.047383141881082</v>
      </c>
      <c r="R400" t="s">
        <v>786</v>
      </c>
      <c r="S400" t="s">
        <v>798</v>
      </c>
      <c r="T400">
        <v>1591.354425</v>
      </c>
      <c r="U400" s="2">
        <v>44500</v>
      </c>
      <c r="V400" t="s">
        <v>799</v>
      </c>
    </row>
    <row r="401" spans="1:22">
      <c r="A401" s="1" t="s">
        <v>421</v>
      </c>
      <c r="B401">
        <f>HYPERLINK("https://www.suredividend.com/sure-analysis-BUD/","Anheuser-Busch In Bev SA/NV")</f>
        <v>0</v>
      </c>
      <c r="C401">
        <v>57.93</v>
      </c>
      <c r="D401">
        <v>62</v>
      </c>
      <c r="E401">
        <v>0.9343548387096774</v>
      </c>
      <c r="F401">
        <v>0.009839461418953909</v>
      </c>
      <c r="G401">
        <v>0.01367242426933468</v>
      </c>
      <c r="H401">
        <v>0.03</v>
      </c>
      <c r="I401">
        <v>0.05223433859113347</v>
      </c>
      <c r="J401" t="s">
        <v>350</v>
      </c>
      <c r="K401" t="s">
        <v>782</v>
      </c>
      <c r="L401">
        <v>3.08</v>
      </c>
      <c r="M401">
        <v>0.57</v>
      </c>
      <c r="N401">
        <v>0.185064935064935</v>
      </c>
      <c r="O401">
        <v>0</v>
      </c>
      <c r="P401">
        <v>0</v>
      </c>
      <c r="Q401">
        <v>-0.16131143553016</v>
      </c>
      <c r="R401" t="s">
        <v>784</v>
      </c>
      <c r="S401" t="s">
        <v>795</v>
      </c>
      <c r="T401">
        <v>100567.191388</v>
      </c>
      <c r="U401" s="2">
        <v>44530</v>
      </c>
      <c r="V401" t="s">
        <v>806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201.56</v>
      </c>
      <c r="D402">
        <v>180</v>
      </c>
      <c r="E402">
        <v>1.119777777777778</v>
      </c>
      <c r="F402">
        <v>0.02480650922802143</v>
      </c>
      <c r="G402">
        <v>-0.0223720011542502</v>
      </c>
      <c r="H402">
        <v>0.05</v>
      </c>
      <c r="I402">
        <v>0.0512584409460044</v>
      </c>
      <c r="J402" t="s">
        <v>350</v>
      </c>
      <c r="K402" t="s">
        <v>526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0.440644530468245</v>
      </c>
      <c r="R402" t="s">
        <v>784</v>
      </c>
      <c r="S402" t="s">
        <v>793</v>
      </c>
      <c r="T402">
        <v>85187.481059</v>
      </c>
      <c r="U402" s="2">
        <v>44490</v>
      </c>
      <c r="V402" t="s">
        <v>807</v>
      </c>
    </row>
    <row r="403" spans="1:22">
      <c r="A403" s="1" t="s">
        <v>423</v>
      </c>
      <c r="B403">
        <f>HYPERLINK("https://www.suredividend.com/sure-analysis-PSB/","PS Business Parks, Inc.")</f>
        <v>0</v>
      </c>
      <c r="C403">
        <v>177.24</v>
      </c>
      <c r="D403">
        <v>161</v>
      </c>
      <c r="E403">
        <v>1.100869565217391</v>
      </c>
      <c r="F403">
        <v>0.02369668246445497</v>
      </c>
      <c r="G403">
        <v>-0.01903654829155055</v>
      </c>
      <c r="H403">
        <v>0.045</v>
      </c>
      <c r="I403">
        <v>0.04955583868478119</v>
      </c>
      <c r="J403" t="s">
        <v>350</v>
      </c>
      <c r="K403" t="s">
        <v>350</v>
      </c>
      <c r="L403">
        <v>6.98</v>
      </c>
      <c r="M403">
        <v>4.2</v>
      </c>
      <c r="N403">
        <v>0.6017191977077364</v>
      </c>
      <c r="O403">
        <v>0</v>
      </c>
      <c r="P403">
        <v>0.05997935097636264</v>
      </c>
      <c r="Q403">
        <v>0.36607262598251</v>
      </c>
      <c r="R403" t="s">
        <v>786</v>
      </c>
      <c r="S403" t="s">
        <v>798</v>
      </c>
      <c r="T403">
        <v>4883.067458</v>
      </c>
      <c r="U403" s="2">
        <v>44513</v>
      </c>
      <c r="V403" t="s">
        <v>799</v>
      </c>
    </row>
    <row r="404" spans="1:22">
      <c r="A404" s="1" t="s">
        <v>424</v>
      </c>
      <c r="B404">
        <f>HYPERLINK("https://www.suredividend.com/sure-analysis-USB/","U.S. Bancorp.")</f>
        <v>0</v>
      </c>
      <c r="C404">
        <v>57.77</v>
      </c>
      <c r="D404">
        <v>62</v>
      </c>
      <c r="E404">
        <v>0.9317741935483872</v>
      </c>
      <c r="F404">
        <v>0.03185044140557382</v>
      </c>
      <c r="G404">
        <v>0.01423329741372381</v>
      </c>
      <c r="H404">
        <v>0</v>
      </c>
      <c r="I404">
        <v>0.04787606989900728</v>
      </c>
      <c r="J404" t="s">
        <v>350</v>
      </c>
      <c r="K404" t="s">
        <v>350</v>
      </c>
      <c r="L404">
        <v>5.15</v>
      </c>
      <c r="M404">
        <v>1.84</v>
      </c>
      <c r="N404">
        <v>0.3572815533980582</v>
      </c>
      <c r="O404">
        <v>10</v>
      </c>
      <c r="P404">
        <v>0.05979888147511248</v>
      </c>
      <c r="Q404">
        <v>0.300839004003621</v>
      </c>
      <c r="R404" t="s">
        <v>784</v>
      </c>
      <c r="S404" t="s">
        <v>793</v>
      </c>
      <c r="T404">
        <v>85661.22191599999</v>
      </c>
      <c r="U404" s="2">
        <v>44491</v>
      </c>
      <c r="V404" t="s">
        <v>804</v>
      </c>
    </row>
    <row r="405" spans="1:22">
      <c r="A405" s="1" t="s">
        <v>425</v>
      </c>
      <c r="B405">
        <f>HYPERLINK("https://www.suredividend.com/sure-analysis-COP/","Conoco Phillips")</f>
        <v>0</v>
      </c>
      <c r="C405">
        <v>73.5</v>
      </c>
      <c r="D405">
        <v>74</v>
      </c>
      <c r="E405">
        <v>0.9932432432432432</v>
      </c>
      <c r="F405">
        <v>0.02503401360544218</v>
      </c>
      <c r="G405">
        <v>0.001356857095825781</v>
      </c>
      <c r="H405">
        <v>0.02</v>
      </c>
      <c r="I405">
        <v>0.0454320193669302</v>
      </c>
      <c r="J405" t="s">
        <v>350</v>
      </c>
      <c r="K405" t="s">
        <v>526</v>
      </c>
      <c r="L405">
        <v>5.8</v>
      </c>
      <c r="M405">
        <v>1.84</v>
      </c>
      <c r="N405">
        <v>0.3172413793103449</v>
      </c>
      <c r="O405">
        <v>6</v>
      </c>
      <c r="P405">
        <v>0.03066894385040531</v>
      </c>
      <c r="Q405">
        <v>0.7425469306846171</v>
      </c>
      <c r="R405" t="s">
        <v>784</v>
      </c>
      <c r="S405" t="s">
        <v>797</v>
      </c>
      <c r="T405">
        <v>96929.405256</v>
      </c>
      <c r="U405" s="2">
        <v>44504</v>
      </c>
      <c r="V405" t="s">
        <v>807</v>
      </c>
    </row>
    <row r="406" spans="1:22">
      <c r="A406" s="1" t="s">
        <v>426</v>
      </c>
      <c r="B406">
        <f>HYPERLINK("https://www.suredividend.com/sure-analysis-AGM/","Federal Agricultural Mortgage Corp.")</f>
        <v>0</v>
      </c>
      <c r="C406">
        <v>121.5</v>
      </c>
      <c r="D406">
        <v>94</v>
      </c>
      <c r="E406">
        <v>1.292553191489362</v>
      </c>
      <c r="F406">
        <v>0.02897119341563786</v>
      </c>
      <c r="G406">
        <v>-0.05002907118402455</v>
      </c>
      <c r="H406">
        <v>0.065</v>
      </c>
      <c r="I406">
        <v>0.04454958644104323</v>
      </c>
      <c r="J406" t="s">
        <v>350</v>
      </c>
      <c r="K406" t="s">
        <v>350</v>
      </c>
      <c r="L406">
        <v>10.46</v>
      </c>
      <c r="M406">
        <v>3.52</v>
      </c>
      <c r="N406">
        <v>0.3365200764818355</v>
      </c>
      <c r="O406">
        <v>10</v>
      </c>
      <c r="P406">
        <v>0.0799150058822331</v>
      </c>
      <c r="Q406">
        <v>0.648491065528503</v>
      </c>
      <c r="R406" t="s">
        <v>784</v>
      </c>
      <c r="S406" t="s">
        <v>793</v>
      </c>
      <c r="T406">
        <v>1241.287533</v>
      </c>
      <c r="U406" s="2">
        <v>44513</v>
      </c>
      <c r="V406" t="s">
        <v>805</v>
      </c>
    </row>
    <row r="407" spans="1:22">
      <c r="A407" s="1" t="s">
        <v>427</v>
      </c>
      <c r="B407">
        <f>HYPERLINK("https://www.suredividend.com/sure-analysis-HAL/","Halliburton Co.")</f>
        <v>0</v>
      </c>
      <c r="C407">
        <v>23.94</v>
      </c>
      <c r="D407">
        <v>14</v>
      </c>
      <c r="E407">
        <v>1.71</v>
      </c>
      <c r="F407">
        <v>0.007518796992481203</v>
      </c>
      <c r="G407">
        <v>-0.1017426532859702</v>
      </c>
      <c r="H407">
        <v>0.149</v>
      </c>
      <c r="I407">
        <v>0.04370525592244734</v>
      </c>
      <c r="J407" t="s">
        <v>350</v>
      </c>
      <c r="K407" t="s">
        <v>782</v>
      </c>
      <c r="L407">
        <v>1.1</v>
      </c>
      <c r="M407">
        <v>0.18</v>
      </c>
      <c r="N407">
        <v>0.1636363636363636</v>
      </c>
      <c r="O407">
        <v>0</v>
      </c>
      <c r="P407">
        <v>0.2011244339814313</v>
      </c>
      <c r="Q407">
        <v>0.214159956568285</v>
      </c>
      <c r="R407" t="s">
        <v>784</v>
      </c>
      <c r="S407" t="s">
        <v>797</v>
      </c>
      <c r="T407">
        <v>21309.649733</v>
      </c>
      <c r="U407" s="2">
        <v>44491</v>
      </c>
      <c r="V407" t="s">
        <v>807</v>
      </c>
    </row>
    <row r="408" spans="1:22">
      <c r="A408" s="1" t="s">
        <v>428</v>
      </c>
      <c r="B408">
        <f>HYPERLINK("https://www.suredividend.com/sure-analysis-BWA/","BorgWarner Inc")</f>
        <v>0</v>
      </c>
      <c r="C408">
        <v>46.08</v>
      </c>
      <c r="D408">
        <v>42</v>
      </c>
      <c r="E408">
        <v>1.097142857142857</v>
      </c>
      <c r="F408">
        <v>0.01475694444444445</v>
      </c>
      <c r="G408">
        <v>-0.01837103651787075</v>
      </c>
      <c r="H408">
        <v>0.05</v>
      </c>
      <c r="I408">
        <v>0.04346600911446075</v>
      </c>
      <c r="J408" t="s">
        <v>350</v>
      </c>
      <c r="K408" t="s">
        <v>526</v>
      </c>
      <c r="L408">
        <v>3.8</v>
      </c>
      <c r="M408">
        <v>0.68</v>
      </c>
      <c r="N408">
        <v>0.1789473684210527</v>
      </c>
      <c r="O408">
        <v>0</v>
      </c>
      <c r="P408">
        <v>0</v>
      </c>
      <c r="Q408">
        <v>0.280376636947773</v>
      </c>
      <c r="R408" t="s">
        <v>784</v>
      </c>
      <c r="S408" t="s">
        <v>792</v>
      </c>
      <c r="T408">
        <v>11046.262639</v>
      </c>
      <c r="U408" s="2">
        <v>44506</v>
      </c>
      <c r="V408" t="s">
        <v>800</v>
      </c>
    </row>
    <row r="409" spans="1:22">
      <c r="A409" s="1" t="s">
        <v>429</v>
      </c>
      <c r="B409">
        <f>HYPERLINK("https://www.suredividend.com/sure-analysis-WEC/","WEC Energy Group Inc")</f>
        <v>0</v>
      </c>
      <c r="C409">
        <v>93.48</v>
      </c>
      <c r="D409">
        <v>77</v>
      </c>
      <c r="E409">
        <v>1.214025974025974</v>
      </c>
      <c r="F409">
        <v>0.03112965340179718</v>
      </c>
      <c r="G409">
        <v>-0.03804577976625856</v>
      </c>
      <c r="H409">
        <v>0.052</v>
      </c>
      <c r="I409">
        <v>0.04314182868670913</v>
      </c>
      <c r="J409" t="s">
        <v>350</v>
      </c>
      <c r="K409" t="s">
        <v>781</v>
      </c>
      <c r="L409">
        <v>4.06</v>
      </c>
      <c r="M409">
        <v>2.91</v>
      </c>
      <c r="N409">
        <v>0.7167487684729065</v>
      </c>
      <c r="O409">
        <v>18</v>
      </c>
      <c r="P409">
        <v>0.03701846058818714</v>
      </c>
      <c r="Q409">
        <v>0.043994518693733</v>
      </c>
      <c r="R409" t="s">
        <v>784</v>
      </c>
      <c r="S409" t="s">
        <v>796</v>
      </c>
      <c r="T409">
        <v>29486.819958</v>
      </c>
      <c r="U409" s="2">
        <v>44502</v>
      </c>
      <c r="V409" t="s">
        <v>800</v>
      </c>
    </row>
    <row r="410" spans="1:22">
      <c r="A410" s="1" t="s">
        <v>430</v>
      </c>
      <c r="B410">
        <f>HYPERLINK("https://www.suredividend.com/sure-analysis-WPC/","W. P. Carey Inc")</f>
        <v>0</v>
      </c>
      <c r="C410">
        <v>79.25</v>
      </c>
      <c r="D410">
        <v>62</v>
      </c>
      <c r="E410">
        <v>1.278225806451613</v>
      </c>
      <c r="F410">
        <v>0.05324921135646687</v>
      </c>
      <c r="G410">
        <v>-0.04790894765281462</v>
      </c>
      <c r="H410">
        <v>0.035</v>
      </c>
      <c r="I410">
        <v>0.03911428889696822</v>
      </c>
      <c r="J410" t="s">
        <v>350</v>
      </c>
      <c r="K410" t="s">
        <v>780</v>
      </c>
      <c r="L410">
        <v>4.98</v>
      </c>
      <c r="M410">
        <v>4.22</v>
      </c>
      <c r="N410">
        <v>0.8473895582329316</v>
      </c>
      <c r="O410">
        <v>23</v>
      </c>
      <c r="P410">
        <v>0.01959594688439426</v>
      </c>
      <c r="Q410">
        <v>0.220325307160114</v>
      </c>
      <c r="R410" t="s">
        <v>786</v>
      </c>
      <c r="S410" t="s">
        <v>798</v>
      </c>
      <c r="T410">
        <v>14763.082684</v>
      </c>
      <c r="U410" s="2">
        <v>44533</v>
      </c>
      <c r="V410" t="s">
        <v>803</v>
      </c>
    </row>
    <row r="411" spans="1:22">
      <c r="A411" s="1" t="s">
        <v>431</v>
      </c>
      <c r="B411">
        <f>HYPERLINK("https://www.suredividend.com/sure-analysis-HOG/","Harley-Davidson, Inc.")</f>
        <v>0</v>
      </c>
      <c r="C411">
        <v>36.82</v>
      </c>
      <c r="D411">
        <v>47</v>
      </c>
      <c r="E411">
        <v>0.7834042553191489</v>
      </c>
      <c r="F411">
        <v>0.01629549158066268</v>
      </c>
      <c r="G411">
        <v>0.05003267757064989</v>
      </c>
      <c r="H411">
        <v>-0.036</v>
      </c>
      <c r="I411">
        <v>0.03862788662626904</v>
      </c>
      <c r="J411" t="s">
        <v>350</v>
      </c>
      <c r="K411" t="s">
        <v>526</v>
      </c>
      <c r="L411">
        <v>3.6</v>
      </c>
      <c r="M411">
        <v>0.6</v>
      </c>
      <c r="N411">
        <v>0.1666666666666667</v>
      </c>
      <c r="O411">
        <v>0</v>
      </c>
      <c r="P411">
        <v>0.2011244339814313</v>
      </c>
      <c r="Q411">
        <v>-0.01784737545659</v>
      </c>
      <c r="R411" t="s">
        <v>784</v>
      </c>
      <c r="S411" t="s">
        <v>790</v>
      </c>
      <c r="T411">
        <v>5663.071002</v>
      </c>
      <c r="U411" s="2">
        <v>44503</v>
      </c>
      <c r="V411" t="s">
        <v>808</v>
      </c>
    </row>
    <row r="412" spans="1:22">
      <c r="A412" s="1" t="s">
        <v>432</v>
      </c>
      <c r="B412">
        <f>HYPERLINK("https://www.suredividend.com/sure-analysis-WY/","Weyerhaeuser Co.")</f>
        <v>0</v>
      </c>
      <c r="C412">
        <v>40.02</v>
      </c>
      <c r="D412">
        <v>55.8</v>
      </c>
      <c r="E412">
        <v>0.7172043010752689</v>
      </c>
      <c r="F412">
        <v>0.01699150424787606</v>
      </c>
      <c r="G412">
        <v>0.06873842205616931</v>
      </c>
      <c r="H412">
        <v>-0.053</v>
      </c>
      <c r="I412">
        <v>0.0359621399562835</v>
      </c>
      <c r="J412" t="s">
        <v>350</v>
      </c>
      <c r="K412" t="s">
        <v>526</v>
      </c>
      <c r="L412">
        <v>3.28</v>
      </c>
      <c r="M412">
        <v>0.68</v>
      </c>
      <c r="N412">
        <v>0.2073170731707317</v>
      </c>
      <c r="O412">
        <v>0</v>
      </c>
      <c r="P412">
        <v>0.1486983549970351</v>
      </c>
      <c r="Q412">
        <v>0.292443629176543</v>
      </c>
      <c r="R412" t="s">
        <v>786</v>
      </c>
      <c r="S412" t="s">
        <v>798</v>
      </c>
      <c r="T412">
        <v>29976.7809</v>
      </c>
      <c r="U412" s="2">
        <v>44506</v>
      </c>
      <c r="V412" t="s">
        <v>808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44.53</v>
      </c>
      <c r="D413">
        <v>39</v>
      </c>
      <c r="E413">
        <v>1.141794871794872</v>
      </c>
      <c r="F413">
        <v>0.01886368740175163</v>
      </c>
      <c r="G413">
        <v>-0.02617171986015221</v>
      </c>
      <c r="H413">
        <v>0.04</v>
      </c>
      <c r="I413">
        <v>0.03576357421325338</v>
      </c>
      <c r="J413" t="s">
        <v>350</v>
      </c>
      <c r="K413" t="s">
        <v>526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0.588275586506079</v>
      </c>
      <c r="R413" t="s">
        <v>784</v>
      </c>
      <c r="S413" t="s">
        <v>793</v>
      </c>
      <c r="T413">
        <v>364355.421105</v>
      </c>
      <c r="U413" s="2">
        <v>44485</v>
      </c>
      <c r="V413" t="s">
        <v>804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45.44</v>
      </c>
      <c r="D414">
        <v>39.1</v>
      </c>
      <c r="E414">
        <v>1.162148337595908</v>
      </c>
      <c r="F414">
        <v>0.0466549295774648</v>
      </c>
      <c r="G414">
        <v>-0.02960692875937454</v>
      </c>
      <c r="H414">
        <v>0.015</v>
      </c>
      <c r="I414">
        <v>0.03225249839542244</v>
      </c>
      <c r="J414" t="s">
        <v>350</v>
      </c>
      <c r="K414" t="s">
        <v>781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0.193487299498598</v>
      </c>
      <c r="R414" t="s">
        <v>786</v>
      </c>
      <c r="S414" t="s">
        <v>798</v>
      </c>
      <c r="T414">
        <v>7980.031572</v>
      </c>
      <c r="U414" s="2">
        <v>44506</v>
      </c>
      <c r="V414" t="s">
        <v>808</v>
      </c>
    </row>
    <row r="415" spans="1:22">
      <c r="A415" s="1" t="s">
        <v>435</v>
      </c>
      <c r="B415">
        <f>HYPERLINK("https://www.suredividend.com/sure-analysis-DUK/","Duke Energy Corp.")</f>
        <v>0</v>
      </c>
      <c r="C415">
        <v>101.52</v>
      </c>
      <c r="D415">
        <v>78.3</v>
      </c>
      <c r="E415">
        <v>1.296551724137931</v>
      </c>
      <c r="F415">
        <v>0.03881008668242711</v>
      </c>
      <c r="G415">
        <v>-0.05061573258302321</v>
      </c>
      <c r="H415">
        <v>0.043</v>
      </c>
      <c r="I415">
        <v>0.03053611716425975</v>
      </c>
      <c r="J415" t="s">
        <v>350</v>
      </c>
      <c r="K415" t="s">
        <v>781</v>
      </c>
      <c r="L415">
        <v>5.22</v>
      </c>
      <c r="M415">
        <v>3.94</v>
      </c>
      <c r="N415">
        <v>0.7547892720306514</v>
      </c>
      <c r="O415">
        <v>10</v>
      </c>
      <c r="P415">
        <v>0.02693571566003095</v>
      </c>
      <c r="Q415">
        <v>0.152872926168886</v>
      </c>
      <c r="R415" t="s">
        <v>784</v>
      </c>
      <c r="S415" t="s">
        <v>796</v>
      </c>
      <c r="T415">
        <v>78095.459573</v>
      </c>
      <c r="U415" s="2">
        <v>44509</v>
      </c>
      <c r="V415" t="s">
        <v>808</v>
      </c>
    </row>
    <row r="416" spans="1:22">
      <c r="A416" s="1" t="s">
        <v>436</v>
      </c>
      <c r="B416">
        <f>HYPERLINK("https://www.suredividend.com/sure-analysis-GNTX/","Gentex Corp.")</f>
        <v>0</v>
      </c>
      <c r="C416">
        <v>35.25</v>
      </c>
      <c r="D416">
        <v>26</v>
      </c>
      <c r="E416">
        <v>1.355769230769231</v>
      </c>
      <c r="F416">
        <v>0.01361702127659574</v>
      </c>
      <c r="G416">
        <v>-0.05905801918969955</v>
      </c>
      <c r="H416">
        <v>0.075</v>
      </c>
      <c r="I416">
        <v>0.02699138516641875</v>
      </c>
      <c r="J416" t="s">
        <v>350</v>
      </c>
      <c r="K416" t="s">
        <v>782</v>
      </c>
      <c r="L416">
        <v>1.55</v>
      </c>
      <c r="M416">
        <v>0.48</v>
      </c>
      <c r="N416">
        <v>0.3096774193548387</v>
      </c>
      <c r="O416">
        <v>10</v>
      </c>
      <c r="P416">
        <v>0.06897294358221773</v>
      </c>
      <c r="Q416">
        <v>0.076924486971504</v>
      </c>
      <c r="R416" t="s">
        <v>784</v>
      </c>
      <c r="S416" t="s">
        <v>792</v>
      </c>
      <c r="T416">
        <v>8337.332855000001</v>
      </c>
      <c r="U416" s="2">
        <v>44493</v>
      </c>
      <c r="V416" t="s">
        <v>805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171.8</v>
      </c>
      <c r="D417">
        <v>135</v>
      </c>
      <c r="E417">
        <v>1.272592592592593</v>
      </c>
      <c r="F417">
        <v>0.01245634458672875</v>
      </c>
      <c r="G417">
        <v>-0.04706753756912063</v>
      </c>
      <c r="H417">
        <v>0.062</v>
      </c>
      <c r="I417">
        <v>0.025812806748996</v>
      </c>
      <c r="J417" t="s">
        <v>350</v>
      </c>
      <c r="K417" t="s">
        <v>782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0.510887536496992</v>
      </c>
      <c r="R417" t="s">
        <v>784</v>
      </c>
      <c r="S417" t="s">
        <v>793</v>
      </c>
      <c r="T417">
        <v>86741.024051</v>
      </c>
      <c r="U417" s="2">
        <v>44505</v>
      </c>
      <c r="V417" t="s">
        <v>805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44.92</v>
      </c>
      <c r="D418">
        <v>50</v>
      </c>
      <c r="E418">
        <v>0.8984000000000001</v>
      </c>
      <c r="F418">
        <v>0.02226179875333927</v>
      </c>
      <c r="G418">
        <v>0.02165920279726263</v>
      </c>
      <c r="H418">
        <v>-0.02</v>
      </c>
      <c r="I418">
        <v>0.02574740255212871</v>
      </c>
      <c r="J418" t="s">
        <v>350</v>
      </c>
      <c r="K418" t="s">
        <v>526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0.845370142141155</v>
      </c>
      <c r="R418" t="s">
        <v>784</v>
      </c>
      <c r="S418" t="s">
        <v>793</v>
      </c>
      <c r="T418">
        <v>5267.22096</v>
      </c>
      <c r="U418" s="2">
        <v>44493</v>
      </c>
      <c r="V418" t="s">
        <v>804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391.09</v>
      </c>
      <c r="D419">
        <v>671</v>
      </c>
      <c r="E419">
        <v>0.5828464977645306</v>
      </c>
      <c r="F419">
        <v>0.02045564959472244</v>
      </c>
      <c r="G419">
        <v>0.1140101857763087</v>
      </c>
      <c r="H419">
        <v>-0.1</v>
      </c>
      <c r="I419">
        <v>0.02443924779152362</v>
      </c>
      <c r="J419" t="s">
        <v>350</v>
      </c>
      <c r="K419" t="s">
        <v>526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0.6580898767308161</v>
      </c>
      <c r="R419" t="s">
        <v>784</v>
      </c>
      <c r="S419" t="s">
        <v>793</v>
      </c>
      <c r="T419">
        <v>130924.142759</v>
      </c>
      <c r="U419" s="2">
        <v>44485</v>
      </c>
      <c r="V419" t="s">
        <v>804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84.54000000000001</v>
      </c>
      <c r="D420">
        <v>83</v>
      </c>
      <c r="E420">
        <v>1.01855421686747</v>
      </c>
      <c r="F420">
        <v>0.03217411876035013</v>
      </c>
      <c r="G420">
        <v>-0.003670086178524601</v>
      </c>
      <c r="H420">
        <v>-0.01</v>
      </c>
      <c r="I420">
        <v>0.02099892415778726</v>
      </c>
      <c r="J420" t="s">
        <v>350</v>
      </c>
      <c r="K420" t="s">
        <v>350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0.6716799265908441</v>
      </c>
      <c r="R420" t="s">
        <v>784</v>
      </c>
      <c r="S420" t="s">
        <v>793</v>
      </c>
      <c r="T420">
        <v>11085.996568</v>
      </c>
      <c r="U420" s="2">
        <v>44490</v>
      </c>
      <c r="V420" t="s">
        <v>801</v>
      </c>
    </row>
    <row r="421" spans="1:22">
      <c r="A421" s="1" t="s">
        <v>441</v>
      </c>
      <c r="B421">
        <f>HYPERLINK("https://www.suredividend.com/sure-analysis-FITB/","Fifth Third Bancorp")</f>
        <v>0</v>
      </c>
      <c r="C421">
        <v>43.76</v>
      </c>
      <c r="D421">
        <v>36</v>
      </c>
      <c r="E421">
        <v>1.215555555555556</v>
      </c>
      <c r="F421">
        <v>0.02742230347349177</v>
      </c>
      <c r="G421">
        <v>-0.03828799470451172</v>
      </c>
      <c r="H421">
        <v>0.03</v>
      </c>
      <c r="I421">
        <v>0.01990761671630792</v>
      </c>
      <c r="J421" t="s">
        <v>350</v>
      </c>
      <c r="K421" t="s">
        <v>350</v>
      </c>
      <c r="L421">
        <v>3.64</v>
      </c>
      <c r="M421">
        <v>1.2</v>
      </c>
      <c r="N421">
        <v>0.3296703296703297</v>
      </c>
      <c r="O421">
        <v>11</v>
      </c>
      <c r="P421">
        <v>0.02983277847878951</v>
      </c>
      <c r="Q421">
        <v>0.6512272890213761</v>
      </c>
      <c r="R421" t="s">
        <v>784</v>
      </c>
      <c r="S421" t="s">
        <v>793</v>
      </c>
      <c r="T421">
        <v>29921.218835</v>
      </c>
      <c r="U421" s="2">
        <v>44488</v>
      </c>
      <c r="V421" t="s">
        <v>800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112.15</v>
      </c>
      <c r="D422">
        <v>84</v>
      </c>
      <c r="E422">
        <v>1.335119047619048</v>
      </c>
      <c r="F422">
        <v>0.01319661168078466</v>
      </c>
      <c r="G422">
        <v>-0.05616516628023427</v>
      </c>
      <c r="H422">
        <v>0.06</v>
      </c>
      <c r="I422">
        <v>0.01714593098481831</v>
      </c>
      <c r="J422" t="s">
        <v>350</v>
      </c>
      <c r="K422" t="s">
        <v>526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0.313864166478246</v>
      </c>
      <c r="R422" t="s">
        <v>784</v>
      </c>
      <c r="S422" t="s">
        <v>792</v>
      </c>
      <c r="T422">
        <v>7568.667947</v>
      </c>
      <c r="U422" s="2">
        <v>44502</v>
      </c>
      <c r="V422" t="s">
        <v>801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11.94</v>
      </c>
      <c r="D423">
        <v>10</v>
      </c>
      <c r="E423">
        <v>1.194</v>
      </c>
      <c r="F423">
        <v>0.003350083752093802</v>
      </c>
      <c r="G423">
        <v>-0.03484040026713719</v>
      </c>
      <c r="H423">
        <v>0.05</v>
      </c>
      <c r="I423">
        <v>0.01703014972023831</v>
      </c>
      <c r="J423" t="s">
        <v>350</v>
      </c>
      <c r="K423" t="s">
        <v>782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0.224828944533918</v>
      </c>
      <c r="R423" t="s">
        <v>784</v>
      </c>
      <c r="S423" t="s">
        <v>792</v>
      </c>
      <c r="T423">
        <v>3142.873164</v>
      </c>
      <c r="U423" s="2">
        <v>44513</v>
      </c>
      <c r="V423" t="s">
        <v>805</v>
      </c>
    </row>
    <row r="424" spans="1:22">
      <c r="A424" s="1" t="s">
        <v>444</v>
      </c>
      <c r="B424">
        <f>HYPERLINK("https://www.suredividend.com/sure-analysis-STZ/","Constellation Brands Inc")</f>
        <v>0</v>
      </c>
      <c r="C424">
        <v>235.32</v>
      </c>
      <c r="D424">
        <v>185</v>
      </c>
      <c r="E424">
        <v>1.272</v>
      </c>
      <c r="F424">
        <v>0.01291857895631481</v>
      </c>
      <c r="G424">
        <v>-0.04697876468925011</v>
      </c>
      <c r="H424">
        <v>0.05</v>
      </c>
      <c r="I424">
        <v>0.01519509248823603</v>
      </c>
      <c r="J424" t="s">
        <v>350</v>
      </c>
      <c r="K424" t="s">
        <v>782</v>
      </c>
      <c r="L424">
        <v>10.3</v>
      </c>
      <c r="M424">
        <v>3.04</v>
      </c>
      <c r="N424">
        <v>0.2951456310679612</v>
      </c>
      <c r="O424">
        <v>6</v>
      </c>
      <c r="P424">
        <v>0.05000563166277994</v>
      </c>
      <c r="Q424">
        <v>0.161735593086458</v>
      </c>
      <c r="R424" t="s">
        <v>784</v>
      </c>
      <c r="S424" t="s">
        <v>795</v>
      </c>
      <c r="T424">
        <v>43855.572879</v>
      </c>
      <c r="U424" s="2">
        <v>44475</v>
      </c>
      <c r="V424" t="s">
        <v>801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124.25</v>
      </c>
      <c r="D425">
        <v>86</v>
      </c>
      <c r="E425">
        <v>1.444767441860465</v>
      </c>
      <c r="F425">
        <v>0.02124748490945674</v>
      </c>
      <c r="G425">
        <v>-0.07094716959030289</v>
      </c>
      <c r="H425">
        <v>0.06</v>
      </c>
      <c r="I425">
        <v>0.009718606509971695</v>
      </c>
      <c r="J425" t="s">
        <v>350</v>
      </c>
      <c r="K425" t="s">
        <v>526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0.387122811443958</v>
      </c>
      <c r="R425" t="s">
        <v>784</v>
      </c>
      <c r="S425" t="s">
        <v>792</v>
      </c>
      <c r="T425">
        <v>44803.399072</v>
      </c>
      <c r="U425" s="2">
        <v>44472</v>
      </c>
      <c r="V425" t="s">
        <v>800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81.29000000000001</v>
      </c>
      <c r="D426">
        <v>67</v>
      </c>
      <c r="E426">
        <v>1.213283582089552</v>
      </c>
      <c r="F426">
        <v>0.01156353795054742</v>
      </c>
      <c r="G426">
        <v>-0.03792808719377294</v>
      </c>
      <c r="H426">
        <v>0.03</v>
      </c>
      <c r="I426">
        <v>0.006517306086782693</v>
      </c>
      <c r="J426" t="s">
        <v>350</v>
      </c>
      <c r="K426" t="s">
        <v>526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-0.085719041652701</v>
      </c>
      <c r="R426" t="s">
        <v>784</v>
      </c>
      <c r="S426" t="s">
        <v>791</v>
      </c>
      <c r="T426">
        <v>14071.83714</v>
      </c>
      <c r="U426" s="2">
        <v>44495</v>
      </c>
      <c r="V426" t="s">
        <v>800</v>
      </c>
    </row>
    <row r="427" spans="1:22">
      <c r="A427" s="1" t="s">
        <v>447</v>
      </c>
      <c r="B427">
        <f>HYPERLINK("https://www.suredividend.com/sure-analysis-DLR/","Digital Realty Trust Inc")</f>
        <v>0</v>
      </c>
      <c r="C427">
        <v>167.11</v>
      </c>
      <c r="D427">
        <v>104</v>
      </c>
      <c r="E427">
        <v>1.606826923076923</v>
      </c>
      <c r="F427">
        <v>0.02776614206211477</v>
      </c>
      <c r="G427">
        <v>-0.09049271923311208</v>
      </c>
      <c r="H427">
        <v>0.06</v>
      </c>
      <c r="I427">
        <v>-0.0002482225579678587</v>
      </c>
      <c r="J427" t="s">
        <v>350</v>
      </c>
      <c r="K427" t="s">
        <v>350</v>
      </c>
      <c r="L427">
        <v>6.52</v>
      </c>
      <c r="M427">
        <v>4.64</v>
      </c>
      <c r="N427">
        <v>0.7116564417177914</v>
      </c>
      <c r="O427">
        <v>17</v>
      </c>
      <c r="P427">
        <v>0.06002162190703619</v>
      </c>
      <c r="Q427">
        <v>0.324401483076035</v>
      </c>
      <c r="R427" t="s">
        <v>786</v>
      </c>
      <c r="S427" t="s">
        <v>798</v>
      </c>
      <c r="T427">
        <v>47420.883898</v>
      </c>
      <c r="U427" s="2">
        <v>44497</v>
      </c>
      <c r="V427" t="s">
        <v>801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348</v>
      </c>
      <c r="D428">
        <v>242</v>
      </c>
      <c r="E428">
        <v>1.43801652892562</v>
      </c>
      <c r="F428">
        <v>0.02298850574712644</v>
      </c>
      <c r="G428">
        <v>-0.07007649669024041</v>
      </c>
      <c r="H428">
        <v>0.04</v>
      </c>
      <c r="I428">
        <v>-0.00494251380503663</v>
      </c>
      <c r="J428" t="s">
        <v>350</v>
      </c>
      <c r="K428" t="s">
        <v>526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0.630236960563724</v>
      </c>
      <c r="R428" t="s">
        <v>786</v>
      </c>
      <c r="S428" t="s">
        <v>798</v>
      </c>
      <c r="T428">
        <v>61023.38688</v>
      </c>
      <c r="U428" s="2">
        <v>44502</v>
      </c>
      <c r="V428" t="s">
        <v>800</v>
      </c>
    </row>
    <row r="429" spans="1:22">
      <c r="A429" s="1" t="s">
        <v>449</v>
      </c>
      <c r="B429">
        <f>HYPERLINK("https://www.suredividend.com/sure-analysis-OLN/","Olin Corp.")</f>
        <v>0</v>
      </c>
      <c r="C429">
        <v>57.69</v>
      </c>
      <c r="D429">
        <v>45</v>
      </c>
      <c r="E429">
        <v>1.282</v>
      </c>
      <c r="F429">
        <v>0.01386722135552089</v>
      </c>
      <c r="G429">
        <v>-0.04847019803355079</v>
      </c>
      <c r="H429">
        <v>0.03</v>
      </c>
      <c r="I429">
        <v>-0.005335419339066449</v>
      </c>
      <c r="J429" t="s">
        <v>350</v>
      </c>
      <c r="K429" t="s">
        <v>526</v>
      </c>
      <c r="L429">
        <v>14.94</v>
      </c>
      <c r="M429">
        <v>0.8</v>
      </c>
      <c r="N429">
        <v>0.05354752342704151</v>
      </c>
      <c r="O429">
        <v>0</v>
      </c>
      <c r="P429">
        <v>0</v>
      </c>
      <c r="Q429">
        <v>1.464857936338389</v>
      </c>
      <c r="R429" t="s">
        <v>784</v>
      </c>
      <c r="S429" t="s">
        <v>794</v>
      </c>
      <c r="T429">
        <v>9257.055376</v>
      </c>
      <c r="U429" s="2">
        <v>44515</v>
      </c>
      <c r="V429" t="s">
        <v>805</v>
      </c>
    </row>
    <row r="430" spans="1:22">
      <c r="A430" s="1" t="s">
        <v>450</v>
      </c>
      <c r="B430">
        <f>HYPERLINK("https://www.suredividend.com/sure-analysis-DEO/","Diageo plc")</f>
        <v>0</v>
      </c>
      <c r="C430">
        <v>209.95</v>
      </c>
      <c r="D430">
        <v>123</v>
      </c>
      <c r="E430">
        <v>1.706910569105691</v>
      </c>
      <c r="F430">
        <v>0.01914741605144082</v>
      </c>
      <c r="G430">
        <v>-0.1014177274108601</v>
      </c>
      <c r="H430">
        <v>0.08</v>
      </c>
      <c r="I430">
        <v>-0.005685422686397379</v>
      </c>
      <c r="J430" t="s">
        <v>350</v>
      </c>
      <c r="K430" t="s">
        <v>526</v>
      </c>
      <c r="L430">
        <v>6.15</v>
      </c>
      <c r="M430">
        <v>4.02</v>
      </c>
      <c r="N430">
        <v>0.6536585365853658</v>
      </c>
      <c r="O430">
        <v>8</v>
      </c>
      <c r="P430">
        <v>0.04997331683701267</v>
      </c>
      <c r="Q430">
        <v>0.345473120340146</v>
      </c>
      <c r="R430" t="s">
        <v>784</v>
      </c>
      <c r="S430" t="s">
        <v>795</v>
      </c>
      <c r="T430">
        <v>122277.434184</v>
      </c>
      <c r="U430" s="2">
        <v>44422</v>
      </c>
      <c r="V430" t="s">
        <v>800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135.75</v>
      </c>
      <c r="D431">
        <v>90</v>
      </c>
      <c r="E431">
        <v>1.508333333333333</v>
      </c>
      <c r="F431">
        <v>0.02209944751381215</v>
      </c>
      <c r="G431">
        <v>-0.07891325150216077</v>
      </c>
      <c r="H431">
        <v>0.05</v>
      </c>
      <c r="I431">
        <v>-0.006330815961265168</v>
      </c>
      <c r="J431" t="s">
        <v>350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0.199204946996466</v>
      </c>
      <c r="R431" t="s">
        <v>784</v>
      </c>
      <c r="S431" t="s">
        <v>795</v>
      </c>
      <c r="T431">
        <v>382136.25</v>
      </c>
      <c r="U431" s="2">
        <v>44516</v>
      </c>
      <c r="V431" t="s">
        <v>807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36.75</v>
      </c>
      <c r="D432">
        <v>21</v>
      </c>
      <c r="E432">
        <v>1.75</v>
      </c>
      <c r="F432">
        <v>0.02312925170068027</v>
      </c>
      <c r="G432">
        <v>-0.1058870393420188</v>
      </c>
      <c r="H432">
        <v>0.08</v>
      </c>
      <c r="I432">
        <v>-0.006639177048015088</v>
      </c>
      <c r="J432" t="s">
        <v>350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0.412170890748031</v>
      </c>
      <c r="R432" t="s">
        <v>784</v>
      </c>
      <c r="S432" t="s">
        <v>792</v>
      </c>
      <c r="T432">
        <v>75412.135737</v>
      </c>
      <c r="U432" s="2">
        <v>44494</v>
      </c>
      <c r="V432" t="s">
        <v>807</v>
      </c>
    </row>
    <row r="433" spans="1:22">
      <c r="A433" s="1" t="s">
        <v>453</v>
      </c>
      <c r="B433">
        <f>HYPERLINK("https://www.suredividend.com/sure-analysis-OGZPY/","Gazprom")</f>
        <v>0</v>
      </c>
      <c r="C433">
        <v>9</v>
      </c>
      <c r="D433">
        <v>6.5</v>
      </c>
      <c r="E433">
        <v>1.384615384615385</v>
      </c>
      <c r="F433">
        <v>0.03777777777777778</v>
      </c>
      <c r="G433">
        <v>-0.06301169681958063</v>
      </c>
      <c r="H433">
        <v>0</v>
      </c>
      <c r="I433">
        <v>-0.007778265063315359</v>
      </c>
      <c r="J433" t="s">
        <v>350</v>
      </c>
      <c r="K433" t="s">
        <v>350</v>
      </c>
      <c r="L433">
        <v>1.3</v>
      </c>
      <c r="M433">
        <v>0.34</v>
      </c>
      <c r="N433">
        <v>0.2615384615384616</v>
      </c>
      <c r="O433">
        <v>0</v>
      </c>
      <c r="P433">
        <v>0.0801851873035635</v>
      </c>
      <c r="Q433">
        <v>0.6423357664233571</v>
      </c>
      <c r="R433" t="s">
        <v>784</v>
      </c>
      <c r="S433" t="s">
        <v>797</v>
      </c>
      <c r="T433">
        <v>106530.80805</v>
      </c>
      <c r="U433" s="2">
        <v>44530</v>
      </c>
      <c r="V433" t="s">
        <v>807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29.23</v>
      </c>
      <c r="D434">
        <v>25</v>
      </c>
      <c r="E434">
        <v>1.1692</v>
      </c>
      <c r="F434">
        <v>0.01026342798494697</v>
      </c>
      <c r="G434">
        <v>-0.0307802870577667</v>
      </c>
      <c r="H434">
        <v>0</v>
      </c>
      <c r="I434">
        <v>-0.01344239183743756</v>
      </c>
      <c r="J434" t="s">
        <v>350</v>
      </c>
      <c r="K434" t="s">
        <v>526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0.402241283364995</v>
      </c>
      <c r="R434" t="s">
        <v>784</v>
      </c>
      <c r="S434" t="s">
        <v>794</v>
      </c>
      <c r="T434">
        <v>28727.529636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30.77</v>
      </c>
      <c r="D435">
        <v>28</v>
      </c>
      <c r="E435">
        <v>1.098928571428571</v>
      </c>
      <c r="F435">
        <v>0.00129996750081248</v>
      </c>
      <c r="G435">
        <v>-0.01869026551661701</v>
      </c>
      <c r="H435">
        <v>0</v>
      </c>
      <c r="I435">
        <v>-0.01352683093078932</v>
      </c>
      <c r="J435" t="s">
        <v>350</v>
      </c>
      <c r="K435" t="s">
        <v>782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0.475022410561486</v>
      </c>
      <c r="R435" t="s">
        <v>784</v>
      </c>
      <c r="S435" t="s">
        <v>797</v>
      </c>
      <c r="T435">
        <v>28738.594785</v>
      </c>
      <c r="U435" s="2">
        <v>44515</v>
      </c>
      <c r="V435" t="s">
        <v>807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244.88</v>
      </c>
      <c r="D436">
        <v>147</v>
      </c>
      <c r="E436">
        <v>1.665850340136054</v>
      </c>
      <c r="F436">
        <v>0.0259719046063378</v>
      </c>
      <c r="G436">
        <v>-0.09703107711912062</v>
      </c>
      <c r="H436">
        <v>0.054</v>
      </c>
      <c r="I436">
        <v>-0.01686988387335053</v>
      </c>
      <c r="J436" t="s">
        <v>350</v>
      </c>
      <c r="K436" t="s">
        <v>350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0.559420300930481</v>
      </c>
      <c r="R436" t="s">
        <v>786</v>
      </c>
      <c r="S436" t="s">
        <v>798</v>
      </c>
      <c r="T436">
        <v>34218.35957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60.07</v>
      </c>
      <c r="D437">
        <v>49</v>
      </c>
      <c r="E437">
        <v>1.225918367346939</v>
      </c>
      <c r="F437">
        <v>0.01731313467621109</v>
      </c>
      <c r="G437">
        <v>-0.03991941002234212</v>
      </c>
      <c r="H437">
        <v>0</v>
      </c>
      <c r="I437">
        <v>-0.01743327771522307</v>
      </c>
      <c r="J437" t="s">
        <v>350</v>
      </c>
      <c r="K437" t="s">
        <v>526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0.567400573000109</v>
      </c>
      <c r="R437" t="s">
        <v>784</v>
      </c>
      <c r="S437" t="s">
        <v>794</v>
      </c>
      <c r="T437">
        <v>11920.965146</v>
      </c>
      <c r="U437" s="2">
        <v>44494</v>
      </c>
      <c r="V437" t="s">
        <v>807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38.38</v>
      </c>
      <c r="D438">
        <v>40</v>
      </c>
      <c r="E438">
        <v>0.9595</v>
      </c>
      <c r="F438">
        <v>0.007816571130797289</v>
      </c>
      <c r="G438">
        <v>0.008302871934739553</v>
      </c>
      <c r="H438">
        <v>-0.04</v>
      </c>
      <c r="I438">
        <v>-0.02163857244436496</v>
      </c>
      <c r="J438" t="s">
        <v>350</v>
      </c>
      <c r="K438" t="s">
        <v>782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0.569171124306816</v>
      </c>
      <c r="R438" t="s">
        <v>784</v>
      </c>
      <c r="S438" t="s">
        <v>794</v>
      </c>
      <c r="T438">
        <v>56345.328809</v>
      </c>
      <c r="U438" s="2">
        <v>44498</v>
      </c>
      <c r="V438" t="s">
        <v>804</v>
      </c>
    </row>
    <row r="439" spans="1:22">
      <c r="A439" s="1" t="s">
        <v>459</v>
      </c>
      <c r="B439">
        <f>HYPERLINK("https://www.suredividend.com/sure-analysis-CF/","CF Industries Holdings Inc")</f>
        <v>0</v>
      </c>
      <c r="C439">
        <v>61.18</v>
      </c>
      <c r="D439">
        <v>48</v>
      </c>
      <c r="E439">
        <v>1.274583333333333</v>
      </c>
      <c r="F439">
        <v>0.01961425302386401</v>
      </c>
      <c r="G439">
        <v>-0.04736539612659019</v>
      </c>
      <c r="H439">
        <v>0</v>
      </c>
      <c r="I439">
        <v>-0.02465815427278883</v>
      </c>
      <c r="J439" t="s">
        <v>350</v>
      </c>
      <c r="K439" t="s">
        <v>526</v>
      </c>
      <c r="L439">
        <v>4.6</v>
      </c>
      <c r="M439">
        <v>1.2</v>
      </c>
      <c r="N439">
        <v>0.2608695652173913</v>
      </c>
      <c r="O439">
        <v>0</v>
      </c>
      <c r="P439">
        <v>0</v>
      </c>
      <c r="Q439">
        <v>0.5905539246404541</v>
      </c>
      <c r="R439" t="s">
        <v>784</v>
      </c>
      <c r="S439" t="s">
        <v>794</v>
      </c>
      <c r="T439">
        <v>13119.462665</v>
      </c>
      <c r="U439" s="2">
        <v>44526</v>
      </c>
      <c r="V439" t="s">
        <v>804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64.09999999999999</v>
      </c>
      <c r="D440">
        <v>37</v>
      </c>
      <c r="E440">
        <v>1.732432432432432</v>
      </c>
      <c r="F440">
        <v>0.01747269890795632</v>
      </c>
      <c r="G440">
        <v>-0.1040810164643673</v>
      </c>
      <c r="H440">
        <v>0.06</v>
      </c>
      <c r="I440">
        <v>-0.02592785944416787</v>
      </c>
      <c r="J440" t="s">
        <v>350</v>
      </c>
      <c r="K440" t="s">
        <v>526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0.331051925560765</v>
      </c>
      <c r="R440" t="s">
        <v>784</v>
      </c>
      <c r="S440" t="s">
        <v>792</v>
      </c>
      <c r="T440">
        <v>36867.970991</v>
      </c>
      <c r="U440" s="2">
        <v>44482</v>
      </c>
      <c r="V440" t="s">
        <v>801</v>
      </c>
    </row>
    <row r="441" spans="1:22">
      <c r="A441" s="1" t="s">
        <v>461</v>
      </c>
      <c r="B441">
        <f>HYPERLINK("https://www.suredividend.com/sure-analysis-HNI/","HNI Corp.")</f>
        <v>0</v>
      </c>
      <c r="C441">
        <v>42.49</v>
      </c>
      <c r="D441">
        <v>23</v>
      </c>
      <c r="E441">
        <v>1.847391304347826</v>
      </c>
      <c r="F441">
        <v>0.0291833372558249</v>
      </c>
      <c r="G441">
        <v>-0.1155195846096839</v>
      </c>
      <c r="H441">
        <v>0.055</v>
      </c>
      <c r="I441">
        <v>-0.02688479479921901</v>
      </c>
      <c r="J441" t="s">
        <v>350</v>
      </c>
      <c r="K441" t="s">
        <v>350</v>
      </c>
      <c r="L441">
        <v>1.66</v>
      </c>
      <c r="M441">
        <v>1.24</v>
      </c>
      <c r="N441">
        <v>0.746987951807229</v>
      </c>
      <c r="O441">
        <v>10</v>
      </c>
      <c r="P441">
        <v>0.04156021015686417</v>
      </c>
      <c r="Q441">
        <v>0.180990719992882</v>
      </c>
      <c r="R441" t="s">
        <v>784</v>
      </c>
      <c r="S441" t="s">
        <v>792</v>
      </c>
      <c r="T441">
        <v>1850.40157</v>
      </c>
      <c r="U441" s="2">
        <v>44494</v>
      </c>
      <c r="V441" t="s">
        <v>800</v>
      </c>
    </row>
    <row r="442" spans="1:22">
      <c r="A442" s="1" t="s">
        <v>462</v>
      </c>
      <c r="B442">
        <f>HYPERLINK("https://www.suredividend.com/sure-analysis-INFY/","Infosys Ltd")</f>
        <v>0</v>
      </c>
      <c r="C442">
        <v>23.21</v>
      </c>
      <c r="D442">
        <v>13</v>
      </c>
      <c r="E442">
        <v>1.785384615384615</v>
      </c>
      <c r="F442">
        <v>0.01723395088323998</v>
      </c>
      <c r="G442">
        <v>-0.1094595670984234</v>
      </c>
      <c r="H442">
        <v>0.06</v>
      </c>
      <c r="I442">
        <v>-0.02993912644312802</v>
      </c>
      <c r="J442" t="s">
        <v>350</v>
      </c>
      <c r="K442" t="s">
        <v>526</v>
      </c>
      <c r="L442">
        <v>0.7</v>
      </c>
      <c r="M442">
        <v>0.4</v>
      </c>
      <c r="N442">
        <v>0.5714285714285715</v>
      </c>
      <c r="O442">
        <v>6</v>
      </c>
      <c r="P442">
        <v>0.08083252207959757</v>
      </c>
      <c r="Q442">
        <v>0.5017582033299011</v>
      </c>
      <c r="R442" t="s">
        <v>784</v>
      </c>
      <c r="S442" t="s">
        <v>791</v>
      </c>
      <c r="T442">
        <v>97524.72003900001</v>
      </c>
      <c r="U442" s="2">
        <v>44498</v>
      </c>
      <c r="V442" t="s">
        <v>803</v>
      </c>
    </row>
    <row r="443" spans="1:22">
      <c r="A443" s="1" t="s">
        <v>463</v>
      </c>
      <c r="B443">
        <f>HYPERLINK("https://www.suredividend.com/sure-analysis-KLIC/","Kulicke &amp; Soffa Industries, Inc.")</f>
        <v>0</v>
      </c>
      <c r="C443">
        <v>66.41</v>
      </c>
      <c r="D443">
        <v>46</v>
      </c>
      <c r="E443">
        <v>1.443695652173913</v>
      </c>
      <c r="F443">
        <v>0.01023942177382924</v>
      </c>
      <c r="G443">
        <v>-0.07080926605404225</v>
      </c>
      <c r="H443">
        <v>0.03</v>
      </c>
      <c r="I443">
        <v>-0.03032223657237143</v>
      </c>
      <c r="J443" t="s">
        <v>350</v>
      </c>
      <c r="K443" t="s">
        <v>526</v>
      </c>
      <c r="L443">
        <v>5.79</v>
      </c>
      <c r="M443">
        <v>0.68</v>
      </c>
      <c r="N443">
        <v>0.1174438687392055</v>
      </c>
      <c r="O443">
        <v>2</v>
      </c>
      <c r="P443">
        <v>0.01978934521903875</v>
      </c>
      <c r="Q443">
        <v>0.9960865762351181</v>
      </c>
      <c r="R443" t="s">
        <v>784</v>
      </c>
      <c r="S443" t="s">
        <v>791</v>
      </c>
      <c r="T443">
        <v>4145.388107</v>
      </c>
      <c r="U443" s="2">
        <v>44522</v>
      </c>
      <c r="V443" t="s">
        <v>800</v>
      </c>
    </row>
    <row r="444" spans="1:22">
      <c r="A444" s="1" t="s">
        <v>464</v>
      </c>
      <c r="B444">
        <f>HYPERLINK("https://www.suredividend.com/sure-analysis-KSU/","Kansas City Southern")</f>
        <v>0</v>
      </c>
      <c r="C444">
        <v>298.64</v>
      </c>
      <c r="D444">
        <v>164</v>
      </c>
      <c r="E444">
        <v>1.820975609756097</v>
      </c>
      <c r="F444">
        <v>0.007232788641843023</v>
      </c>
      <c r="G444">
        <v>-0.1129682312456907</v>
      </c>
      <c r="H444">
        <v>0.08</v>
      </c>
      <c r="I444">
        <v>-0.03106240630756596</v>
      </c>
      <c r="J444" t="s">
        <v>350</v>
      </c>
      <c r="K444" t="s">
        <v>782</v>
      </c>
      <c r="L444">
        <v>8.199999999999999</v>
      </c>
      <c r="M444">
        <v>2.16</v>
      </c>
      <c r="N444">
        <v>0.2634146341463415</v>
      </c>
      <c r="O444">
        <v>3</v>
      </c>
      <c r="P444">
        <v>0.08977506465822516</v>
      </c>
      <c r="Q444">
        <v>0.532425495405904</v>
      </c>
      <c r="R444" t="s">
        <v>784</v>
      </c>
      <c r="S444" t="s">
        <v>792</v>
      </c>
      <c r="T444">
        <v>27170.398602</v>
      </c>
      <c r="U444" s="2">
        <v>44498</v>
      </c>
      <c r="V444" t="s">
        <v>803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26.67</v>
      </c>
      <c r="D445">
        <v>16</v>
      </c>
      <c r="E445">
        <v>1.666875</v>
      </c>
      <c r="F445">
        <v>0.01874765654293213</v>
      </c>
      <c r="G445">
        <v>-0.09714211887110624</v>
      </c>
      <c r="H445">
        <v>0.04</v>
      </c>
      <c r="I445">
        <v>-0.03452989324261124</v>
      </c>
      <c r="J445" t="s">
        <v>350</v>
      </c>
      <c r="K445" t="s">
        <v>526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0.374791873933595</v>
      </c>
      <c r="R445" t="s">
        <v>784</v>
      </c>
      <c r="S445" t="s">
        <v>797</v>
      </c>
      <c r="T445">
        <v>9688.524487999999</v>
      </c>
      <c r="U445" s="2">
        <v>44508</v>
      </c>
      <c r="V445" t="s">
        <v>807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261.3</v>
      </c>
      <c r="D446">
        <v>146</v>
      </c>
      <c r="E446">
        <v>1.78972602739726</v>
      </c>
      <c r="F446">
        <v>0.003980099502487562</v>
      </c>
      <c r="G446">
        <v>-0.1098920310293336</v>
      </c>
      <c r="H446">
        <v>0.075</v>
      </c>
      <c r="I446">
        <v>-0.03728448885375146</v>
      </c>
      <c r="J446" t="s">
        <v>350</v>
      </c>
      <c r="K446" t="s">
        <v>782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0.221951924398914</v>
      </c>
      <c r="R446" t="s">
        <v>784</v>
      </c>
      <c r="S446" t="s">
        <v>790</v>
      </c>
      <c r="T446">
        <v>48274.623657</v>
      </c>
      <c r="U446" s="2">
        <v>44502</v>
      </c>
      <c r="V446" t="s">
        <v>800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89.02</v>
      </c>
      <c r="D447">
        <v>29</v>
      </c>
      <c r="E447">
        <v>3.069655172413793</v>
      </c>
      <c r="F447">
        <v>0.002696023365535835</v>
      </c>
      <c r="G447">
        <v>-0.2009350494502377</v>
      </c>
      <c r="H447">
        <v>0.2</v>
      </c>
      <c r="I447">
        <v>-0.03795394718983069</v>
      </c>
      <c r="J447" t="s">
        <v>350</v>
      </c>
      <c r="K447" t="s">
        <v>782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0.8766614736282891</v>
      </c>
      <c r="R447" t="s">
        <v>784</v>
      </c>
      <c r="S447" t="s">
        <v>791</v>
      </c>
      <c r="T447">
        <v>75115.076</v>
      </c>
      <c r="U447" s="2">
        <v>44461</v>
      </c>
      <c r="V447" t="s">
        <v>802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159.76</v>
      </c>
      <c r="D448">
        <v>87</v>
      </c>
      <c r="E448">
        <v>1.83632183908046</v>
      </c>
      <c r="F448">
        <v>0.002503755633450175</v>
      </c>
      <c r="G448">
        <v>-0.1144558056565981</v>
      </c>
      <c r="H448">
        <v>0.08</v>
      </c>
      <c r="I448">
        <v>-0.03964261396699031</v>
      </c>
      <c r="J448" t="s">
        <v>350</v>
      </c>
      <c r="K448" t="s">
        <v>782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0.388899755968852</v>
      </c>
      <c r="R448" t="s">
        <v>784</v>
      </c>
      <c r="S448" t="s">
        <v>791</v>
      </c>
      <c r="T448">
        <v>26041.573358</v>
      </c>
      <c r="U448" s="2">
        <v>44502</v>
      </c>
      <c r="V448" t="s">
        <v>810</v>
      </c>
    </row>
    <row r="449" spans="1:22">
      <c r="A449" s="1" t="s">
        <v>469</v>
      </c>
      <c r="B449">
        <f>HYPERLINK("https://www.suredividend.com/sure-analysis-KKR/","KKR &amp; Co. Inc.")</f>
        <v>0</v>
      </c>
      <c r="C449">
        <v>75.34</v>
      </c>
      <c r="D449">
        <v>36</v>
      </c>
      <c r="E449">
        <v>2.092777777777778</v>
      </c>
      <c r="F449">
        <v>0.00769843376692328</v>
      </c>
      <c r="G449">
        <v>-0.1373087821222064</v>
      </c>
      <c r="H449">
        <v>0.1</v>
      </c>
      <c r="I449">
        <v>-0.04126437983634501</v>
      </c>
      <c r="J449" t="s">
        <v>350</v>
      </c>
      <c r="K449" t="s">
        <v>782</v>
      </c>
      <c r="L449">
        <v>2.4</v>
      </c>
      <c r="M449">
        <v>0.58</v>
      </c>
      <c r="N449">
        <v>0.2416666666666667</v>
      </c>
      <c r="O449">
        <v>2</v>
      </c>
      <c r="P449">
        <v>0.01667585861299536</v>
      </c>
      <c r="Q449">
        <v>0.919827944275554</v>
      </c>
      <c r="R449" t="s">
        <v>784</v>
      </c>
      <c r="S449" t="s">
        <v>793</v>
      </c>
      <c r="T449">
        <v>44074.595238</v>
      </c>
      <c r="U449" s="2">
        <v>44507</v>
      </c>
      <c r="V449" t="s">
        <v>810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123.26</v>
      </c>
      <c r="D450">
        <v>86</v>
      </c>
      <c r="E450">
        <v>1.433255813953488</v>
      </c>
      <c r="F450">
        <v>0.004462112607496349</v>
      </c>
      <c r="G450">
        <v>-0.06945954745353311</v>
      </c>
      <c r="H450">
        <v>0.017</v>
      </c>
      <c r="I450">
        <v>-0.04784867868917253</v>
      </c>
      <c r="J450" t="s">
        <v>350</v>
      </c>
      <c r="K450" t="s">
        <v>782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0.303672992361043</v>
      </c>
      <c r="R450" t="s">
        <v>784</v>
      </c>
      <c r="S450" t="s">
        <v>791</v>
      </c>
      <c r="T450">
        <v>155438.105346</v>
      </c>
      <c r="U450" s="2">
        <v>44501</v>
      </c>
      <c r="V450" t="s">
        <v>800</v>
      </c>
    </row>
    <row r="451" spans="1:22">
      <c r="A451" s="1" t="s">
        <v>471</v>
      </c>
      <c r="B451">
        <f>HYPERLINK("https://www.suredividend.com/sure-analysis-TRI/","Thomson-Reuters Corp")</f>
        <v>0</v>
      </c>
      <c r="C451">
        <v>120.72</v>
      </c>
      <c r="D451">
        <v>66</v>
      </c>
      <c r="E451">
        <v>1.829090909090909</v>
      </c>
      <c r="F451">
        <v>0.01341948310139165</v>
      </c>
      <c r="G451">
        <v>-0.1137567473064917</v>
      </c>
      <c r="H451">
        <v>0.05</v>
      </c>
      <c r="I451">
        <v>-0.0517102409528204</v>
      </c>
      <c r="J451" t="s">
        <v>350</v>
      </c>
      <c r="K451" t="s">
        <v>526</v>
      </c>
      <c r="L451">
        <v>2.05</v>
      </c>
      <c r="M451">
        <v>1.62</v>
      </c>
      <c r="N451">
        <v>0.7902439024390245</v>
      </c>
      <c r="O451">
        <v>28</v>
      </c>
      <c r="P451">
        <v>0.009687038902979728</v>
      </c>
      <c r="Q451">
        <v>0.516354318444455</v>
      </c>
      <c r="R451" t="s">
        <v>784</v>
      </c>
      <c r="S451" t="s">
        <v>792</v>
      </c>
      <c r="T451">
        <v>58807.452071</v>
      </c>
      <c r="U451" s="2">
        <v>44502</v>
      </c>
      <c r="V451" t="s">
        <v>805</v>
      </c>
    </row>
    <row r="452" spans="1:22">
      <c r="A452" s="1" t="s">
        <v>472</v>
      </c>
      <c r="B452">
        <f>HYPERLINK("https://www.suredividend.com/sure-analysis-DHC/","Diversified Healthcare Trust")</f>
        <v>0</v>
      </c>
      <c r="C452">
        <v>2.72</v>
      </c>
      <c r="D452">
        <v>1.98</v>
      </c>
      <c r="E452">
        <v>1.373737373737374</v>
      </c>
      <c r="F452">
        <v>0.01470588235294118</v>
      </c>
      <c r="G452">
        <v>-0.06153245667734186</v>
      </c>
      <c r="H452">
        <v>-0.01</v>
      </c>
      <c r="I452">
        <v>-0.05196926424202353</v>
      </c>
      <c r="J452" t="s">
        <v>350</v>
      </c>
      <c r="K452" t="s">
        <v>526</v>
      </c>
      <c r="L452">
        <v>0.33</v>
      </c>
      <c r="M452">
        <v>0.04</v>
      </c>
      <c r="N452">
        <v>0.1212121212121212</v>
      </c>
      <c r="O452">
        <v>0</v>
      </c>
      <c r="P452">
        <v>0</v>
      </c>
      <c r="Q452">
        <v>-0.34449933726955</v>
      </c>
      <c r="R452" t="s">
        <v>786</v>
      </c>
      <c r="S452" t="s">
        <v>798</v>
      </c>
      <c r="T452">
        <v>650.066112</v>
      </c>
      <c r="U452" s="2">
        <v>44453</v>
      </c>
      <c r="V452" t="s">
        <v>806</v>
      </c>
    </row>
    <row r="453" spans="1:22">
      <c r="A453" s="1" t="s">
        <v>473</v>
      </c>
      <c r="B453">
        <f>HYPERLINK("https://www.suredividend.com/sure-analysis-NVDA/","NVIDIA Corp")</f>
        <v>0</v>
      </c>
      <c r="C453">
        <v>301.98</v>
      </c>
      <c r="D453">
        <v>109</v>
      </c>
      <c r="E453">
        <v>2.77045871559633</v>
      </c>
      <c r="F453">
        <v>0.0005298364130074839</v>
      </c>
      <c r="G453">
        <v>-0.1843766256094401</v>
      </c>
      <c r="H453">
        <v>0.15</v>
      </c>
      <c r="I453">
        <v>-0.06134958751066566</v>
      </c>
      <c r="J453" t="s">
        <v>350</v>
      </c>
      <c r="K453" t="s">
        <v>782</v>
      </c>
      <c r="L453">
        <v>4.35</v>
      </c>
      <c r="M453">
        <v>0.16</v>
      </c>
      <c r="N453">
        <v>0.03678160919540231</v>
      </c>
      <c r="O453">
        <v>0</v>
      </c>
      <c r="P453">
        <v>0</v>
      </c>
      <c r="Q453">
        <v>1.32258540873673</v>
      </c>
      <c r="R453" t="s">
        <v>784</v>
      </c>
      <c r="S453" t="s">
        <v>791</v>
      </c>
      <c r="T453">
        <v>754950</v>
      </c>
      <c r="U453" s="2">
        <v>44533</v>
      </c>
      <c r="V453" t="s">
        <v>803</v>
      </c>
    </row>
    <row r="454" spans="1:22">
      <c r="A454" s="1" t="s">
        <v>474</v>
      </c>
      <c r="B454">
        <f>HYPERLINK("https://www.suredividend.com/sure-analysis-VMC/","Vulcan Materials Co")</f>
        <v>0</v>
      </c>
      <c r="C454">
        <v>205.46</v>
      </c>
      <c r="D454">
        <v>97</v>
      </c>
      <c r="E454">
        <v>2.118144329896907</v>
      </c>
      <c r="F454">
        <v>0.00720334858366592</v>
      </c>
      <c r="G454">
        <v>-0.1393850420217836</v>
      </c>
      <c r="H454">
        <v>0.05</v>
      </c>
      <c r="I454">
        <v>-0.08414844484768391</v>
      </c>
      <c r="J454" t="s">
        <v>350</v>
      </c>
      <c r="K454" t="s">
        <v>782</v>
      </c>
      <c r="L454">
        <v>4.83</v>
      </c>
      <c r="M454">
        <v>1.48</v>
      </c>
      <c r="N454">
        <v>0.3064182194616977</v>
      </c>
      <c r="O454">
        <v>8</v>
      </c>
      <c r="P454">
        <v>0.0501226304546607</v>
      </c>
      <c r="Q454">
        <v>0.491316381035472</v>
      </c>
      <c r="R454" t="s">
        <v>784</v>
      </c>
      <c r="S454" t="s">
        <v>794</v>
      </c>
      <c r="T454">
        <v>27265.575053</v>
      </c>
      <c r="U454" s="2">
        <v>44506</v>
      </c>
      <c r="V454" t="s">
        <v>800</v>
      </c>
    </row>
    <row r="455" spans="1:22">
      <c r="A455" s="1" t="s">
        <v>475</v>
      </c>
      <c r="B455">
        <f>HYPERLINK("https://www.suredividend.com/sure-analysis-ERF/","Enerplus Corporation")</f>
        <v>0</v>
      </c>
      <c r="C455">
        <v>10.76</v>
      </c>
      <c r="D455">
        <v>2.45</v>
      </c>
      <c r="E455">
        <v>4.391836734693877</v>
      </c>
      <c r="F455">
        <v>0.01115241635687732</v>
      </c>
      <c r="G455">
        <v>-0.2561750142555492</v>
      </c>
      <c r="H455">
        <v>0.1</v>
      </c>
      <c r="I455">
        <v>-0.1550881626034183</v>
      </c>
      <c r="J455" t="s">
        <v>350</v>
      </c>
      <c r="K455" t="s">
        <v>526</v>
      </c>
      <c r="L455">
        <v>2.23</v>
      </c>
      <c r="M455">
        <v>0.12</v>
      </c>
      <c r="N455">
        <v>0.05381165919282511</v>
      </c>
      <c r="O455">
        <v>3</v>
      </c>
      <c r="P455">
        <v>0.04563955259127317</v>
      </c>
      <c r="Q455">
        <v>2.307974250777713</v>
      </c>
      <c r="R455" t="s">
        <v>784</v>
      </c>
      <c r="S455" t="s">
        <v>797</v>
      </c>
      <c r="T455">
        <v>2649.699918</v>
      </c>
      <c r="U455" s="2">
        <v>44528</v>
      </c>
      <c r="V455" t="s">
        <v>802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11.48</v>
      </c>
      <c r="D456">
        <v>19</v>
      </c>
      <c r="E456">
        <v>0.6042105263157895</v>
      </c>
      <c r="F456">
        <v>0.1045296167247387</v>
      </c>
      <c r="G456">
        <v>0.106018375850329</v>
      </c>
      <c r="H456">
        <v>0.04</v>
      </c>
      <c r="I456">
        <v>0.2045897770871341</v>
      </c>
      <c r="J456" t="s">
        <v>526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0.179904620950501</v>
      </c>
      <c r="R456" t="s">
        <v>785</v>
      </c>
      <c r="S456" t="s">
        <v>797</v>
      </c>
      <c r="T456">
        <v>4514.963885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14.67</v>
      </c>
      <c r="D457">
        <v>23</v>
      </c>
      <c r="E457">
        <v>0.6378260869565218</v>
      </c>
      <c r="F457">
        <v>0.08997955010224949</v>
      </c>
      <c r="G457">
        <v>0.09410636467638156</v>
      </c>
      <c r="H457">
        <v>0.01</v>
      </c>
      <c r="I457">
        <v>0.1734951041622721</v>
      </c>
      <c r="J457" t="s">
        <v>526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0.027102339160814</v>
      </c>
      <c r="R457" t="s">
        <v>785</v>
      </c>
      <c r="S457" t="s">
        <v>796</v>
      </c>
      <c r="T457">
        <v>923.677655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16.49</v>
      </c>
      <c r="D458">
        <v>25</v>
      </c>
      <c r="E458">
        <v>0.6596</v>
      </c>
      <c r="F458">
        <v>0.08489993935718618</v>
      </c>
      <c r="G458">
        <v>0.08678558813779014</v>
      </c>
      <c r="H458">
        <v>0.02</v>
      </c>
      <c r="I458">
        <v>0.1655998906783751</v>
      </c>
      <c r="J458" t="s">
        <v>526</v>
      </c>
      <c r="K458" t="s">
        <v>781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0.196404977277017</v>
      </c>
      <c r="R458" t="s">
        <v>785</v>
      </c>
      <c r="S458" t="s">
        <v>797</v>
      </c>
      <c r="T458">
        <v>1737.654512</v>
      </c>
      <c r="U458" s="2">
        <v>44504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9.26</v>
      </c>
      <c r="D459">
        <v>12.1</v>
      </c>
      <c r="E459">
        <v>0.7652892561983471</v>
      </c>
      <c r="F459">
        <v>0.07775377969762419</v>
      </c>
      <c r="G459">
        <v>0.05495728798786881</v>
      </c>
      <c r="H459">
        <v>0.05</v>
      </c>
      <c r="I459">
        <v>0.1650219026999131</v>
      </c>
      <c r="J459" t="s">
        <v>526</v>
      </c>
      <c r="K459" t="s">
        <v>781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0.140029054736168</v>
      </c>
      <c r="R459" t="s">
        <v>785</v>
      </c>
      <c r="S459" t="s">
        <v>797</v>
      </c>
      <c r="T459">
        <v>6584.988627</v>
      </c>
      <c r="U459" s="2">
        <v>44511</v>
      </c>
      <c r="V459" t="s">
        <v>799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10.14</v>
      </c>
      <c r="D460">
        <v>11.02</v>
      </c>
      <c r="E460">
        <v>0.9201451905626136</v>
      </c>
      <c r="F460">
        <v>0.07889546351084813</v>
      </c>
      <c r="G460">
        <v>0.0167840569239146</v>
      </c>
      <c r="H460">
        <v>0.08</v>
      </c>
      <c r="I460">
        <v>0.1597341805036472</v>
      </c>
      <c r="J460" t="s">
        <v>526</v>
      </c>
      <c r="K460" t="s">
        <v>781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1.0882243914494</v>
      </c>
      <c r="R460" t="s">
        <v>785</v>
      </c>
      <c r="S460" t="s">
        <v>797</v>
      </c>
      <c r="T460">
        <v>1289.759521</v>
      </c>
      <c r="U460" s="2">
        <v>44497</v>
      </c>
      <c r="V460" t="s">
        <v>799</v>
      </c>
    </row>
    <row r="461" spans="1:22">
      <c r="A461" s="1" t="s">
        <v>481</v>
      </c>
      <c r="B461">
        <f>HYPERLINK("https://www.suredividend.com/sure-analysis-PBR/","Petroleo Brasileiro S.A. Petrobras")</f>
        <v>0</v>
      </c>
      <c r="C461">
        <v>11.27</v>
      </c>
      <c r="D461">
        <v>18</v>
      </c>
      <c r="E461">
        <v>0.6261111111111111</v>
      </c>
      <c r="F461">
        <v>0.08074534161490683</v>
      </c>
      <c r="G461">
        <v>0.09817036009868629</v>
      </c>
      <c r="H461">
        <v>0.01</v>
      </c>
      <c r="I461">
        <v>0.1580067802658889</v>
      </c>
      <c r="J461" t="s">
        <v>526</v>
      </c>
      <c r="K461" t="s">
        <v>781</v>
      </c>
      <c r="L461">
        <v>2.21</v>
      </c>
      <c r="M461">
        <v>0.91</v>
      </c>
      <c r="N461">
        <v>0.411764705882353</v>
      </c>
      <c r="O461">
        <v>0</v>
      </c>
      <c r="P461">
        <v>0</v>
      </c>
      <c r="Q461">
        <v>0.199012702938485</v>
      </c>
      <c r="R461" t="s">
        <v>784</v>
      </c>
      <c r="S461" t="s">
        <v>797</v>
      </c>
      <c r="T461">
        <v>71515.759758</v>
      </c>
      <c r="U461" s="2">
        <v>44454</v>
      </c>
      <c r="V461" t="s">
        <v>806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47.36</v>
      </c>
      <c r="D462">
        <v>97</v>
      </c>
      <c r="E462">
        <v>0.4882474226804124</v>
      </c>
      <c r="F462">
        <v>0.09480574324324324</v>
      </c>
      <c r="G462">
        <v>0.1541759170496932</v>
      </c>
      <c r="H462">
        <v>-0.05</v>
      </c>
      <c r="I462">
        <v>0.157555467771342</v>
      </c>
      <c r="J462" t="s">
        <v>526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0.167388067795273</v>
      </c>
      <c r="R462" t="s">
        <v>784</v>
      </c>
      <c r="S462" t="s">
        <v>797</v>
      </c>
      <c r="T462">
        <v>12083.164521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34.32</v>
      </c>
      <c r="D463">
        <v>40</v>
      </c>
      <c r="E463">
        <v>0.858</v>
      </c>
      <c r="F463">
        <v>0.03001165501165501</v>
      </c>
      <c r="G463">
        <v>0.03110416808280347</v>
      </c>
      <c r="H463">
        <v>0.1</v>
      </c>
      <c r="I463">
        <v>0.154382897821856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-0.32527676038478</v>
      </c>
      <c r="R463" t="s">
        <v>784</v>
      </c>
      <c r="S463" t="s">
        <v>789</v>
      </c>
      <c r="T463">
        <v>31485.132616</v>
      </c>
      <c r="U463" s="2">
        <v>44491</v>
      </c>
      <c r="V463" t="s">
        <v>807</v>
      </c>
    </row>
    <row r="464" spans="1:22">
      <c r="A464" s="1" t="s">
        <v>484</v>
      </c>
      <c r="B464">
        <f>HYPERLINK("https://www.suredividend.com/sure-analysis-EOG/","EOG Resources, Inc.")</f>
        <v>0</v>
      </c>
      <c r="C464">
        <v>89.69</v>
      </c>
      <c r="D464">
        <v>135</v>
      </c>
      <c r="E464">
        <v>0.6643703703703704</v>
      </c>
      <c r="F464">
        <v>0.03344854498829301</v>
      </c>
      <c r="G464">
        <v>0.08522039962839023</v>
      </c>
      <c r="H464">
        <v>0.03</v>
      </c>
      <c r="I464">
        <v>0.1437054116186987</v>
      </c>
      <c r="J464" t="s">
        <v>526</v>
      </c>
      <c r="K464" t="s">
        <v>350</v>
      </c>
      <c r="L464">
        <v>7.5</v>
      </c>
      <c r="M464">
        <v>3</v>
      </c>
      <c r="N464">
        <v>0.4</v>
      </c>
      <c r="O464">
        <v>4</v>
      </c>
      <c r="P464">
        <v>0.08009875865888949</v>
      </c>
      <c r="Q464">
        <v>0.7096102668120571</v>
      </c>
      <c r="R464" t="s">
        <v>784</v>
      </c>
      <c r="S464" t="s">
        <v>797</v>
      </c>
      <c r="T464">
        <v>52470.869496</v>
      </c>
      <c r="U464" s="2">
        <v>44513</v>
      </c>
      <c r="V464" t="s">
        <v>810</v>
      </c>
    </row>
    <row r="465" spans="1:22">
      <c r="A465" s="1" t="s">
        <v>485</v>
      </c>
      <c r="B465">
        <f>HYPERLINK("https://www.suredividend.com/sure-analysis-ERIC/","Telefonaktiebolaget L M Ericsson")</f>
        <v>0</v>
      </c>
      <c r="C465">
        <v>10.41</v>
      </c>
      <c r="D465">
        <v>12</v>
      </c>
      <c r="E465">
        <v>0.8675</v>
      </c>
      <c r="F465">
        <v>0.02209414024975985</v>
      </c>
      <c r="G465">
        <v>0.02883588407001514</v>
      </c>
      <c r="H465">
        <v>0.09</v>
      </c>
      <c r="I465">
        <v>0.1404829210688894</v>
      </c>
      <c r="J465" t="s">
        <v>526</v>
      </c>
      <c r="K465" t="s">
        <v>526</v>
      </c>
      <c r="L465">
        <v>0.75</v>
      </c>
      <c r="M465">
        <v>0.23</v>
      </c>
      <c r="N465">
        <v>0.3066666666666667</v>
      </c>
      <c r="O465">
        <v>2</v>
      </c>
      <c r="P465">
        <v>0.1170340997937203</v>
      </c>
      <c r="Q465">
        <v>-0.089493755029213</v>
      </c>
      <c r="R465" t="s">
        <v>784</v>
      </c>
      <c r="S465" t="s">
        <v>791</v>
      </c>
      <c r="T465">
        <v>31983.639778</v>
      </c>
      <c r="U465" s="2">
        <v>44494</v>
      </c>
      <c r="V465" t="s">
        <v>807</v>
      </c>
    </row>
    <row r="466" spans="1:22">
      <c r="A466" s="1" t="s">
        <v>486</v>
      </c>
      <c r="B466">
        <f>HYPERLINK("https://www.suredividend.com/sure-analysis-GORO/","Gold Resource Corporation")</f>
        <v>0</v>
      </c>
      <c r="C466">
        <v>1.81</v>
      </c>
      <c r="D466">
        <v>1.35</v>
      </c>
      <c r="E466">
        <v>1.340740740740741</v>
      </c>
      <c r="F466">
        <v>0.02209944751381215</v>
      </c>
      <c r="G466">
        <v>-0.05695799239081811</v>
      </c>
      <c r="H466">
        <v>0.19</v>
      </c>
      <c r="I466">
        <v>0.1395641137832417</v>
      </c>
      <c r="J466" t="s">
        <v>526</v>
      </c>
      <c r="K466" t="s">
        <v>526</v>
      </c>
      <c r="L466">
        <v>0.09</v>
      </c>
      <c r="M466">
        <v>0.04</v>
      </c>
      <c r="N466">
        <v>0.4444444444444445</v>
      </c>
      <c r="O466">
        <v>0</v>
      </c>
      <c r="P466">
        <v>0.08447177119769855</v>
      </c>
      <c r="Q466">
        <v>-0.4534017344570661</v>
      </c>
      <c r="R466" t="s">
        <v>784</v>
      </c>
      <c r="S466" t="s">
        <v>794</v>
      </c>
      <c r="T466">
        <v>133.501205</v>
      </c>
      <c r="U466" s="2">
        <v>44512</v>
      </c>
      <c r="V466" t="s">
        <v>807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5.39</v>
      </c>
      <c r="D467">
        <v>7.7</v>
      </c>
      <c r="E467">
        <v>0.7</v>
      </c>
      <c r="F467">
        <v>0.0463821892393321</v>
      </c>
      <c r="G467">
        <v>0.07394092378577932</v>
      </c>
      <c r="H467">
        <v>0.03</v>
      </c>
      <c r="I467">
        <v>0.1381496999071918</v>
      </c>
      <c r="J467" t="s">
        <v>526</v>
      </c>
      <c r="K467" t="s">
        <v>781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-0.141959458381843</v>
      </c>
      <c r="R467" t="s">
        <v>784</v>
      </c>
      <c r="S467" t="s">
        <v>793</v>
      </c>
      <c r="T467">
        <v>1923.301419</v>
      </c>
      <c r="U467" s="2">
        <v>44528</v>
      </c>
      <c r="V467" t="s">
        <v>802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12.13</v>
      </c>
      <c r="D468">
        <v>17</v>
      </c>
      <c r="E468">
        <v>0.713529411764706</v>
      </c>
      <c r="F468">
        <v>0.08244023083264633</v>
      </c>
      <c r="G468">
        <v>0.0698370254612759</v>
      </c>
      <c r="H468">
        <v>0.013</v>
      </c>
      <c r="I468">
        <v>0.1378326293746162</v>
      </c>
      <c r="J468" t="s">
        <v>526</v>
      </c>
      <c r="K468" t="s">
        <v>781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0.260613366866549</v>
      </c>
      <c r="R468" t="s">
        <v>784</v>
      </c>
      <c r="S468" t="s">
        <v>788</v>
      </c>
      <c r="T468">
        <v>12419.836234</v>
      </c>
      <c r="U468" s="2">
        <v>44508</v>
      </c>
      <c r="V468" t="s">
        <v>805</v>
      </c>
    </row>
    <row r="469" spans="1:22">
      <c r="A469" s="1" t="s">
        <v>489</v>
      </c>
      <c r="B469">
        <f>HYPERLINK("https://www.suredividend.com/sure-analysis-AZN/","Astrazeneca plc")</f>
        <v>0</v>
      </c>
      <c r="C469">
        <v>54.02</v>
      </c>
      <c r="D469">
        <v>78</v>
      </c>
      <c r="E469">
        <v>0.6925641025641026</v>
      </c>
      <c r="F469">
        <v>0.0259163272861903</v>
      </c>
      <c r="G469">
        <v>0.07623721304770559</v>
      </c>
      <c r="H469">
        <v>0.04</v>
      </c>
      <c r="I469">
        <v>0.1353323315160344</v>
      </c>
      <c r="J469" t="s">
        <v>526</v>
      </c>
      <c r="K469" t="s">
        <v>526</v>
      </c>
      <c r="L469">
        <v>5.23</v>
      </c>
      <c r="M469">
        <v>1.4</v>
      </c>
      <c r="N469">
        <v>0.2676864244741873</v>
      </c>
      <c r="O469">
        <v>0</v>
      </c>
      <c r="P469">
        <v>0</v>
      </c>
      <c r="Q469">
        <v>0.022763202487045</v>
      </c>
      <c r="R469" t="s">
        <v>784</v>
      </c>
      <c r="S469" t="s">
        <v>789</v>
      </c>
      <c r="T469">
        <v>167366.506577</v>
      </c>
      <c r="U469" s="2">
        <v>44514</v>
      </c>
      <c r="V469" t="s">
        <v>800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8.49</v>
      </c>
      <c r="D470">
        <v>11.1</v>
      </c>
      <c r="E470">
        <v>0.7648648648648649</v>
      </c>
      <c r="F470">
        <v>0.071849234393404</v>
      </c>
      <c r="G470">
        <v>0.05507433229637848</v>
      </c>
      <c r="H470">
        <v>0.02</v>
      </c>
      <c r="I470">
        <v>0.1322495834554247</v>
      </c>
      <c r="J470" t="s">
        <v>526</v>
      </c>
      <c r="K470" t="s">
        <v>781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0.298621745788667</v>
      </c>
      <c r="R470" t="s">
        <v>785</v>
      </c>
      <c r="S470" t="s">
        <v>797</v>
      </c>
      <c r="T470">
        <v>26131.775046</v>
      </c>
      <c r="U470" s="2">
        <v>44509</v>
      </c>
      <c r="V470" t="s">
        <v>807</v>
      </c>
    </row>
    <row r="471" spans="1:22">
      <c r="A471" s="1" t="s">
        <v>491</v>
      </c>
      <c r="B471">
        <f>HYPERLINK("https://www.suredividend.com/sure-analysis-KRC/","Kilroy Realty Corp.")</f>
        <v>0</v>
      </c>
      <c r="C471">
        <v>67.51000000000001</v>
      </c>
      <c r="D471">
        <v>75</v>
      </c>
      <c r="E471">
        <v>0.9001333333333335</v>
      </c>
      <c r="F471">
        <v>0.03081025033328396</v>
      </c>
      <c r="G471">
        <v>0.02126542967670919</v>
      </c>
      <c r="H471">
        <v>0.07000000000000001</v>
      </c>
      <c r="I471">
        <v>0.1293774818957893</v>
      </c>
      <c r="J471" t="s">
        <v>526</v>
      </c>
      <c r="K471" t="s">
        <v>526</v>
      </c>
      <c r="L471">
        <v>3.77</v>
      </c>
      <c r="M471">
        <v>2.08</v>
      </c>
      <c r="N471">
        <v>0.5517241379310345</v>
      </c>
      <c r="O471">
        <v>6</v>
      </c>
      <c r="P471">
        <v>0.2052536834036616</v>
      </c>
      <c r="Q471">
        <v>0.153999340181091</v>
      </c>
      <c r="R471" t="s">
        <v>786</v>
      </c>
      <c r="S471" t="s">
        <v>798</v>
      </c>
      <c r="T471">
        <v>7862.328219</v>
      </c>
      <c r="U471" s="2">
        <v>44498</v>
      </c>
      <c r="V471" t="s">
        <v>802</v>
      </c>
    </row>
    <row r="472" spans="1:22">
      <c r="A472" s="1" t="s">
        <v>492</v>
      </c>
      <c r="B472">
        <f>HYPERLINK("https://www.suredividend.com/sure-analysis-TPR/","Tapestry Inc")</f>
        <v>0</v>
      </c>
      <c r="C472">
        <v>43.23</v>
      </c>
      <c r="D472">
        <v>53</v>
      </c>
      <c r="E472">
        <v>0.8156603773584905</v>
      </c>
      <c r="F472">
        <v>0.02313208420078649</v>
      </c>
      <c r="G472">
        <v>0.04159317806558649</v>
      </c>
      <c r="H472">
        <v>0.07000000000000001</v>
      </c>
      <c r="I472">
        <v>0.1291098153984815</v>
      </c>
      <c r="J472" t="s">
        <v>526</v>
      </c>
      <c r="K472" t="s">
        <v>526</v>
      </c>
      <c r="L472">
        <v>3.33</v>
      </c>
      <c r="M472">
        <v>1</v>
      </c>
      <c r="N472">
        <v>0.3003003003003003</v>
      </c>
      <c r="O472">
        <v>0</v>
      </c>
      <c r="P472">
        <v>0</v>
      </c>
      <c r="Q472">
        <v>0.492640381740274</v>
      </c>
      <c r="R472" t="s">
        <v>784</v>
      </c>
      <c r="S472" t="s">
        <v>790</v>
      </c>
      <c r="T472">
        <v>11894.417062</v>
      </c>
      <c r="U472" s="2">
        <v>44513</v>
      </c>
      <c r="V472" t="s">
        <v>802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13.1</v>
      </c>
      <c r="D473">
        <v>16.3</v>
      </c>
      <c r="E473">
        <v>0.8036809815950919</v>
      </c>
      <c r="F473">
        <v>0.04580152671755725</v>
      </c>
      <c r="G473">
        <v>0.04467995517799395</v>
      </c>
      <c r="H473">
        <v>0.042</v>
      </c>
      <c r="I473">
        <v>0.1275402111609245</v>
      </c>
      <c r="J473" t="s">
        <v>526</v>
      </c>
      <c r="K473" t="s">
        <v>350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0.25809115878839</v>
      </c>
      <c r="R473" t="s">
        <v>786</v>
      </c>
      <c r="S473" t="s">
        <v>798</v>
      </c>
      <c r="T473">
        <v>3092.529694</v>
      </c>
      <c r="U473" s="2">
        <v>44509</v>
      </c>
      <c r="V473" t="s">
        <v>808</v>
      </c>
    </row>
    <row r="474" spans="1:22">
      <c r="A474" s="1" t="s">
        <v>494</v>
      </c>
      <c r="B474">
        <f>HYPERLINK("https://www.suredividend.com/sure-analysis-PSX/","Phillips 66")</f>
        <v>0</v>
      </c>
      <c r="C474">
        <v>72.52</v>
      </c>
      <c r="D474">
        <v>84</v>
      </c>
      <c r="E474">
        <v>0.8633333333333333</v>
      </c>
      <c r="F474">
        <v>0.05074462217319361</v>
      </c>
      <c r="G474">
        <v>0.02982705728092871</v>
      </c>
      <c r="H474">
        <v>0.06</v>
      </c>
      <c r="I474">
        <v>0.1273479020234904</v>
      </c>
      <c r="J474" t="s">
        <v>526</v>
      </c>
      <c r="K474" t="s">
        <v>781</v>
      </c>
      <c r="L474">
        <v>4</v>
      </c>
      <c r="M474">
        <v>3.68</v>
      </c>
      <c r="N474">
        <v>0.92</v>
      </c>
      <c r="O474">
        <v>9</v>
      </c>
      <c r="P474">
        <v>0.02185013726867213</v>
      </c>
      <c r="Q474">
        <v>0.09271173926800901</v>
      </c>
      <c r="R474" t="s">
        <v>784</v>
      </c>
      <c r="S474" t="s">
        <v>797</v>
      </c>
      <c r="T474">
        <v>31771.031798</v>
      </c>
      <c r="U474" s="2">
        <v>44501</v>
      </c>
      <c r="V474" t="s">
        <v>807</v>
      </c>
    </row>
    <row r="475" spans="1:22">
      <c r="A475" s="1" t="s">
        <v>495</v>
      </c>
      <c r="B475">
        <f>HYPERLINK("https://www.suredividend.com/sure-analysis-PGR/","Progressive Corp.")</f>
        <v>0</v>
      </c>
      <c r="C475">
        <v>95.06</v>
      </c>
      <c r="D475">
        <v>96</v>
      </c>
      <c r="E475">
        <v>0.9902083333333334</v>
      </c>
      <c r="F475">
        <v>0.05154639175257732</v>
      </c>
      <c r="G475">
        <v>0.001969921807963848</v>
      </c>
      <c r="H475">
        <v>0.08</v>
      </c>
      <c r="I475">
        <v>0.1260503101805945</v>
      </c>
      <c r="J475" t="s">
        <v>526</v>
      </c>
      <c r="K475" t="s">
        <v>350</v>
      </c>
      <c r="L475">
        <v>7.7</v>
      </c>
      <c r="M475">
        <v>4.9</v>
      </c>
      <c r="N475">
        <v>0.6363636363636364</v>
      </c>
      <c r="O475">
        <v>4</v>
      </c>
      <c r="P475">
        <v>0.0800087729241854</v>
      </c>
      <c r="Q475">
        <v>0.05741239862200401</v>
      </c>
      <c r="R475" t="s">
        <v>784</v>
      </c>
      <c r="S475" t="s">
        <v>793</v>
      </c>
      <c r="T475">
        <v>55616.149523</v>
      </c>
      <c r="U475" s="2">
        <v>44494</v>
      </c>
      <c r="V475" t="s">
        <v>799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24.08</v>
      </c>
      <c r="D476">
        <v>28</v>
      </c>
      <c r="E476">
        <v>0.86</v>
      </c>
      <c r="F476">
        <v>0.09136212624584719</v>
      </c>
      <c r="G476">
        <v>0.03062413800126618</v>
      </c>
      <c r="H476">
        <v>0.03</v>
      </c>
      <c r="I476">
        <v>0.1253458054112446</v>
      </c>
      <c r="J476" t="s">
        <v>526</v>
      </c>
      <c r="K476" t="s">
        <v>781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0.106271937078486</v>
      </c>
      <c r="R476" t="s">
        <v>786</v>
      </c>
      <c r="S476" t="s">
        <v>798</v>
      </c>
      <c r="T476">
        <v>1166.090013</v>
      </c>
      <c r="U476" s="2">
        <v>44510</v>
      </c>
      <c r="V476" t="s">
        <v>807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13.16</v>
      </c>
      <c r="D477">
        <v>17</v>
      </c>
      <c r="E477">
        <v>0.7741176470588236</v>
      </c>
      <c r="F477">
        <v>0.04559270516717325</v>
      </c>
      <c r="G477">
        <v>0.05253999266272058</v>
      </c>
      <c r="H477">
        <v>0.035</v>
      </c>
      <c r="I477">
        <v>0.1236278443644783</v>
      </c>
      <c r="J477" t="s">
        <v>526</v>
      </c>
      <c r="K477" t="s">
        <v>781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-0.06798866855524001</v>
      </c>
      <c r="R477" t="s">
        <v>784</v>
      </c>
      <c r="S477" t="s">
        <v>789</v>
      </c>
      <c r="T477">
        <v>51714.803676</v>
      </c>
      <c r="U477" s="2">
        <v>44519</v>
      </c>
      <c r="V477" t="s">
        <v>803</v>
      </c>
    </row>
    <row r="478" spans="1:22">
      <c r="A478" s="1" t="s">
        <v>498</v>
      </c>
      <c r="B478">
        <f>HYPERLINK("https://www.suredividend.com/sure-analysis-MS/","Morgan Stanley")</f>
        <v>0</v>
      </c>
      <c r="C478">
        <v>98.43000000000001</v>
      </c>
      <c r="D478">
        <v>98</v>
      </c>
      <c r="E478">
        <v>1.004387755102041</v>
      </c>
      <c r="F478">
        <v>0.0284466118053439</v>
      </c>
      <c r="G478">
        <v>-0.0008752481408115242</v>
      </c>
      <c r="H478">
        <v>0.1</v>
      </c>
      <c r="I478">
        <v>0.1226885928173731</v>
      </c>
      <c r="J478" t="s">
        <v>526</v>
      </c>
      <c r="K478" t="s">
        <v>526</v>
      </c>
      <c r="L478">
        <v>7.51</v>
      </c>
      <c r="M478">
        <v>2.8</v>
      </c>
      <c r="N478">
        <v>0.3728362183754993</v>
      </c>
      <c r="O478">
        <v>8</v>
      </c>
      <c r="P478">
        <v>0.07978367728709435</v>
      </c>
      <c r="Q478">
        <v>0.591569837948664</v>
      </c>
      <c r="R478" t="s">
        <v>784</v>
      </c>
      <c r="S478" t="s">
        <v>793</v>
      </c>
      <c r="T478">
        <v>176623.968632</v>
      </c>
      <c r="U478" s="2">
        <v>44483</v>
      </c>
      <c r="V478" t="s">
        <v>799</v>
      </c>
    </row>
    <row r="479" spans="1:22">
      <c r="A479" s="1" t="s">
        <v>499</v>
      </c>
      <c r="B479">
        <f>HYPERLINK("https://www.suredividend.com/sure-analysis-SMFG/","Sumitomo Mitsui Financial Group Inc")</f>
        <v>0</v>
      </c>
      <c r="C479">
        <v>6.84</v>
      </c>
      <c r="D479">
        <v>9.35</v>
      </c>
      <c r="E479">
        <v>0.7315508021390374</v>
      </c>
      <c r="F479">
        <v>0.04970760233918129</v>
      </c>
      <c r="G479">
        <v>0.06451332441054869</v>
      </c>
      <c r="H479">
        <v>0.02</v>
      </c>
      <c r="I479">
        <v>0.1205250392491335</v>
      </c>
      <c r="J479" t="s">
        <v>526</v>
      </c>
      <c r="K479" t="s">
        <v>781</v>
      </c>
      <c r="L479">
        <v>0.85</v>
      </c>
      <c r="M479">
        <v>0.34</v>
      </c>
      <c r="N479">
        <v>0.4</v>
      </c>
      <c r="O479">
        <v>0</v>
      </c>
      <c r="P479">
        <v>0.01149727415513624</v>
      </c>
      <c r="Q479">
        <v>0.18163286459593</v>
      </c>
      <c r="R479" t="s">
        <v>784</v>
      </c>
      <c r="S479" t="s">
        <v>793</v>
      </c>
      <c r="T479">
        <v>47003.183888</v>
      </c>
      <c r="U479" s="2">
        <v>44528</v>
      </c>
      <c r="V479" t="s">
        <v>804</v>
      </c>
    </row>
    <row r="480" spans="1:22">
      <c r="A480" s="1" t="s">
        <v>500</v>
      </c>
      <c r="B480">
        <f>HYPERLINK("https://www.suredividend.com/sure-analysis-TS/","Tenaris S.A.")</f>
        <v>0</v>
      </c>
      <c r="C480">
        <v>20.44</v>
      </c>
      <c r="D480">
        <v>25</v>
      </c>
      <c r="E480">
        <v>0.8176000000000001</v>
      </c>
      <c r="F480">
        <v>0.02544031311154599</v>
      </c>
      <c r="G480">
        <v>0.04109850644730817</v>
      </c>
      <c r="H480">
        <v>0.06</v>
      </c>
      <c r="I480">
        <v>0.1202074641493196</v>
      </c>
      <c r="J480" t="s">
        <v>526</v>
      </c>
      <c r="K480" t="s">
        <v>526</v>
      </c>
      <c r="L480">
        <v>1.45</v>
      </c>
      <c r="M480">
        <v>0.52</v>
      </c>
      <c r="N480">
        <v>0.3586206896551725</v>
      </c>
      <c r="O480">
        <v>0</v>
      </c>
      <c r="P480">
        <v>0</v>
      </c>
      <c r="Q480">
        <v>0.271808656263222</v>
      </c>
      <c r="R480" t="s">
        <v>784</v>
      </c>
      <c r="S480" t="s">
        <v>797</v>
      </c>
      <c r="T480">
        <v>12065.086403</v>
      </c>
      <c r="U480" s="2">
        <v>44522</v>
      </c>
      <c r="V480" t="s">
        <v>804</v>
      </c>
    </row>
    <row r="481" spans="1:22">
      <c r="A481" s="1" t="s">
        <v>501</v>
      </c>
      <c r="B481">
        <f>HYPERLINK("https://www.suredividend.com/sure-analysis-PTR/","PetroChina Co. Ltd.")</f>
        <v>0</v>
      </c>
      <c r="C481">
        <v>45.64</v>
      </c>
      <c r="D481">
        <v>90</v>
      </c>
      <c r="E481">
        <v>0.5071111111111111</v>
      </c>
      <c r="F481">
        <v>0.0740578439964943</v>
      </c>
      <c r="G481">
        <v>0.1454585407018334</v>
      </c>
      <c r="H481">
        <v>-0.06</v>
      </c>
      <c r="I481">
        <v>0.1191822976120684</v>
      </c>
      <c r="J481" t="s">
        <v>526</v>
      </c>
      <c r="K481" t="s">
        <v>781</v>
      </c>
      <c r="L481">
        <v>7.5</v>
      </c>
      <c r="M481">
        <v>3.38</v>
      </c>
      <c r="N481">
        <v>0.4506666666666667</v>
      </c>
      <c r="O481">
        <v>0</v>
      </c>
      <c r="P481">
        <v>-0.06004514349274603</v>
      </c>
      <c r="Q481">
        <v>0.5937701883959281</v>
      </c>
      <c r="R481" t="s">
        <v>784</v>
      </c>
      <c r="S481" t="s">
        <v>797</v>
      </c>
      <c r="T481">
        <v>9629.53796</v>
      </c>
      <c r="U481" s="2">
        <v>44522</v>
      </c>
      <c r="V481" t="s">
        <v>807</v>
      </c>
    </row>
    <row r="482" spans="1:22">
      <c r="A482" s="1" t="s">
        <v>502</v>
      </c>
      <c r="B482">
        <f>HYPERLINK("https://www.suredividend.com/sure-analysis-MED/","Medifast Inc")</f>
        <v>0</v>
      </c>
      <c r="C482">
        <v>196.84</v>
      </c>
      <c r="D482">
        <v>208</v>
      </c>
      <c r="E482">
        <v>0.9463461538461538</v>
      </c>
      <c r="F482">
        <v>0.0288559235927657</v>
      </c>
      <c r="G482">
        <v>0.01109042050531461</v>
      </c>
      <c r="H482">
        <v>0.08</v>
      </c>
      <c r="I482">
        <v>0.1179726631412801</v>
      </c>
      <c r="J482" t="s">
        <v>526</v>
      </c>
      <c r="K482" t="s">
        <v>526</v>
      </c>
      <c r="L482">
        <v>13.9</v>
      </c>
      <c r="M482">
        <v>5.68</v>
      </c>
      <c r="N482">
        <v>0.4086330935251798</v>
      </c>
      <c r="O482">
        <v>6</v>
      </c>
      <c r="P482">
        <v>0.1000553858515176</v>
      </c>
      <c r="Q482">
        <v>0.09138430710902301</v>
      </c>
      <c r="R482" t="s">
        <v>784</v>
      </c>
      <c r="S482" t="s">
        <v>790</v>
      </c>
      <c r="T482">
        <v>2286.539304</v>
      </c>
      <c r="U482" s="2">
        <v>44518</v>
      </c>
      <c r="V482" t="s">
        <v>810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54.69</v>
      </c>
      <c r="D483">
        <v>117</v>
      </c>
      <c r="E483">
        <v>0.4674358974358974</v>
      </c>
      <c r="F483">
        <v>0.05119765953556409</v>
      </c>
      <c r="G483">
        <v>0.1642750416655463</v>
      </c>
      <c r="H483">
        <v>-0.07000000000000001</v>
      </c>
      <c r="I483">
        <v>0.1176968546021997</v>
      </c>
      <c r="J483" t="s">
        <v>526</v>
      </c>
      <c r="K483" t="s">
        <v>781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0.05830551120143201</v>
      </c>
      <c r="R483" t="s">
        <v>784</v>
      </c>
      <c r="S483" t="s">
        <v>794</v>
      </c>
      <c r="T483">
        <v>40442.116048</v>
      </c>
      <c r="U483" s="2">
        <v>44498</v>
      </c>
      <c r="V483" t="s">
        <v>804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29.1</v>
      </c>
      <c r="D484">
        <v>39</v>
      </c>
      <c r="E484">
        <v>0.7461538461538462</v>
      </c>
      <c r="F484">
        <v>0.03780068728522337</v>
      </c>
      <c r="G484">
        <v>0.06031357981646734</v>
      </c>
      <c r="H484">
        <v>0.03</v>
      </c>
      <c r="I484">
        <v>0.1174883831046929</v>
      </c>
      <c r="J484" t="s">
        <v>526</v>
      </c>
      <c r="K484" t="s">
        <v>350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0.137087664025579</v>
      </c>
      <c r="R484" t="s">
        <v>784</v>
      </c>
      <c r="S484" t="s">
        <v>793</v>
      </c>
      <c r="T484">
        <v>118421.567021</v>
      </c>
      <c r="U484" s="2">
        <v>44495</v>
      </c>
      <c r="V484" t="s">
        <v>802</v>
      </c>
    </row>
    <row r="485" spans="1:22">
      <c r="A485" s="1" t="s">
        <v>505</v>
      </c>
      <c r="B485">
        <f>HYPERLINK("https://www.suredividend.com/sure-analysis-NTR/","Nutrien Ltd")</f>
        <v>0</v>
      </c>
      <c r="C485">
        <v>70.31999999999999</v>
      </c>
      <c r="D485">
        <v>102</v>
      </c>
      <c r="E485">
        <v>0.6894117647058823</v>
      </c>
      <c r="F485">
        <v>0.02616609783845279</v>
      </c>
      <c r="G485">
        <v>0.07721963756317907</v>
      </c>
      <c r="H485">
        <v>0.02</v>
      </c>
      <c r="I485">
        <v>0.1171859046918136</v>
      </c>
      <c r="J485" t="s">
        <v>526</v>
      </c>
      <c r="K485" t="s">
        <v>526</v>
      </c>
      <c r="L485">
        <v>5.98</v>
      </c>
      <c r="M485">
        <v>1.84</v>
      </c>
      <c r="N485">
        <v>0.3076923076923077</v>
      </c>
      <c r="O485">
        <v>3</v>
      </c>
      <c r="P485">
        <v>0.01984845658885503</v>
      </c>
      <c r="Q485">
        <v>0.481060247053991</v>
      </c>
      <c r="R485" t="s">
        <v>784</v>
      </c>
      <c r="S485" t="s">
        <v>794</v>
      </c>
      <c r="T485">
        <v>39986.369883</v>
      </c>
      <c r="U485" s="2">
        <v>44522</v>
      </c>
      <c r="V485" t="s">
        <v>802</v>
      </c>
    </row>
    <row r="486" spans="1:22">
      <c r="A486" s="1" t="s">
        <v>506</v>
      </c>
      <c r="B486">
        <f>HYPERLINK("https://www.suredividend.com/sure-analysis-MFC/","Manulife Financial Corp.")</f>
        <v>0</v>
      </c>
      <c r="C486">
        <v>18.89</v>
      </c>
      <c r="D486">
        <v>19.95</v>
      </c>
      <c r="E486">
        <v>0.9468671679197995</v>
      </c>
      <c r="F486">
        <v>0.04764425622022234</v>
      </c>
      <c r="G486">
        <v>0.01097912541725066</v>
      </c>
      <c r="H486">
        <v>0.065</v>
      </c>
      <c r="I486">
        <v>0.1171204364434502</v>
      </c>
      <c r="J486" t="s">
        <v>526</v>
      </c>
      <c r="K486" t="s">
        <v>781</v>
      </c>
      <c r="L486">
        <v>2.66</v>
      </c>
      <c r="M486">
        <v>0.9</v>
      </c>
      <c r="N486">
        <v>0.3383458646616541</v>
      </c>
      <c r="O486">
        <v>7</v>
      </c>
      <c r="P486">
        <v>0.06961037572506878</v>
      </c>
      <c r="Q486">
        <v>0.107995870677115</v>
      </c>
      <c r="R486" t="s">
        <v>784</v>
      </c>
      <c r="S486" t="s">
        <v>793</v>
      </c>
      <c r="T486">
        <v>36696.421582</v>
      </c>
      <c r="U486" s="2">
        <v>44511</v>
      </c>
      <c r="V486" t="s">
        <v>799</v>
      </c>
    </row>
    <row r="487" spans="1:22">
      <c r="A487" s="1" t="s">
        <v>507</v>
      </c>
      <c r="B487">
        <f>HYPERLINK("https://www.suredividend.com/sure-analysis-SLG/","SL Green Realty Corp.")</f>
        <v>0</v>
      </c>
      <c r="C487">
        <v>75.26000000000001</v>
      </c>
      <c r="D487">
        <v>86</v>
      </c>
      <c r="E487">
        <v>0.8751162790697675</v>
      </c>
      <c r="F487">
        <v>0.0495615200637789</v>
      </c>
      <c r="G487">
        <v>0.02703879182814894</v>
      </c>
      <c r="H487">
        <v>0.05</v>
      </c>
      <c r="I487">
        <v>0.116160535280859</v>
      </c>
      <c r="J487" t="s">
        <v>526</v>
      </c>
      <c r="K487" t="s">
        <v>350</v>
      </c>
      <c r="L487">
        <v>6.6</v>
      </c>
      <c r="M487">
        <v>3.73</v>
      </c>
      <c r="N487">
        <v>0.5651515151515152</v>
      </c>
      <c r="O487">
        <v>11</v>
      </c>
      <c r="P487">
        <v>0.03359111873454657</v>
      </c>
      <c r="Q487">
        <v>0.289838281769508</v>
      </c>
      <c r="R487" t="s">
        <v>786</v>
      </c>
      <c r="S487" t="s">
        <v>798</v>
      </c>
      <c r="T487">
        <v>5021.849636</v>
      </c>
      <c r="U487" s="2">
        <v>44494</v>
      </c>
      <c r="V487" t="s">
        <v>807</v>
      </c>
    </row>
    <row r="488" spans="1:22">
      <c r="A488" s="1" t="s">
        <v>508</v>
      </c>
      <c r="B488">
        <f>HYPERLINK("https://www.suredividend.com/sure-analysis-NYCB/","New York Community Bancorp Inc.")</f>
        <v>0</v>
      </c>
      <c r="C488">
        <v>12.33</v>
      </c>
      <c r="D488">
        <v>14</v>
      </c>
      <c r="E488">
        <v>0.8807142857142857</v>
      </c>
      <c r="F488">
        <v>0.05515004055150041</v>
      </c>
      <c r="G488">
        <v>0.0257298443619729</v>
      </c>
      <c r="H488">
        <v>0.05</v>
      </c>
      <c r="I488">
        <v>0.1151992729706599</v>
      </c>
      <c r="J488" t="s">
        <v>526</v>
      </c>
      <c r="K488" t="s">
        <v>350</v>
      </c>
      <c r="L488">
        <v>1.25</v>
      </c>
      <c r="M488">
        <v>0.68</v>
      </c>
      <c r="N488">
        <v>0.544</v>
      </c>
      <c r="O488">
        <v>0</v>
      </c>
      <c r="P488">
        <v>0</v>
      </c>
      <c r="Q488">
        <v>0.285044293903074</v>
      </c>
      <c r="R488" t="s">
        <v>784</v>
      </c>
      <c r="S488" t="s">
        <v>793</v>
      </c>
      <c r="T488">
        <v>5733.706452</v>
      </c>
      <c r="U488" s="2">
        <v>44512</v>
      </c>
      <c r="V488" t="s">
        <v>804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16.91</v>
      </c>
      <c r="D489">
        <v>18.5</v>
      </c>
      <c r="E489">
        <v>0.914054054054054</v>
      </c>
      <c r="F489">
        <v>0.06800709639266705</v>
      </c>
      <c r="G489">
        <v>0.01813560225976163</v>
      </c>
      <c r="H489">
        <v>0.04</v>
      </c>
      <c r="I489">
        <v>0.1138230214406755</v>
      </c>
      <c r="J489" t="s">
        <v>526</v>
      </c>
      <c r="K489" t="s">
        <v>781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0.47966014192837</v>
      </c>
      <c r="R489" t="s">
        <v>785</v>
      </c>
      <c r="S489" t="s">
        <v>797</v>
      </c>
      <c r="T489">
        <v>1470.345367</v>
      </c>
      <c r="U489" s="2">
        <v>44515</v>
      </c>
      <c r="V489" t="s">
        <v>799</v>
      </c>
    </row>
    <row r="490" spans="1:22">
      <c r="A490" s="1" t="s">
        <v>510</v>
      </c>
      <c r="B490">
        <f>HYPERLINK("https://www.suredividend.com/sure-analysis-HAS/","Hasbro, Inc.")</f>
        <v>0</v>
      </c>
      <c r="C490">
        <v>100.82</v>
      </c>
      <c r="D490">
        <v>102</v>
      </c>
      <c r="E490">
        <v>0.9884313725490196</v>
      </c>
      <c r="F490">
        <v>0.02697877405276731</v>
      </c>
      <c r="G490">
        <v>0.002329922987847954</v>
      </c>
      <c r="H490">
        <v>0.09</v>
      </c>
      <c r="I490">
        <v>0.113672532432161</v>
      </c>
      <c r="J490" t="s">
        <v>526</v>
      </c>
      <c r="K490" t="s">
        <v>526</v>
      </c>
      <c r="L490">
        <v>4.85</v>
      </c>
      <c r="M490">
        <v>2.72</v>
      </c>
      <c r="N490">
        <v>0.5608247422680414</v>
      </c>
      <c r="O490">
        <v>0</v>
      </c>
      <c r="P490">
        <v>0.04991010133745877</v>
      </c>
      <c r="Q490">
        <v>0.16499424551543</v>
      </c>
      <c r="R490" t="s">
        <v>784</v>
      </c>
      <c r="S490" t="s">
        <v>790</v>
      </c>
      <c r="T490">
        <v>13907.807063</v>
      </c>
      <c r="U490" s="2">
        <v>44512</v>
      </c>
      <c r="V490" t="s">
        <v>804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33.73</v>
      </c>
      <c r="D491">
        <v>41</v>
      </c>
      <c r="E491">
        <v>0.8226829268292682</v>
      </c>
      <c r="F491">
        <v>0.03913430180847911</v>
      </c>
      <c r="G491">
        <v>0.03980883475923913</v>
      </c>
      <c r="H491">
        <v>0.04</v>
      </c>
      <c r="I491">
        <v>0.1126862020998136</v>
      </c>
      <c r="J491" t="s">
        <v>526</v>
      </c>
      <c r="K491" t="s">
        <v>350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0.172218457314636</v>
      </c>
      <c r="R491" t="s">
        <v>784</v>
      </c>
      <c r="S491" t="s">
        <v>793</v>
      </c>
      <c r="T491">
        <v>2132.764293</v>
      </c>
      <c r="U491" s="2">
        <v>44498</v>
      </c>
      <c r="V491" t="s">
        <v>805</v>
      </c>
    </row>
    <row r="492" spans="1:22">
      <c r="A492" s="1" t="s">
        <v>512</v>
      </c>
      <c r="B492">
        <f>HYPERLINK("https://www.suredividend.com/sure-analysis-TAP/","Molson Coors Beverage Company")</f>
        <v>0</v>
      </c>
      <c r="C492">
        <v>46.23</v>
      </c>
      <c r="D492">
        <v>58</v>
      </c>
      <c r="E492">
        <v>0.7970689655172414</v>
      </c>
      <c r="F492">
        <v>0.02941812675751677</v>
      </c>
      <c r="G492">
        <v>0.04640744284831411</v>
      </c>
      <c r="H492">
        <v>0.04</v>
      </c>
      <c r="I492">
        <v>0.1108911892708793</v>
      </c>
      <c r="J492" t="s">
        <v>526</v>
      </c>
      <c r="K492" t="s">
        <v>526</v>
      </c>
      <c r="L492">
        <v>4.15</v>
      </c>
      <c r="M492">
        <v>1.36</v>
      </c>
      <c r="N492">
        <v>0.327710843373494</v>
      </c>
      <c r="O492">
        <v>0</v>
      </c>
      <c r="P492">
        <v>0.03941506521508265</v>
      </c>
      <c r="Q492">
        <v>-0.007854751480813001</v>
      </c>
      <c r="R492" t="s">
        <v>784</v>
      </c>
      <c r="S492" t="s">
        <v>795</v>
      </c>
      <c r="T492">
        <v>9426.813356000001</v>
      </c>
      <c r="U492" s="2">
        <v>44500</v>
      </c>
      <c r="V492" t="s">
        <v>801</v>
      </c>
    </row>
    <row r="493" spans="1:22">
      <c r="A493" s="1" t="s">
        <v>513</v>
      </c>
      <c r="B493">
        <f>HYPERLINK("https://www.suredividend.com/sure-analysis-SAFE/","Safehold Inc")</f>
        <v>0</v>
      </c>
      <c r="C493">
        <v>71.52</v>
      </c>
      <c r="D493">
        <v>65</v>
      </c>
      <c r="E493">
        <v>1.100307692307692</v>
      </c>
      <c r="F493">
        <v>0.009507829977628637</v>
      </c>
      <c r="G493">
        <v>-0.01893638281170773</v>
      </c>
      <c r="H493">
        <v>0.12</v>
      </c>
      <c r="I493">
        <v>0.1064259101920808</v>
      </c>
      <c r="J493" t="s">
        <v>526</v>
      </c>
      <c r="K493" t="s">
        <v>782</v>
      </c>
      <c r="L493">
        <v>1.48</v>
      </c>
      <c r="M493">
        <v>0.68</v>
      </c>
      <c r="N493">
        <v>0.4594594594594595</v>
      </c>
      <c r="O493">
        <v>3</v>
      </c>
      <c r="P493">
        <v>0.0576615571948691</v>
      </c>
      <c r="Q493">
        <v>0.048724945782151</v>
      </c>
      <c r="R493" t="s">
        <v>786</v>
      </c>
      <c r="S493" t="s">
        <v>798</v>
      </c>
      <c r="T493">
        <v>4045.161974</v>
      </c>
      <c r="U493" s="2">
        <v>44492</v>
      </c>
      <c r="V493" t="s">
        <v>808</v>
      </c>
    </row>
    <row r="494" spans="1:22">
      <c r="A494" s="1" t="s">
        <v>514</v>
      </c>
      <c r="B494">
        <f>HYPERLINK("https://www.suredividend.com/sure-analysis-BP/","BP plc")</f>
        <v>0</v>
      </c>
      <c r="C494">
        <v>27.42</v>
      </c>
      <c r="D494">
        <v>42</v>
      </c>
      <c r="E494">
        <v>0.6528571428571429</v>
      </c>
      <c r="F494">
        <v>0.04777534646243618</v>
      </c>
      <c r="G494">
        <v>0.08902128458125058</v>
      </c>
      <c r="H494">
        <v>-0.02</v>
      </c>
      <c r="I494">
        <v>0.1048003146883745</v>
      </c>
      <c r="J494" t="s">
        <v>526</v>
      </c>
      <c r="K494" t="s">
        <v>781</v>
      </c>
      <c r="L494">
        <v>3.5</v>
      </c>
      <c r="M494">
        <v>1.31</v>
      </c>
      <c r="N494">
        <v>0.3742857142857143</v>
      </c>
      <c r="O494">
        <v>0</v>
      </c>
      <c r="P494">
        <v>0.03018318869451253</v>
      </c>
      <c r="Q494">
        <v>0.307498199268259</v>
      </c>
      <c r="R494" t="s">
        <v>784</v>
      </c>
      <c r="S494" t="s">
        <v>797</v>
      </c>
      <c r="T494">
        <v>90249.42727299999</v>
      </c>
      <c r="U494" s="2">
        <v>44512</v>
      </c>
      <c r="V494" t="s">
        <v>807</v>
      </c>
    </row>
    <row r="495" spans="1:22">
      <c r="A495" s="1" t="s">
        <v>515</v>
      </c>
      <c r="B495">
        <f>HYPERLINK("https://www.suredividend.com/sure-analysis-TRST/","Trustco Bank Corp.")</f>
        <v>0</v>
      </c>
      <c r="C495">
        <v>33.1</v>
      </c>
      <c r="D495">
        <v>39</v>
      </c>
      <c r="E495">
        <v>0.8487179487179487</v>
      </c>
      <c r="F495">
        <v>0.04108761329305136</v>
      </c>
      <c r="G495">
        <v>0.03334971172034384</v>
      </c>
      <c r="H495">
        <v>0.04</v>
      </c>
      <c r="I495">
        <v>0.1047063011127412</v>
      </c>
      <c r="J495" t="s">
        <v>526</v>
      </c>
      <c r="K495" t="s">
        <v>350</v>
      </c>
      <c r="L495">
        <v>3.09</v>
      </c>
      <c r="M495">
        <v>1.36</v>
      </c>
      <c r="N495">
        <v>0.4401294498381877</v>
      </c>
      <c r="O495">
        <v>0</v>
      </c>
      <c r="P495">
        <v>0.0100884981090783</v>
      </c>
      <c r="Q495">
        <v>0.08689584516823801</v>
      </c>
      <c r="R495" t="s">
        <v>784</v>
      </c>
      <c r="S495" t="s">
        <v>793</v>
      </c>
      <c r="T495">
        <v>636.132383</v>
      </c>
      <c r="U495" s="2">
        <v>44493</v>
      </c>
      <c r="V495" t="s">
        <v>805</v>
      </c>
    </row>
    <row r="496" spans="1:22">
      <c r="A496" s="1" t="s">
        <v>516</v>
      </c>
      <c r="B496">
        <f>HYPERLINK("https://www.suredividend.com/sure-analysis-PGRE/","Paramount Group Inc")</f>
        <v>0</v>
      </c>
      <c r="C496">
        <v>8.640000000000001</v>
      </c>
      <c r="D496">
        <v>11</v>
      </c>
      <c r="E496">
        <v>0.7854545454545455</v>
      </c>
      <c r="F496">
        <v>0.03240740740740741</v>
      </c>
      <c r="G496">
        <v>0.04948391938816443</v>
      </c>
      <c r="H496">
        <v>0.03</v>
      </c>
      <c r="I496">
        <v>0.1041904299997507</v>
      </c>
      <c r="J496" t="s">
        <v>526</v>
      </c>
      <c r="K496" t="s">
        <v>350</v>
      </c>
      <c r="L496">
        <v>0.91</v>
      </c>
      <c r="M496">
        <v>0.28</v>
      </c>
      <c r="N496">
        <v>0.3076923076923077</v>
      </c>
      <c r="O496">
        <v>0</v>
      </c>
      <c r="P496">
        <v>0.007042949693310208</v>
      </c>
      <c r="Q496">
        <v>-0.03072729108471</v>
      </c>
      <c r="R496" t="s">
        <v>786</v>
      </c>
      <c r="S496" t="s">
        <v>798</v>
      </c>
      <c r="T496">
        <v>1891.783348</v>
      </c>
      <c r="U496" s="2">
        <v>44498</v>
      </c>
      <c r="V496" t="s">
        <v>805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21.3</v>
      </c>
      <c r="D497">
        <v>22</v>
      </c>
      <c r="E497">
        <v>0.9681818181818183</v>
      </c>
      <c r="F497">
        <v>0.08873239436619718</v>
      </c>
      <c r="G497">
        <v>0.006488032817223655</v>
      </c>
      <c r="H497">
        <v>0.03</v>
      </c>
      <c r="I497">
        <v>0.104138438614555</v>
      </c>
      <c r="J497" t="s">
        <v>526</v>
      </c>
      <c r="K497" t="s">
        <v>781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0.109675537124637</v>
      </c>
      <c r="R497" t="s">
        <v>784</v>
      </c>
      <c r="S497" t="s">
        <v>795</v>
      </c>
      <c r="T497">
        <v>20158.492551</v>
      </c>
      <c r="U497" s="2">
        <v>44516</v>
      </c>
      <c r="V497" t="s">
        <v>800</v>
      </c>
    </row>
    <row r="498" spans="1:22">
      <c r="A498" s="1" t="s">
        <v>518</v>
      </c>
      <c r="B498">
        <f>HYPERLINK("https://www.suredividend.com/sure-analysis-WEN/","Wendy`s Co")</f>
        <v>0</v>
      </c>
      <c r="C498">
        <v>22.32</v>
      </c>
      <c r="D498">
        <v>24</v>
      </c>
      <c r="E498">
        <v>0.93</v>
      </c>
      <c r="F498">
        <v>0.02150537634408602</v>
      </c>
      <c r="G498">
        <v>0.01461998012252352</v>
      </c>
      <c r="H498">
        <v>0.07000000000000001</v>
      </c>
      <c r="I498">
        <v>0.1040061337367413</v>
      </c>
      <c r="J498" t="s">
        <v>526</v>
      </c>
      <c r="K498" t="s">
        <v>782</v>
      </c>
      <c r="L498">
        <v>0.8</v>
      </c>
      <c r="M498">
        <v>0.48</v>
      </c>
      <c r="N498">
        <v>0.6</v>
      </c>
      <c r="O498">
        <v>1</v>
      </c>
      <c r="P498">
        <v>0.06897294358221773</v>
      </c>
      <c r="Q498">
        <v>0.031995561309413</v>
      </c>
      <c r="R498" t="s">
        <v>784</v>
      </c>
      <c r="S498" t="s">
        <v>790</v>
      </c>
      <c r="T498">
        <v>4924.560522</v>
      </c>
      <c r="U498" s="2">
        <v>44513</v>
      </c>
      <c r="V498" t="s">
        <v>805</v>
      </c>
    </row>
    <row r="499" spans="1:22">
      <c r="A499" s="1" t="s">
        <v>519</v>
      </c>
      <c r="B499">
        <f>HYPERLINK("https://www.suredividend.com/sure-analysis-PETS/","Petmed Express, Inc.")</f>
        <v>0</v>
      </c>
      <c r="C499">
        <v>25.34</v>
      </c>
      <c r="D499">
        <v>23</v>
      </c>
      <c r="E499">
        <v>1.101739130434783</v>
      </c>
      <c r="F499">
        <v>0.0473559589581689</v>
      </c>
      <c r="G499">
        <v>-0.01919144541781459</v>
      </c>
      <c r="H499">
        <v>0.08</v>
      </c>
      <c r="I499">
        <v>0.1031018365641783</v>
      </c>
      <c r="J499" t="s">
        <v>526</v>
      </c>
      <c r="K499" t="s">
        <v>781</v>
      </c>
      <c r="L499">
        <v>1.25</v>
      </c>
      <c r="M499">
        <v>1.2</v>
      </c>
      <c r="N499">
        <v>0.96</v>
      </c>
      <c r="O499">
        <v>13</v>
      </c>
      <c r="P499">
        <v>0.0796084730466029</v>
      </c>
      <c r="Q499">
        <v>-0.119261208217911</v>
      </c>
      <c r="R499" t="s">
        <v>784</v>
      </c>
      <c r="S499" t="s">
        <v>789</v>
      </c>
      <c r="T499">
        <v>515.645662</v>
      </c>
      <c r="U499" s="2">
        <v>44499</v>
      </c>
      <c r="V499" t="s">
        <v>802</v>
      </c>
    </row>
    <row r="500" spans="1:22">
      <c r="A500" s="1" t="s">
        <v>520</v>
      </c>
      <c r="B500">
        <f>HYPERLINK("https://www.suredividend.com/sure-analysis-DRI/","Darden Restaurants, Inc.")</f>
        <v>0</v>
      </c>
      <c r="C500">
        <v>151.82</v>
      </c>
      <c r="D500">
        <v>148</v>
      </c>
      <c r="E500">
        <v>1.025810810810811</v>
      </c>
      <c r="F500">
        <v>0.0289816888420498</v>
      </c>
      <c r="G500">
        <v>-0.005083700994921947</v>
      </c>
      <c r="H500">
        <v>0.08</v>
      </c>
      <c r="I500">
        <v>0.1007588003124558</v>
      </c>
      <c r="J500" t="s">
        <v>526</v>
      </c>
      <c r="K500" t="s">
        <v>526</v>
      </c>
      <c r="L500">
        <v>7.42</v>
      </c>
      <c r="M500">
        <v>4.4</v>
      </c>
      <c r="N500">
        <v>0.5929919137466307</v>
      </c>
      <c r="O500">
        <v>1</v>
      </c>
      <c r="P500">
        <v>0.08016554685867416</v>
      </c>
      <c r="Q500">
        <v>0.368698361637136</v>
      </c>
      <c r="R500" t="s">
        <v>784</v>
      </c>
      <c r="S500" t="s">
        <v>790</v>
      </c>
      <c r="T500">
        <v>19702.661305</v>
      </c>
      <c r="U500" s="2">
        <v>44464</v>
      </c>
      <c r="V500" t="s">
        <v>802</v>
      </c>
    </row>
    <row r="501" spans="1:22">
      <c r="A501" s="1" t="s">
        <v>521</v>
      </c>
      <c r="B501">
        <f>HYPERLINK("https://www.suredividend.com/sure-analysis-RDS.B/","Royal Dutch Shell Plc")</f>
        <v>0</v>
      </c>
      <c r="C501">
        <v>43.97</v>
      </c>
      <c r="D501">
        <v>56</v>
      </c>
      <c r="E501">
        <v>0.7851785714285714</v>
      </c>
      <c r="F501">
        <v>0.04366613600181942</v>
      </c>
      <c r="G501">
        <v>0.04955768339597788</v>
      </c>
      <c r="H501">
        <v>0.01</v>
      </c>
      <c r="I501">
        <v>0.1005499363906479</v>
      </c>
      <c r="J501" t="s">
        <v>526</v>
      </c>
      <c r="K501" t="s">
        <v>350</v>
      </c>
      <c r="L501">
        <v>4.7</v>
      </c>
      <c r="M501">
        <v>1.92</v>
      </c>
      <c r="N501">
        <v>0.4085106382978723</v>
      </c>
      <c r="O501">
        <v>0</v>
      </c>
      <c r="P501">
        <v>0.07914802001878241</v>
      </c>
      <c r="Q501">
        <v>0.27715070784996</v>
      </c>
      <c r="R501" t="s">
        <v>784</v>
      </c>
      <c r="S501" t="s">
        <v>797</v>
      </c>
      <c r="T501">
        <v>172015.313553</v>
      </c>
      <c r="U501" s="2">
        <v>44502</v>
      </c>
      <c r="V501" t="s">
        <v>807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22.23</v>
      </c>
      <c r="D502">
        <v>26</v>
      </c>
      <c r="E502">
        <v>0.855</v>
      </c>
      <c r="F502">
        <v>0.03058929374718848</v>
      </c>
      <c r="G502">
        <v>0.03182673653440737</v>
      </c>
      <c r="H502">
        <v>0.04</v>
      </c>
      <c r="I502">
        <v>0.09866102066403415</v>
      </c>
      <c r="J502" t="s">
        <v>526</v>
      </c>
      <c r="K502" t="s">
        <v>350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0.4744899312833301</v>
      </c>
      <c r="R502" t="s">
        <v>784</v>
      </c>
      <c r="S502" t="s">
        <v>793</v>
      </c>
      <c r="T502">
        <v>21191.472709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HYPERLINK("https://www.suredividend.com/sure-analysis-BDN/","Brandywine Realty Trust")</f>
        <v>0</v>
      </c>
      <c r="C503">
        <v>13.5</v>
      </c>
      <c r="D503">
        <v>15</v>
      </c>
      <c r="E503">
        <v>0.9</v>
      </c>
      <c r="F503">
        <v>0.0562962962962963</v>
      </c>
      <c r="G503">
        <v>0.02129568760013512</v>
      </c>
      <c r="H503">
        <v>0.03</v>
      </c>
      <c r="I503">
        <v>0.09797072346790325</v>
      </c>
      <c r="J503" t="s">
        <v>526</v>
      </c>
      <c r="K503" t="s">
        <v>350</v>
      </c>
      <c r="L503">
        <v>1.37</v>
      </c>
      <c r="M503">
        <v>0.76</v>
      </c>
      <c r="N503">
        <v>0.5547445255474452</v>
      </c>
      <c r="O503">
        <v>0</v>
      </c>
      <c r="P503">
        <v>0.02975477857041309</v>
      </c>
      <c r="Q503">
        <v>0.230477129373533</v>
      </c>
      <c r="R503" t="s">
        <v>786</v>
      </c>
      <c r="S503" t="s">
        <v>798</v>
      </c>
      <c r="T503">
        <v>2306.781944</v>
      </c>
      <c r="U503" s="2">
        <v>44537</v>
      </c>
      <c r="V503" t="s">
        <v>807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54.05</v>
      </c>
      <c r="D504">
        <v>58</v>
      </c>
      <c r="E504">
        <v>0.9318965517241379</v>
      </c>
      <c r="F504">
        <v>0.03848288621646624</v>
      </c>
      <c r="G504">
        <v>0.01420666221391165</v>
      </c>
      <c r="H504">
        <v>0.05</v>
      </c>
      <c r="I504">
        <v>0.09754028888190591</v>
      </c>
      <c r="J504" t="s">
        <v>526</v>
      </c>
      <c r="K504" t="s">
        <v>350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0.260015432566445</v>
      </c>
      <c r="R504" t="s">
        <v>784</v>
      </c>
      <c r="S504" t="s">
        <v>793</v>
      </c>
      <c r="T504">
        <v>938.494851</v>
      </c>
      <c r="U504" s="2">
        <v>44495</v>
      </c>
      <c r="V504" t="s">
        <v>800</v>
      </c>
    </row>
    <row r="505" spans="1:22">
      <c r="A505" s="1" t="s">
        <v>525</v>
      </c>
      <c r="B505">
        <f>HYPERLINK("https://www.suredividend.com/sure-analysis-ITUB/","Itau Unibanco Holding S.A.")</f>
        <v>0</v>
      </c>
      <c r="C505">
        <v>3.88</v>
      </c>
      <c r="D505">
        <v>4.9</v>
      </c>
      <c r="E505">
        <v>0.7918367346938775</v>
      </c>
      <c r="F505">
        <v>0.04639175257731959</v>
      </c>
      <c r="G505">
        <v>0.04778667448317808</v>
      </c>
      <c r="H505">
        <v>0.015</v>
      </c>
      <c r="I505">
        <v>0.09752130343986165</v>
      </c>
      <c r="J505" t="s">
        <v>526</v>
      </c>
      <c r="K505" t="s">
        <v>781</v>
      </c>
      <c r="L505">
        <v>0.49</v>
      </c>
      <c r="M505">
        <v>0.18</v>
      </c>
      <c r="N505">
        <v>0.3673469387755102</v>
      </c>
      <c r="O505">
        <v>0</v>
      </c>
      <c r="P505">
        <v>0</v>
      </c>
      <c r="Q505">
        <v>-0.226382741157235</v>
      </c>
      <c r="R505" t="s">
        <v>784</v>
      </c>
      <c r="S505" t="s">
        <v>793</v>
      </c>
      <c r="T505">
        <v>18801.878557</v>
      </c>
      <c r="U505" s="2">
        <v>44529</v>
      </c>
      <c r="V505" t="s">
        <v>802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75.97</v>
      </c>
      <c r="D506">
        <v>77</v>
      </c>
      <c r="E506">
        <v>0.9866233766233766</v>
      </c>
      <c r="F506">
        <v>0.0331709885481111</v>
      </c>
      <c r="G506">
        <v>0.002697009672270934</v>
      </c>
      <c r="H506">
        <v>0.065</v>
      </c>
      <c r="I506">
        <v>0.09673972199728387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0.049419130761547</v>
      </c>
      <c r="R506" t="s">
        <v>784</v>
      </c>
      <c r="S506" t="s">
        <v>796</v>
      </c>
      <c r="T506">
        <v>61412.697131</v>
      </c>
      <c r="U506" s="2">
        <v>44517</v>
      </c>
      <c r="V506" t="s">
        <v>809</v>
      </c>
    </row>
    <row r="507" spans="1:22">
      <c r="A507" s="1" t="s">
        <v>527</v>
      </c>
      <c r="B507">
        <f>HYPERLINK("https://www.suredividend.com/sure-analysis-DD/","DuPont de Nemours Inc")</f>
        <v>0</v>
      </c>
      <c r="C507">
        <v>80.05</v>
      </c>
      <c r="D507">
        <v>77</v>
      </c>
      <c r="E507">
        <v>1.03961038961039</v>
      </c>
      <c r="F507">
        <v>0.01499063085571518</v>
      </c>
      <c r="G507">
        <v>-0.007739101263449899</v>
      </c>
      <c r="H507">
        <v>0.09</v>
      </c>
      <c r="I507">
        <v>0.0943703549189423</v>
      </c>
      <c r="J507" t="s">
        <v>526</v>
      </c>
      <c r="K507" t="s">
        <v>782</v>
      </c>
      <c r="L507">
        <v>4.25</v>
      </c>
      <c r="M507">
        <v>1.2</v>
      </c>
      <c r="N507">
        <v>0.2823529411764706</v>
      </c>
      <c r="O507">
        <v>0</v>
      </c>
      <c r="P507">
        <v>0.06054457313435013</v>
      </c>
      <c r="Q507">
        <v>0.224694017758369</v>
      </c>
      <c r="R507" t="s">
        <v>784</v>
      </c>
      <c r="S507" t="s">
        <v>794</v>
      </c>
      <c r="T507">
        <v>41865.457628</v>
      </c>
      <c r="U507" s="2">
        <v>44520</v>
      </c>
      <c r="V507" t="s">
        <v>804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152.42</v>
      </c>
      <c r="D508">
        <v>157</v>
      </c>
      <c r="E508">
        <v>0.970828025477707</v>
      </c>
      <c r="F508">
        <v>0.0433014040152211</v>
      </c>
      <c r="G508">
        <v>0.005938752303516148</v>
      </c>
      <c r="H508">
        <v>0.05</v>
      </c>
      <c r="I508">
        <v>0.09382338666057377</v>
      </c>
      <c r="J508" t="s">
        <v>526</v>
      </c>
      <c r="K508" t="s">
        <v>350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0.840050123921496</v>
      </c>
      <c r="R508" t="s">
        <v>786</v>
      </c>
      <c r="S508" t="s">
        <v>798</v>
      </c>
      <c r="T508">
        <v>50086.913464</v>
      </c>
      <c r="U508" s="2">
        <v>44502</v>
      </c>
      <c r="V508" t="s">
        <v>799</v>
      </c>
    </row>
    <row r="509" spans="1:22">
      <c r="A509" s="1" t="s">
        <v>529</v>
      </c>
      <c r="B509">
        <f>HYPERLINK("https://www.suredividend.com/sure-analysis-VALE/","Vale S.A.")</f>
        <v>0</v>
      </c>
      <c r="C509">
        <v>13.52</v>
      </c>
      <c r="D509">
        <v>21</v>
      </c>
      <c r="E509">
        <v>0.6438095238095238</v>
      </c>
      <c r="F509">
        <v>0.1678994082840237</v>
      </c>
      <c r="G509">
        <v>0.09206508087938037</v>
      </c>
      <c r="H509">
        <v>-0.07000000000000001</v>
      </c>
      <c r="I509">
        <v>0.09321016390799475</v>
      </c>
      <c r="J509" t="s">
        <v>526</v>
      </c>
      <c r="K509" t="s">
        <v>781</v>
      </c>
      <c r="L509">
        <v>4.2</v>
      </c>
      <c r="M509">
        <v>2.27</v>
      </c>
      <c r="N509">
        <v>0.5404761904761904</v>
      </c>
      <c r="O509">
        <v>1</v>
      </c>
      <c r="P509">
        <v>-0.1803080202371039</v>
      </c>
      <c r="Q509">
        <v>-0.06478701769434</v>
      </c>
      <c r="R509" t="s">
        <v>784</v>
      </c>
      <c r="S509" t="s">
        <v>794</v>
      </c>
      <c r="T509">
        <v>69390.837541</v>
      </c>
      <c r="U509" s="2">
        <v>44503</v>
      </c>
      <c r="V509" t="s">
        <v>803</v>
      </c>
    </row>
    <row r="510" spans="1:22">
      <c r="A510" s="1" t="s">
        <v>530</v>
      </c>
      <c r="B510">
        <f>HYPERLINK("https://www.suredividend.com/sure-analysis-CAG/","Conagra Brands Inc")</f>
        <v>0</v>
      </c>
      <c r="C510">
        <v>32.1</v>
      </c>
      <c r="D510">
        <v>35</v>
      </c>
      <c r="E510">
        <v>0.9171428571428571</v>
      </c>
      <c r="F510">
        <v>0.03894080996884735</v>
      </c>
      <c r="G510">
        <v>0.01744889015864426</v>
      </c>
      <c r="H510">
        <v>0.04</v>
      </c>
      <c r="I510">
        <v>0.09102172587569668</v>
      </c>
      <c r="J510" t="s">
        <v>526</v>
      </c>
      <c r="K510" t="s">
        <v>350</v>
      </c>
      <c r="L510">
        <v>2.5</v>
      </c>
      <c r="M510">
        <v>1.25</v>
      </c>
      <c r="N510">
        <v>0.5</v>
      </c>
      <c r="O510">
        <v>2</v>
      </c>
      <c r="P510">
        <v>0.03988835529073098</v>
      </c>
      <c r="Q510">
        <v>-0.06099163732265501</v>
      </c>
      <c r="R510" t="s">
        <v>784</v>
      </c>
      <c r="S510" t="s">
        <v>795</v>
      </c>
      <c r="T510">
        <v>15388.448174</v>
      </c>
      <c r="U510" s="2">
        <v>44476</v>
      </c>
      <c r="V510" t="s">
        <v>801</v>
      </c>
    </row>
    <row r="511" spans="1:22">
      <c r="A511" s="1" t="s">
        <v>531</v>
      </c>
      <c r="B511">
        <f>HYPERLINK("https://www.suredividend.com/sure-analysis-WMB/","Williams Cos Inc")</f>
        <v>0</v>
      </c>
      <c r="C511">
        <v>26.64</v>
      </c>
      <c r="D511">
        <v>25</v>
      </c>
      <c r="E511">
        <v>1.0656</v>
      </c>
      <c r="F511">
        <v>0.06156156156156155</v>
      </c>
      <c r="G511">
        <v>-0.01262720348603652</v>
      </c>
      <c r="H511">
        <v>0.05</v>
      </c>
      <c r="I511">
        <v>0.09090020873822846</v>
      </c>
      <c r="J511" t="s">
        <v>526</v>
      </c>
      <c r="K511" t="s">
        <v>781</v>
      </c>
      <c r="L511">
        <v>3.35</v>
      </c>
      <c r="M511">
        <v>1.64</v>
      </c>
      <c r="N511">
        <v>0.4895522388059701</v>
      </c>
      <c r="O511">
        <v>4</v>
      </c>
      <c r="P511">
        <v>0.04048836820440749</v>
      </c>
      <c r="Q511">
        <v>0.294127362729714</v>
      </c>
      <c r="R511" t="s">
        <v>784</v>
      </c>
      <c r="S511" t="s">
        <v>797</v>
      </c>
      <c r="T511">
        <v>32368.393845</v>
      </c>
      <c r="U511" s="2">
        <v>44504</v>
      </c>
      <c r="V511" t="s">
        <v>807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11.61</v>
      </c>
      <c r="D512">
        <v>12</v>
      </c>
      <c r="E512">
        <v>0.9674999999999999</v>
      </c>
      <c r="F512">
        <v>0.0404823428079242</v>
      </c>
      <c r="G512">
        <v>0.006629851624153416</v>
      </c>
      <c r="H512">
        <v>0.05</v>
      </c>
      <c r="I512">
        <v>0.08938831167957662</v>
      </c>
      <c r="J512" t="s">
        <v>526</v>
      </c>
      <c r="K512" t="s">
        <v>350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0.04519570388524401</v>
      </c>
      <c r="R512" t="s">
        <v>784</v>
      </c>
      <c r="S512" t="s">
        <v>794</v>
      </c>
      <c r="T512">
        <v>17784.759217</v>
      </c>
      <c r="U512" s="2">
        <v>44522</v>
      </c>
      <c r="V512" t="s">
        <v>802</v>
      </c>
    </row>
    <row r="513" spans="1:22">
      <c r="A513" s="1" t="s">
        <v>533</v>
      </c>
      <c r="B513">
        <f>HYPERLINK("https://www.suredividend.com/sure-analysis-KMI/","Kinder Morgan Inc")</f>
        <v>0</v>
      </c>
      <c r="C513">
        <v>16.16</v>
      </c>
      <c r="D513">
        <v>20.3</v>
      </c>
      <c r="E513">
        <v>0.7960591133004926</v>
      </c>
      <c r="F513">
        <v>0.06683168316831684</v>
      </c>
      <c r="G513">
        <v>0.04667279527266421</v>
      </c>
      <c r="H513">
        <v>-0.012</v>
      </c>
      <c r="I513">
        <v>0.08872538079628201</v>
      </c>
      <c r="J513" t="s">
        <v>526</v>
      </c>
      <c r="K513" t="s">
        <v>781</v>
      </c>
      <c r="L513">
        <v>2.39</v>
      </c>
      <c r="M513">
        <v>1.08</v>
      </c>
      <c r="N513">
        <v>0.4518828451882845</v>
      </c>
      <c r="O513">
        <v>4</v>
      </c>
      <c r="P513">
        <v>0.01263939059641661</v>
      </c>
      <c r="Q513">
        <v>0.168609528217291</v>
      </c>
      <c r="R513" t="s">
        <v>784</v>
      </c>
      <c r="S513" t="s">
        <v>797</v>
      </c>
      <c r="T513">
        <v>36626.97608</v>
      </c>
      <c r="U513" s="2">
        <v>44491</v>
      </c>
      <c r="V513" t="s">
        <v>808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45.9</v>
      </c>
      <c r="D514">
        <v>46</v>
      </c>
      <c r="E514">
        <v>0.9978260869565218</v>
      </c>
      <c r="F514">
        <v>0.04030501089324619</v>
      </c>
      <c r="G514">
        <v>0.0004353506221062009</v>
      </c>
      <c r="H514">
        <v>0.05</v>
      </c>
      <c r="I514">
        <v>0.08579101090362373</v>
      </c>
      <c r="J514" t="s">
        <v>526</v>
      </c>
      <c r="K514" t="s">
        <v>350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0.031569766396317</v>
      </c>
      <c r="R514" t="s">
        <v>784</v>
      </c>
      <c r="S514" t="s">
        <v>790</v>
      </c>
      <c r="T514">
        <v>17771.506825</v>
      </c>
      <c r="U514" s="2">
        <v>44498</v>
      </c>
      <c r="V514" t="s">
        <v>807</v>
      </c>
    </row>
    <row r="515" spans="1:22">
      <c r="A515" s="1" t="s">
        <v>535</v>
      </c>
      <c r="B515">
        <f>HYPERLINK("https://www.suredividend.com/sure-analysis-RIO/","Rio Tinto plc")</f>
        <v>0</v>
      </c>
      <c r="C515">
        <v>64.11</v>
      </c>
      <c r="D515">
        <v>73</v>
      </c>
      <c r="E515">
        <v>0.8782191780821917</v>
      </c>
      <c r="F515">
        <v>0.08750584932147872</v>
      </c>
      <c r="G515">
        <v>0.02631202313419467</v>
      </c>
      <c r="H515">
        <v>0</v>
      </c>
      <c r="I515">
        <v>0.08499299702232843</v>
      </c>
      <c r="J515" t="s">
        <v>526</v>
      </c>
      <c r="K515" t="s">
        <v>781</v>
      </c>
      <c r="L515">
        <v>14</v>
      </c>
      <c r="M515">
        <v>5.61</v>
      </c>
      <c r="N515">
        <v>0.4007142857142857</v>
      </c>
      <c r="O515">
        <v>5</v>
      </c>
      <c r="P515">
        <v>-0.05987225238578009</v>
      </c>
      <c r="Q515">
        <v>-0.063711709080287</v>
      </c>
      <c r="R515" t="s">
        <v>784</v>
      </c>
      <c r="S515" t="s">
        <v>794</v>
      </c>
      <c r="T515">
        <v>104505.708948</v>
      </c>
      <c r="U515" s="2">
        <v>44524</v>
      </c>
      <c r="V515" t="s">
        <v>807</v>
      </c>
    </row>
    <row r="516" spans="1:22">
      <c r="A516" s="1" t="s">
        <v>536</v>
      </c>
      <c r="B516">
        <f>HYPERLINK("https://www.suredividend.com/sure-analysis-HIW/","Highwoods Properties, Inc.")</f>
        <v>0</v>
      </c>
      <c r="C516">
        <v>44.29</v>
      </c>
      <c r="D516">
        <v>49</v>
      </c>
      <c r="E516">
        <v>0.9038775510204081</v>
      </c>
      <c r="F516">
        <v>0.04515692029803568</v>
      </c>
      <c r="G516">
        <v>0.02041792730955594</v>
      </c>
      <c r="H516">
        <v>0.025</v>
      </c>
      <c r="I516">
        <v>0.08324673549175943</v>
      </c>
      <c r="J516" t="s">
        <v>526</v>
      </c>
      <c r="K516" t="s">
        <v>350</v>
      </c>
      <c r="L516">
        <v>3.75</v>
      </c>
      <c r="M516">
        <v>2</v>
      </c>
      <c r="N516">
        <v>0.5333333333333333</v>
      </c>
      <c r="O516">
        <v>4</v>
      </c>
      <c r="P516">
        <v>0.02016978262061087</v>
      </c>
      <c r="Q516">
        <v>0.178487022803244</v>
      </c>
      <c r="R516" t="s">
        <v>786</v>
      </c>
      <c r="S516" t="s">
        <v>798</v>
      </c>
      <c r="T516">
        <v>4622.081985</v>
      </c>
      <c r="U516" s="2">
        <v>44496</v>
      </c>
      <c r="V516" t="s">
        <v>805</v>
      </c>
    </row>
    <row r="517" spans="1:22">
      <c r="A517" s="1" t="s">
        <v>537</v>
      </c>
      <c r="B517">
        <f>HYPERLINK("https://www.suredividend.com/sure-analysis-DTEGY/","Deutsche Telekom AG")</f>
        <v>0</v>
      </c>
      <c r="C517">
        <v>17.9401</v>
      </c>
      <c r="D517">
        <v>18</v>
      </c>
      <c r="E517">
        <v>0.9966722222222223</v>
      </c>
      <c r="F517">
        <v>0.04013355555431686</v>
      </c>
      <c r="G517">
        <v>0.0006668876997959483</v>
      </c>
      <c r="H517">
        <v>0.05</v>
      </c>
      <c r="I517">
        <v>0.08270941224601946</v>
      </c>
      <c r="J517" t="s">
        <v>526</v>
      </c>
      <c r="K517" t="s">
        <v>350</v>
      </c>
      <c r="L517">
        <v>1.2</v>
      </c>
      <c r="M517">
        <v>0.72</v>
      </c>
      <c r="N517">
        <v>0.6</v>
      </c>
      <c r="O517">
        <v>1</v>
      </c>
      <c r="P517">
        <v>0.01087212085035083</v>
      </c>
      <c r="Q517">
        <v>0.029886047245902</v>
      </c>
      <c r="R517" t="s">
        <v>784</v>
      </c>
      <c r="S517" t="s">
        <v>788</v>
      </c>
      <c r="T517">
        <v>89457.565858</v>
      </c>
      <c r="U517" s="2">
        <v>44517</v>
      </c>
      <c r="V517" t="s">
        <v>807</v>
      </c>
    </row>
    <row r="518" spans="1:22">
      <c r="A518" s="1" t="s">
        <v>538</v>
      </c>
      <c r="B518">
        <f>HYPERLINK("https://www.suredividend.com/sure-analysis-HASI/","Hannon Armstrong Sustainable Infrastructure capital Inc")</f>
        <v>0</v>
      </c>
      <c r="C518">
        <v>56.07</v>
      </c>
      <c r="D518">
        <v>50</v>
      </c>
      <c r="E518">
        <v>1.1214</v>
      </c>
      <c r="F518">
        <v>0.02496878901373283</v>
      </c>
      <c r="G518">
        <v>-0.0226550131655564</v>
      </c>
      <c r="H518">
        <v>0.08500000000000001</v>
      </c>
      <c r="I518">
        <v>0.08176220689756919</v>
      </c>
      <c r="J518" t="s">
        <v>526</v>
      </c>
      <c r="K518" t="s">
        <v>526</v>
      </c>
      <c r="L518">
        <v>1.68</v>
      </c>
      <c r="M518">
        <v>1.4</v>
      </c>
      <c r="N518">
        <v>0.8333333333333333</v>
      </c>
      <c r="O518">
        <v>3</v>
      </c>
      <c r="P518">
        <v>0.03959498820755258</v>
      </c>
      <c r="Q518">
        <v>0.01491413239868</v>
      </c>
      <c r="R518" t="s">
        <v>786</v>
      </c>
      <c r="S518" t="s">
        <v>798</v>
      </c>
      <c r="T518">
        <v>4407.279952</v>
      </c>
      <c r="U518" s="2">
        <v>44513</v>
      </c>
      <c r="V518" t="s">
        <v>799</v>
      </c>
    </row>
    <row r="519" spans="1:22">
      <c r="A519" s="1" t="s">
        <v>539</v>
      </c>
      <c r="B519">
        <f>HYPERLINK("https://www.suredividend.com/sure-analysis-BHP/","BHP Group Limited")</f>
        <v>0</v>
      </c>
      <c r="C519">
        <v>57.21</v>
      </c>
      <c r="D519">
        <v>87</v>
      </c>
      <c r="E519">
        <v>0.6575862068965518</v>
      </c>
      <c r="F519">
        <v>0.06292606187729417</v>
      </c>
      <c r="G519">
        <v>0.08745040905809254</v>
      </c>
      <c r="H519">
        <v>-0.05</v>
      </c>
      <c r="I519">
        <v>0.08010235681128663</v>
      </c>
      <c r="J519" t="s">
        <v>526</v>
      </c>
      <c r="K519" t="s">
        <v>350</v>
      </c>
      <c r="L519">
        <v>6.2</v>
      </c>
      <c r="M519">
        <v>3.6</v>
      </c>
      <c r="N519">
        <v>0.5806451612903226</v>
      </c>
      <c r="O519">
        <v>1</v>
      </c>
      <c r="P519">
        <v>-0.02328131613882611</v>
      </c>
      <c r="Q519">
        <v>-0.005934847023452001</v>
      </c>
      <c r="R519" t="s">
        <v>784</v>
      </c>
      <c r="S519" t="s">
        <v>794</v>
      </c>
      <c r="T519">
        <v>84377.189868</v>
      </c>
      <c r="U519" s="2">
        <v>44524</v>
      </c>
      <c r="V519" t="s">
        <v>807</v>
      </c>
    </row>
    <row r="520" spans="1:22">
      <c r="A520" s="1" t="s">
        <v>540</v>
      </c>
      <c r="B520">
        <f>HYPERLINK("https://www.suredividend.com/sure-analysis-GEL/","Genesis Energy L.P.")</f>
        <v>0</v>
      </c>
      <c r="C520">
        <v>10.34</v>
      </c>
      <c r="D520">
        <v>10</v>
      </c>
      <c r="E520">
        <v>1.034</v>
      </c>
      <c r="F520">
        <v>0.05802707930367505</v>
      </c>
      <c r="G520">
        <v>-0.006664647283955216</v>
      </c>
      <c r="H520">
        <v>0.04</v>
      </c>
      <c r="I520">
        <v>0.07962549657041751</v>
      </c>
      <c r="J520" t="s">
        <v>526</v>
      </c>
      <c r="K520" t="s">
        <v>781</v>
      </c>
      <c r="L520">
        <v>2</v>
      </c>
      <c r="M520">
        <v>0.6</v>
      </c>
      <c r="N520">
        <v>0.3</v>
      </c>
      <c r="O520">
        <v>0</v>
      </c>
      <c r="P520">
        <v>0</v>
      </c>
      <c r="Q520">
        <v>0.560611554266376</v>
      </c>
      <c r="R520" t="s">
        <v>785</v>
      </c>
      <c r="S520" t="s">
        <v>797</v>
      </c>
      <c r="T520">
        <v>1265.830153</v>
      </c>
      <c r="U520" s="2">
        <v>44522</v>
      </c>
      <c r="V520" t="s">
        <v>807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18.12</v>
      </c>
      <c r="D521">
        <v>20</v>
      </c>
      <c r="E521">
        <v>0.906</v>
      </c>
      <c r="F521">
        <v>0.04635761589403973</v>
      </c>
      <c r="G521">
        <v>0.01993938043889498</v>
      </c>
      <c r="H521">
        <v>0.022</v>
      </c>
      <c r="I521">
        <v>0.07922557581306888</v>
      </c>
      <c r="J521" t="s">
        <v>526</v>
      </c>
      <c r="K521" t="s">
        <v>350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0.172648554898331</v>
      </c>
      <c r="R521" t="s">
        <v>786</v>
      </c>
      <c r="S521" t="s">
        <v>798</v>
      </c>
      <c r="T521">
        <v>2249.359215</v>
      </c>
      <c r="U521" s="2">
        <v>44498</v>
      </c>
      <c r="V521" t="s">
        <v>805</v>
      </c>
    </row>
    <row r="522" spans="1:22">
      <c r="A522" s="1" t="s">
        <v>542</v>
      </c>
      <c r="B522">
        <f>HYPERLINK("https://www.suredividend.com/sure-analysis-CNA/","CNA Financial Corp.")</f>
        <v>0</v>
      </c>
      <c r="C522">
        <v>44.12</v>
      </c>
      <c r="D522">
        <v>48</v>
      </c>
      <c r="E522">
        <v>0.9191666666666666</v>
      </c>
      <c r="F522">
        <v>0.03445149592021759</v>
      </c>
      <c r="G522">
        <v>0.01700045382424387</v>
      </c>
      <c r="H522">
        <v>0.03</v>
      </c>
      <c r="I522">
        <v>0.07706641811697845</v>
      </c>
      <c r="J522" t="s">
        <v>526</v>
      </c>
      <c r="K522" t="s">
        <v>350</v>
      </c>
      <c r="L522">
        <v>4</v>
      </c>
      <c r="M522">
        <v>1.52</v>
      </c>
      <c r="N522">
        <v>0.38</v>
      </c>
      <c r="O522">
        <v>5</v>
      </c>
      <c r="P522">
        <v>0.02975477857041309</v>
      </c>
      <c r="Q522">
        <v>0.224352711284806</v>
      </c>
      <c r="R522" t="s">
        <v>784</v>
      </c>
      <c r="S522" t="s">
        <v>793</v>
      </c>
      <c r="T522">
        <v>11969.684439</v>
      </c>
      <c r="U522" s="2">
        <v>44509</v>
      </c>
      <c r="V522" t="s">
        <v>801</v>
      </c>
    </row>
    <row r="523" spans="1:22">
      <c r="A523" s="1" t="s">
        <v>543</v>
      </c>
      <c r="B523">
        <f>HYPERLINK("https://www.suredividend.com/sure-analysis-OFC/","Corporate Office Properties Trust")</f>
        <v>0</v>
      </c>
      <c r="C523">
        <v>27</v>
      </c>
      <c r="D523">
        <v>29</v>
      </c>
      <c r="E523">
        <v>0.9310344827586207</v>
      </c>
      <c r="F523">
        <v>0.04074074074074074</v>
      </c>
      <c r="G523">
        <v>0.01439440873959064</v>
      </c>
      <c r="H523">
        <v>0.03</v>
      </c>
      <c r="I523">
        <v>0.07697266614470388</v>
      </c>
      <c r="J523" t="s">
        <v>526</v>
      </c>
      <c r="K523" t="s">
        <v>350</v>
      </c>
      <c r="L523">
        <v>2.28</v>
      </c>
      <c r="M523">
        <v>1.1</v>
      </c>
      <c r="N523">
        <v>0.4824561403508772</v>
      </c>
      <c r="O523">
        <v>0</v>
      </c>
      <c r="P523">
        <v>0</v>
      </c>
      <c r="Q523">
        <v>0.101191325875141</v>
      </c>
      <c r="R523" t="s">
        <v>786</v>
      </c>
      <c r="S523" t="s">
        <v>798</v>
      </c>
      <c r="T523">
        <v>3032.770977</v>
      </c>
      <c r="U523" s="2">
        <v>44535</v>
      </c>
      <c r="V523" t="s">
        <v>802</v>
      </c>
    </row>
    <row r="524" spans="1:22">
      <c r="A524" s="1" t="s">
        <v>544</v>
      </c>
      <c r="B524">
        <f>HYPERLINK("https://www.suredividend.com/sure-analysis-REG/","Regency Centers Corporation")</f>
        <v>0</v>
      </c>
      <c r="C524">
        <v>73.27</v>
      </c>
      <c r="D524">
        <v>75</v>
      </c>
      <c r="E524">
        <v>0.9769333333333333</v>
      </c>
      <c r="F524">
        <v>0.03412037668895865</v>
      </c>
      <c r="G524">
        <v>0.004678282224344965</v>
      </c>
      <c r="H524">
        <v>0.04</v>
      </c>
      <c r="I524">
        <v>0.07487332017006598</v>
      </c>
      <c r="J524" t="s">
        <v>526</v>
      </c>
      <c r="K524" t="s">
        <v>526</v>
      </c>
      <c r="L524">
        <v>3.95</v>
      </c>
      <c r="M524">
        <v>2.5</v>
      </c>
      <c r="N524">
        <v>0.6329113924050632</v>
      </c>
      <c r="O524">
        <v>9</v>
      </c>
      <c r="P524">
        <v>0.03505466752592223</v>
      </c>
      <c r="Q524">
        <v>0.620540858552682</v>
      </c>
      <c r="R524" t="s">
        <v>786</v>
      </c>
      <c r="S524" t="s">
        <v>798</v>
      </c>
      <c r="T524">
        <v>12544.77673</v>
      </c>
      <c r="U524" s="2">
        <v>44513</v>
      </c>
      <c r="V524" t="s">
        <v>799</v>
      </c>
    </row>
    <row r="525" spans="1:22">
      <c r="A525" s="1" t="s">
        <v>545</v>
      </c>
      <c r="B525">
        <f>HYPERLINK("https://www.suredividend.com/sure-analysis-SUUIF/","Superior Plus Corp.")</f>
        <v>0</v>
      </c>
      <c r="C525">
        <v>10.83</v>
      </c>
      <c r="D525">
        <v>12.6</v>
      </c>
      <c r="E525">
        <v>0.8595238095238096</v>
      </c>
      <c r="F525">
        <v>0.05355493998153277</v>
      </c>
      <c r="G525">
        <v>0.03073830928334154</v>
      </c>
      <c r="H525">
        <v>0</v>
      </c>
      <c r="I525">
        <v>0.07433728518688776</v>
      </c>
      <c r="J525" t="s">
        <v>526</v>
      </c>
      <c r="K525" t="s">
        <v>781</v>
      </c>
      <c r="L525">
        <v>1.75</v>
      </c>
      <c r="M525">
        <v>0.58</v>
      </c>
      <c r="N525">
        <v>0.3314285714285714</v>
      </c>
      <c r="O525">
        <v>0</v>
      </c>
      <c r="P525">
        <v>0</v>
      </c>
      <c r="Q525">
        <v>0.108495394063459</v>
      </c>
      <c r="R525" t="s">
        <v>784</v>
      </c>
      <c r="S525" t="s">
        <v>796</v>
      </c>
      <c r="T525">
        <v>1906.53147</v>
      </c>
      <c r="U525" s="2">
        <v>44516</v>
      </c>
      <c r="V525" t="s">
        <v>799</v>
      </c>
    </row>
    <row r="526" spans="1:22">
      <c r="A526" s="1" t="s">
        <v>546</v>
      </c>
      <c r="B526">
        <f>HYPERLINK("https://www.suredividend.com/sure-analysis-EMRAF/","Emera, Inc.")</f>
        <v>0</v>
      </c>
      <c r="C526">
        <v>46.77</v>
      </c>
      <c r="D526">
        <v>42</v>
      </c>
      <c r="E526">
        <v>1.113571428571429</v>
      </c>
      <c r="F526">
        <v>0.04511438956596108</v>
      </c>
      <c r="G526">
        <v>-0.0212846853201083</v>
      </c>
      <c r="H526">
        <v>0.055</v>
      </c>
      <c r="I526">
        <v>0.07385016021088275</v>
      </c>
      <c r="J526" t="s">
        <v>526</v>
      </c>
      <c r="K526" t="s">
        <v>781</v>
      </c>
      <c r="L526">
        <v>2.26</v>
      </c>
      <c r="M526">
        <v>2.11</v>
      </c>
      <c r="N526">
        <v>0.9336283185840708</v>
      </c>
      <c r="O526">
        <v>14</v>
      </c>
      <c r="P526">
        <v>0.04023181804828235</v>
      </c>
      <c r="Q526">
        <v>0.102156238953693</v>
      </c>
      <c r="R526" t="s">
        <v>784</v>
      </c>
      <c r="S526" t="s">
        <v>796</v>
      </c>
      <c r="T526">
        <v>12100.653558</v>
      </c>
      <c r="U526" s="2">
        <v>44516</v>
      </c>
      <c r="V526" t="s">
        <v>805</v>
      </c>
    </row>
    <row r="527" spans="1:22">
      <c r="A527" s="1" t="s">
        <v>547</v>
      </c>
      <c r="B527">
        <f>HYPERLINK("https://www.suredividend.com/sure-analysis-DEI/","Douglas Emmett Inc")</f>
        <v>0</v>
      </c>
      <c r="C527">
        <v>33.38</v>
      </c>
      <c r="D527">
        <v>29</v>
      </c>
      <c r="E527">
        <v>1.151034482758621</v>
      </c>
      <c r="F527">
        <v>0.0335530257639305</v>
      </c>
      <c r="G527">
        <v>-0.02774019160392494</v>
      </c>
      <c r="H527">
        <v>0.07000000000000001</v>
      </c>
      <c r="I527">
        <v>0.07251355290778294</v>
      </c>
      <c r="J527" t="s">
        <v>526</v>
      </c>
      <c r="K527" t="s">
        <v>526</v>
      </c>
      <c r="L527">
        <v>1.86</v>
      </c>
      <c r="M527">
        <v>1.12</v>
      </c>
      <c r="N527">
        <v>0.6021505376344086</v>
      </c>
      <c r="O527">
        <v>10</v>
      </c>
      <c r="P527">
        <v>0.06016789231717423</v>
      </c>
      <c r="Q527">
        <v>0.110020790020789</v>
      </c>
      <c r="R527" t="s">
        <v>786</v>
      </c>
      <c r="S527" t="s">
        <v>798</v>
      </c>
      <c r="T527">
        <v>5855.960479</v>
      </c>
      <c r="U527" s="2">
        <v>44524</v>
      </c>
      <c r="V527" t="s">
        <v>807</v>
      </c>
    </row>
    <row r="528" spans="1:22">
      <c r="A528" s="1" t="s">
        <v>548</v>
      </c>
      <c r="B528">
        <f>HYPERLINK("https://www.suredividend.com/sure-analysis-WSR/","Whitestone REIT")</f>
        <v>0</v>
      </c>
      <c r="C528">
        <v>9.640000000000001</v>
      </c>
      <c r="D528">
        <v>10</v>
      </c>
      <c r="E528">
        <v>0.9640000000000001</v>
      </c>
      <c r="F528">
        <v>0.0446058091286307</v>
      </c>
      <c r="G528">
        <v>0.007359747663933325</v>
      </c>
      <c r="H528">
        <v>0.02</v>
      </c>
      <c r="I528">
        <v>0.07248288022062077</v>
      </c>
      <c r="J528" t="s">
        <v>526</v>
      </c>
      <c r="K528" t="s">
        <v>350</v>
      </c>
      <c r="L528">
        <v>0.92</v>
      </c>
      <c r="M528">
        <v>0.43</v>
      </c>
      <c r="N528">
        <v>0.4673913043478261</v>
      </c>
      <c r="O528">
        <v>0</v>
      </c>
      <c r="P528">
        <v>0.06889872481155268</v>
      </c>
      <c r="Q528">
        <v>0.254701878148143</v>
      </c>
      <c r="R528" t="s">
        <v>786</v>
      </c>
      <c r="S528" t="s">
        <v>798</v>
      </c>
      <c r="T528">
        <v>473.44986</v>
      </c>
      <c r="U528" s="2">
        <v>44498</v>
      </c>
      <c r="V528" t="s">
        <v>809</v>
      </c>
    </row>
    <row r="529" spans="1:22">
      <c r="A529" s="1" t="s">
        <v>549</v>
      </c>
      <c r="B529">
        <f>HYPERLINK("https://www.suredividend.com/sure-analysis-ABEV/","Ambev S.A.")</f>
        <v>0</v>
      </c>
      <c r="C529">
        <v>2.82</v>
      </c>
      <c r="D529">
        <v>3.08</v>
      </c>
      <c r="E529">
        <v>0.9155844155844156</v>
      </c>
      <c r="F529">
        <v>0.02836879432624113</v>
      </c>
      <c r="G529">
        <v>0.01779502015545353</v>
      </c>
      <c r="H529">
        <v>0.03</v>
      </c>
      <c r="I529">
        <v>0.07241825701234417</v>
      </c>
      <c r="J529" t="s">
        <v>526</v>
      </c>
      <c r="K529" t="s">
        <v>526</v>
      </c>
      <c r="L529">
        <v>0.14</v>
      </c>
      <c r="M529">
        <v>0.08</v>
      </c>
      <c r="N529">
        <v>0.5714285714285714</v>
      </c>
      <c r="O529">
        <v>0</v>
      </c>
      <c r="P529">
        <v>0.02383625553960966</v>
      </c>
      <c r="Q529">
        <v>-0.074135090609555</v>
      </c>
      <c r="R529" t="s">
        <v>784</v>
      </c>
      <c r="S529" t="s">
        <v>795</v>
      </c>
      <c r="T529">
        <v>44233.489098</v>
      </c>
      <c r="U529" s="2">
        <v>44530</v>
      </c>
      <c r="V529" t="s">
        <v>806</v>
      </c>
    </row>
    <row r="530" spans="1:22">
      <c r="A530" s="1" t="s">
        <v>550</v>
      </c>
      <c r="B530">
        <f>HYPERLINK("https://www.suredividend.com/sure-analysis-FRFHF/","Fairfax Financial Holdings Ltd.")</f>
        <v>0</v>
      </c>
      <c r="C530">
        <v>454.19</v>
      </c>
      <c r="D530">
        <v>565</v>
      </c>
      <c r="E530">
        <v>0.8038761061946903</v>
      </c>
      <c r="F530">
        <v>0.02201721746405689</v>
      </c>
      <c r="G530">
        <v>0.04462923528453011</v>
      </c>
      <c r="H530">
        <v>0.01</v>
      </c>
      <c r="I530">
        <v>0.07227324721632566</v>
      </c>
      <c r="J530" t="s">
        <v>526</v>
      </c>
      <c r="K530" t="s">
        <v>526</v>
      </c>
      <c r="L530">
        <v>32</v>
      </c>
      <c r="M530">
        <v>10</v>
      </c>
      <c r="N530">
        <v>0.3125</v>
      </c>
      <c r="O530">
        <v>0</v>
      </c>
      <c r="P530">
        <v>0</v>
      </c>
      <c r="Q530">
        <v>0.287102422679345</v>
      </c>
      <c r="R530" t="s">
        <v>784</v>
      </c>
      <c r="S530" t="s">
        <v>793</v>
      </c>
      <c r="T530">
        <v>12256.848552</v>
      </c>
      <c r="U530" s="2">
        <v>44515</v>
      </c>
      <c r="V530" t="s">
        <v>807</v>
      </c>
    </row>
    <row r="531" spans="1:22">
      <c r="A531" s="1" t="s">
        <v>551</v>
      </c>
      <c r="B531">
        <f>HYPERLINK("https://www.suredividend.com/sure-analysis-NXRT/","NexPoint Residential Trust Inc")</f>
        <v>0</v>
      </c>
      <c r="C531">
        <v>78.09</v>
      </c>
      <c r="D531">
        <v>65.04000000000001</v>
      </c>
      <c r="E531">
        <v>1.200645756457565</v>
      </c>
      <c r="F531">
        <v>0.0194647201946472</v>
      </c>
      <c r="G531">
        <v>-0.03591123476075309</v>
      </c>
      <c r="H531">
        <v>0.09</v>
      </c>
      <c r="I531">
        <v>0.07148075353064476</v>
      </c>
      <c r="J531" t="s">
        <v>526</v>
      </c>
      <c r="K531" t="s">
        <v>782</v>
      </c>
      <c r="L531">
        <v>2.71</v>
      </c>
      <c r="M531">
        <v>1.52</v>
      </c>
      <c r="N531">
        <v>0.5608856088560886</v>
      </c>
      <c r="O531">
        <v>6</v>
      </c>
      <c r="P531">
        <v>0.1001819089885529</v>
      </c>
      <c r="Q531">
        <v>0.8778812094045561</v>
      </c>
      <c r="R531" t="s">
        <v>786</v>
      </c>
      <c r="S531" t="s">
        <v>798</v>
      </c>
      <c r="T531">
        <v>1971.900646</v>
      </c>
      <c r="U531" s="2">
        <v>44541</v>
      </c>
      <c r="V531" t="s">
        <v>799</v>
      </c>
    </row>
    <row r="532" spans="1:22">
      <c r="A532" s="1" t="s">
        <v>552</v>
      </c>
      <c r="B532">
        <f>HYPERLINK("https://www.suredividend.com/sure-analysis-CUZ/","Cousins Properties Inc.")</f>
        <v>0</v>
      </c>
      <c r="C532">
        <v>39.4</v>
      </c>
      <c r="D532">
        <v>40</v>
      </c>
      <c r="E532">
        <v>0.985</v>
      </c>
      <c r="F532">
        <v>0.03147208121827411</v>
      </c>
      <c r="G532">
        <v>0.003027300609498074</v>
      </c>
      <c r="H532">
        <v>0.04</v>
      </c>
      <c r="I532">
        <v>0.07074875729579921</v>
      </c>
      <c r="J532" t="s">
        <v>526</v>
      </c>
      <c r="K532" t="s">
        <v>526</v>
      </c>
      <c r="L532">
        <v>2.75</v>
      </c>
      <c r="M532">
        <v>1.24</v>
      </c>
      <c r="N532">
        <v>0.4509090909090909</v>
      </c>
      <c r="O532">
        <v>3</v>
      </c>
      <c r="P532">
        <v>0.03035803310185115</v>
      </c>
      <c r="Q532">
        <v>0.205833810502206</v>
      </c>
      <c r="R532" t="s">
        <v>786</v>
      </c>
      <c r="S532" t="s">
        <v>798</v>
      </c>
      <c r="T532">
        <v>5855.334858</v>
      </c>
      <c r="U532" s="2">
        <v>44533</v>
      </c>
      <c r="V532" t="s">
        <v>807</v>
      </c>
    </row>
    <row r="533" spans="1:22">
      <c r="A533" s="1" t="s">
        <v>553</v>
      </c>
      <c r="B533">
        <f>HYPERLINK("https://www.suredividend.com/sure-analysis-ING/","ING Groep N.V.")</f>
        <v>0</v>
      </c>
      <c r="C533">
        <v>13.87</v>
      </c>
      <c r="D533">
        <v>14.7</v>
      </c>
      <c r="E533">
        <v>0.9435374149659864</v>
      </c>
      <c r="F533">
        <v>0.05046863734679163</v>
      </c>
      <c r="G533">
        <v>0.01169167137780858</v>
      </c>
      <c r="H533">
        <v>0.01</v>
      </c>
      <c r="I533">
        <v>0.07052995618088098</v>
      </c>
      <c r="J533" t="s">
        <v>526</v>
      </c>
      <c r="K533" t="s">
        <v>350</v>
      </c>
      <c r="L533">
        <v>1.47</v>
      </c>
      <c r="M533">
        <v>0.7</v>
      </c>
      <c r="N533">
        <v>0.4761904761904762</v>
      </c>
      <c r="O533">
        <v>0</v>
      </c>
      <c r="P533">
        <v>0.04920026914708719</v>
      </c>
      <c r="Q533">
        <v>0.5355660116246881</v>
      </c>
      <c r="R533" t="s">
        <v>784</v>
      </c>
      <c r="S533" t="s">
        <v>793</v>
      </c>
      <c r="T533">
        <v>54148.875975</v>
      </c>
      <c r="U533" s="2">
        <v>44515</v>
      </c>
      <c r="V533" t="s">
        <v>799</v>
      </c>
    </row>
    <row r="534" spans="1:22">
      <c r="A534" s="1" t="s">
        <v>554</v>
      </c>
      <c r="B534">
        <f>HYPERLINK("https://www.suredividend.com/sure-analysis-FE/","Firstenergy Corp.")</f>
        <v>0</v>
      </c>
      <c r="C534">
        <v>39.63</v>
      </c>
      <c r="D534">
        <v>39</v>
      </c>
      <c r="E534">
        <v>1.016153846153846</v>
      </c>
      <c r="F534">
        <v>0.03936411809235427</v>
      </c>
      <c r="G534">
        <v>-0.003199821837525318</v>
      </c>
      <c r="H534">
        <v>0.04</v>
      </c>
      <c r="I534">
        <v>0.06963298048043431</v>
      </c>
      <c r="J534" t="s">
        <v>526</v>
      </c>
      <c r="K534" t="s">
        <v>526</v>
      </c>
      <c r="L534">
        <v>2.6</v>
      </c>
      <c r="M534">
        <v>1.56</v>
      </c>
      <c r="N534">
        <v>0.6</v>
      </c>
      <c r="O534">
        <v>0</v>
      </c>
      <c r="P534">
        <v>0.01005227214699711</v>
      </c>
      <c r="Q534">
        <v>0.361109775118006</v>
      </c>
      <c r="R534" t="s">
        <v>784</v>
      </c>
      <c r="S534" t="s">
        <v>796</v>
      </c>
      <c r="T534">
        <v>21569.905305</v>
      </c>
      <c r="U534" s="2">
        <v>44498</v>
      </c>
      <c r="V534" t="s">
        <v>799</v>
      </c>
    </row>
    <row r="535" spans="1:22">
      <c r="A535" s="1" t="s">
        <v>555</v>
      </c>
      <c r="B535">
        <f>HYPERLINK("https://www.suredividend.com/sure-analysis-NWL/","Newell Brands Inc")</f>
        <v>0</v>
      </c>
      <c r="C535">
        <v>22.33</v>
      </c>
      <c r="D535">
        <v>23</v>
      </c>
      <c r="E535">
        <v>0.9708695652173912</v>
      </c>
      <c r="F535">
        <v>0.04120017913121362</v>
      </c>
      <c r="G535">
        <v>0.005930144113378999</v>
      </c>
      <c r="H535">
        <v>0.03</v>
      </c>
      <c r="I535">
        <v>0.06961929669817279</v>
      </c>
      <c r="J535" t="s">
        <v>526</v>
      </c>
      <c r="K535" t="s">
        <v>350</v>
      </c>
      <c r="L535">
        <v>1.75</v>
      </c>
      <c r="M535">
        <v>0.92</v>
      </c>
      <c r="N535">
        <v>0.5257142857142857</v>
      </c>
      <c r="O535">
        <v>0</v>
      </c>
      <c r="P535">
        <v>0</v>
      </c>
      <c r="Q535">
        <v>0.129763422581101</v>
      </c>
      <c r="R535" t="s">
        <v>784</v>
      </c>
      <c r="S535" t="s">
        <v>795</v>
      </c>
      <c r="T535">
        <v>9499.182000000001</v>
      </c>
      <c r="U535" s="2">
        <v>44519</v>
      </c>
      <c r="V535" t="s">
        <v>804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34.15</v>
      </c>
      <c r="D536">
        <v>36</v>
      </c>
      <c r="E536">
        <v>0.9486111111111111</v>
      </c>
      <c r="F536">
        <v>0.04685212298682284</v>
      </c>
      <c r="G536">
        <v>0.01060713143744207</v>
      </c>
      <c r="H536">
        <v>0.02</v>
      </c>
      <c r="I536">
        <v>0.06932793051327302</v>
      </c>
      <c r="J536" t="s">
        <v>526</v>
      </c>
      <c r="K536" t="s">
        <v>350</v>
      </c>
      <c r="L536">
        <v>2.8</v>
      </c>
      <c r="M536">
        <v>1.6</v>
      </c>
      <c r="N536">
        <v>0.5714285714285715</v>
      </c>
      <c r="O536">
        <v>0</v>
      </c>
      <c r="P536">
        <v>0</v>
      </c>
      <c r="Q536">
        <v>0.04496245478969101</v>
      </c>
      <c r="R536" t="s">
        <v>784</v>
      </c>
      <c r="S536" t="s">
        <v>795</v>
      </c>
      <c r="T536">
        <v>41801.050043</v>
      </c>
      <c r="U536" s="2">
        <v>44508</v>
      </c>
      <c r="V536" t="s">
        <v>803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68.01000000000001</v>
      </c>
      <c r="D537">
        <v>63</v>
      </c>
      <c r="E537">
        <v>1.07952380952381</v>
      </c>
      <c r="F537">
        <v>0.03499485369798559</v>
      </c>
      <c r="G537">
        <v>-0.0151874941889466</v>
      </c>
      <c r="H537">
        <v>0.05</v>
      </c>
      <c r="I537">
        <v>0.06730658968347525</v>
      </c>
      <c r="J537" t="s">
        <v>526</v>
      </c>
      <c r="K537" t="s">
        <v>526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0.08609542306611101</v>
      </c>
      <c r="R537" t="s">
        <v>786</v>
      </c>
      <c r="S537" t="s">
        <v>798</v>
      </c>
      <c r="T537">
        <v>4745.022864</v>
      </c>
      <c r="U537" s="2">
        <v>44507</v>
      </c>
      <c r="V537" t="s">
        <v>802</v>
      </c>
    </row>
    <row r="538" spans="1:22">
      <c r="A538" s="1" t="s">
        <v>558</v>
      </c>
      <c r="B538">
        <f>HYPERLINK("https://www.suredividend.com/sure-analysis-AKR/","Acadia Realty Trust")</f>
        <v>0</v>
      </c>
      <c r="C538">
        <v>21.41</v>
      </c>
      <c r="D538">
        <v>20</v>
      </c>
      <c r="E538">
        <v>1.0705</v>
      </c>
      <c r="F538">
        <v>0.02802428771602055</v>
      </c>
      <c r="G538">
        <v>-0.01353276338006093</v>
      </c>
      <c r="H538">
        <v>0.05</v>
      </c>
      <c r="I538">
        <v>0.0666740110342543</v>
      </c>
      <c r="J538" t="s">
        <v>526</v>
      </c>
      <c r="K538" t="s">
        <v>526</v>
      </c>
      <c r="L538">
        <v>1.1</v>
      </c>
      <c r="M538">
        <v>0.6</v>
      </c>
      <c r="N538">
        <v>0.5454545454545454</v>
      </c>
      <c r="O538">
        <v>1</v>
      </c>
      <c r="P538">
        <v>0.1008397341583922</v>
      </c>
      <c r="Q538">
        <v>0.506734540129128</v>
      </c>
      <c r="R538" t="s">
        <v>786</v>
      </c>
      <c r="S538" t="s">
        <v>798</v>
      </c>
      <c r="T538">
        <v>1892.906377</v>
      </c>
      <c r="U538" s="2">
        <v>44531</v>
      </c>
      <c r="V538" t="s">
        <v>799</v>
      </c>
    </row>
    <row r="539" spans="1:22">
      <c r="A539" s="1" t="s">
        <v>559</v>
      </c>
      <c r="B539">
        <f>HYPERLINK("https://www.suredividend.com/sure-analysis-NGG/","National Grid Plc")</f>
        <v>0</v>
      </c>
      <c r="C539">
        <v>69.54000000000001</v>
      </c>
      <c r="D539">
        <v>62</v>
      </c>
      <c r="E539">
        <v>1.121612903225807</v>
      </c>
      <c r="F539">
        <v>0.05162496404946793</v>
      </c>
      <c r="G539">
        <v>-0.02269211967540763</v>
      </c>
      <c r="H539">
        <v>0.04</v>
      </c>
      <c r="I539">
        <v>0.06586010775229711</v>
      </c>
      <c r="J539" t="s">
        <v>526</v>
      </c>
      <c r="K539" t="s">
        <v>781</v>
      </c>
      <c r="L539">
        <v>4.16</v>
      </c>
      <c r="M539">
        <v>3.59</v>
      </c>
      <c r="N539">
        <v>0.8629807692307692</v>
      </c>
      <c r="O539">
        <v>0</v>
      </c>
      <c r="P539">
        <v>0.0401055114467892</v>
      </c>
      <c r="Q539">
        <v>0.266115479782025</v>
      </c>
      <c r="R539" t="s">
        <v>784</v>
      </c>
      <c r="S539" t="s">
        <v>796</v>
      </c>
      <c r="T539">
        <v>50306.388417</v>
      </c>
      <c r="U539" s="2">
        <v>44528</v>
      </c>
      <c r="V539" t="s">
        <v>806</v>
      </c>
    </row>
    <row r="540" spans="1:22">
      <c r="A540" s="1" t="s">
        <v>560</v>
      </c>
      <c r="B540">
        <f>HYPERLINK("https://www.suredividend.com/sure-analysis-AGNC/","AGNC Investment Corp")</f>
        <v>0</v>
      </c>
      <c r="C540">
        <v>15.61</v>
      </c>
      <c r="D540">
        <v>23.5</v>
      </c>
      <c r="E540">
        <v>0.6642553191489361</v>
      </c>
      <c r="F540">
        <v>0.09224855861627163</v>
      </c>
      <c r="G540">
        <v>0.08525798977772525</v>
      </c>
      <c r="H540">
        <v>-0.099</v>
      </c>
      <c r="I540">
        <v>0.0644591166188031</v>
      </c>
      <c r="J540" t="s">
        <v>526</v>
      </c>
      <c r="K540" t="s">
        <v>781</v>
      </c>
      <c r="L540">
        <v>2.94</v>
      </c>
      <c r="M540">
        <v>1.44</v>
      </c>
      <c r="N540">
        <v>0.4897959183673469</v>
      </c>
      <c r="O540">
        <v>0</v>
      </c>
      <c r="P540">
        <v>0.008197818497166498</v>
      </c>
      <c r="Q540">
        <v>0.111704589965459</v>
      </c>
      <c r="R540" t="s">
        <v>786</v>
      </c>
      <c r="S540" t="s">
        <v>798</v>
      </c>
      <c r="T540">
        <v>8193.819842999999</v>
      </c>
      <c r="U540" s="2">
        <v>44503</v>
      </c>
      <c r="V540" t="s">
        <v>808</v>
      </c>
    </row>
    <row r="541" spans="1:22">
      <c r="A541" s="1" t="s">
        <v>561</v>
      </c>
      <c r="B541">
        <f>HYPERLINK("https://www.suredividend.com/sure-analysis-MPW/","Medical Properties Trust Inc")</f>
        <v>0</v>
      </c>
      <c r="C541">
        <v>21.84</v>
      </c>
      <c r="D541">
        <v>21.9</v>
      </c>
      <c r="E541">
        <v>0.9972602739726028</v>
      </c>
      <c r="F541">
        <v>0.05128205128205129</v>
      </c>
      <c r="G541">
        <v>0.0005488477509891787</v>
      </c>
      <c r="H541">
        <v>0.014</v>
      </c>
      <c r="I541">
        <v>0.06417086362394753</v>
      </c>
      <c r="J541" t="s">
        <v>526</v>
      </c>
      <c r="K541" t="s">
        <v>350</v>
      </c>
      <c r="L541">
        <v>1.75</v>
      </c>
      <c r="M541">
        <v>1.12</v>
      </c>
      <c r="N541">
        <v>0.64</v>
      </c>
      <c r="O541">
        <v>9</v>
      </c>
      <c r="P541">
        <v>0.04111932758460823</v>
      </c>
      <c r="Q541">
        <v>0.113155520670339</v>
      </c>
      <c r="R541" t="s">
        <v>786</v>
      </c>
      <c r="S541" t="s">
        <v>798</v>
      </c>
      <c r="T541">
        <v>13023.192</v>
      </c>
      <c r="U541" s="2">
        <v>44503</v>
      </c>
      <c r="V541" t="s">
        <v>808</v>
      </c>
    </row>
    <row r="542" spans="1:22">
      <c r="A542" s="1" t="s">
        <v>562</v>
      </c>
      <c r="B542">
        <f>HYPERLINK("https://www.suredividend.com/sure-analysis-INVH/","Invitation Homes Inc")</f>
        <v>0</v>
      </c>
      <c r="C542">
        <v>42.74</v>
      </c>
      <c r="D542">
        <v>35</v>
      </c>
      <c r="E542">
        <v>1.221142857142857</v>
      </c>
      <c r="F542">
        <v>0.01591015442208704</v>
      </c>
      <c r="G542">
        <v>-0.0391696665501482</v>
      </c>
      <c r="H542">
        <v>0.09</v>
      </c>
      <c r="I542">
        <v>0.06375800078528138</v>
      </c>
      <c r="J542" t="s">
        <v>526</v>
      </c>
      <c r="K542" t="s">
        <v>782</v>
      </c>
      <c r="L542">
        <v>1.28</v>
      </c>
      <c r="M542">
        <v>0.68</v>
      </c>
      <c r="N542">
        <v>0.53125</v>
      </c>
      <c r="O542">
        <v>4</v>
      </c>
      <c r="P542">
        <v>0.08447177119769855</v>
      </c>
      <c r="Q542">
        <v>0.503709125716135</v>
      </c>
      <c r="R542" t="s">
        <v>786</v>
      </c>
      <c r="S542" t="s">
        <v>798</v>
      </c>
      <c r="T542">
        <v>25499.92544</v>
      </c>
      <c r="U542" s="2">
        <v>44500</v>
      </c>
      <c r="V542" t="s">
        <v>799</v>
      </c>
    </row>
    <row r="543" spans="1:22">
      <c r="A543" s="1" t="s">
        <v>563</v>
      </c>
      <c r="B543">
        <f>HYPERLINK("https://www.suredividend.com/sure-analysis-PCAR/","Paccar Inc.")</f>
        <v>0</v>
      </c>
      <c r="C543">
        <v>89.14</v>
      </c>
      <c r="D543">
        <v>83</v>
      </c>
      <c r="E543">
        <v>1.073975903614458</v>
      </c>
      <c r="F543">
        <v>0.02647520753870316</v>
      </c>
      <c r="G543">
        <v>-0.01417212831278403</v>
      </c>
      <c r="H543">
        <v>0.05</v>
      </c>
      <c r="I543">
        <v>0.06302143617652511</v>
      </c>
      <c r="J543" t="s">
        <v>526</v>
      </c>
      <c r="K543" t="s">
        <v>526</v>
      </c>
      <c r="L543">
        <v>5.5</v>
      </c>
      <c r="M543">
        <v>2.36</v>
      </c>
      <c r="N543">
        <v>0.4290909090909091</v>
      </c>
      <c r="O543">
        <v>11</v>
      </c>
      <c r="P543">
        <v>0.08262742077275398</v>
      </c>
      <c r="Q543">
        <v>0.067281604777743</v>
      </c>
      <c r="R543" t="s">
        <v>784</v>
      </c>
      <c r="S543" t="s">
        <v>792</v>
      </c>
      <c r="T543">
        <v>30947.386572</v>
      </c>
      <c r="U543" s="2">
        <v>44497</v>
      </c>
      <c r="V543" t="s">
        <v>801</v>
      </c>
    </row>
    <row r="544" spans="1:22">
      <c r="A544" s="1" t="s">
        <v>564</v>
      </c>
      <c r="B544">
        <f>HYPERLINK("https://www.suredividend.com/sure-analysis-KRG/","Kite Realty Group Trust")</f>
        <v>0</v>
      </c>
      <c r="C544">
        <v>21.21</v>
      </c>
      <c r="D544">
        <v>19</v>
      </c>
      <c r="E544">
        <v>1.116315789473684</v>
      </c>
      <c r="F544">
        <v>0.03583215464403583</v>
      </c>
      <c r="G544">
        <v>-0.021766375758558</v>
      </c>
      <c r="H544">
        <v>0.055</v>
      </c>
      <c r="I544">
        <v>0.06273191829401092</v>
      </c>
      <c r="J544" t="s">
        <v>526</v>
      </c>
      <c r="K544" t="s">
        <v>526</v>
      </c>
      <c r="L544">
        <v>1.37</v>
      </c>
      <c r="M544">
        <v>0.76</v>
      </c>
      <c r="N544">
        <v>0.5547445255474452</v>
      </c>
      <c r="O544">
        <v>2</v>
      </c>
      <c r="P544">
        <v>0.01031145931793609</v>
      </c>
      <c r="Q544">
        <v>0.442641237365836</v>
      </c>
      <c r="R544" t="s">
        <v>786</v>
      </c>
      <c r="S544" t="s">
        <v>798</v>
      </c>
      <c r="T544">
        <v>4645.370423</v>
      </c>
      <c r="U544" s="2">
        <v>44512</v>
      </c>
      <c r="V544" t="s">
        <v>805</v>
      </c>
    </row>
    <row r="545" spans="1:22">
      <c r="A545" s="1" t="s">
        <v>565</v>
      </c>
      <c r="B545">
        <f>HYPERLINK("https://www.suredividend.com/sure-analysis-CNP/","Centerpoint Energy Inc.")</f>
        <v>0</v>
      </c>
      <c r="C545">
        <v>27.88</v>
      </c>
      <c r="D545">
        <v>21.9</v>
      </c>
      <c r="E545">
        <v>1.273059360730594</v>
      </c>
      <c r="F545">
        <v>0.02439024390243903</v>
      </c>
      <c r="G545">
        <v>-0.047137426495511</v>
      </c>
      <c r="H545">
        <v>0.083</v>
      </c>
      <c r="I545">
        <v>0.06236690184642502</v>
      </c>
      <c r="J545" t="s">
        <v>526</v>
      </c>
      <c r="K545" t="s">
        <v>526</v>
      </c>
      <c r="L545">
        <v>1.37</v>
      </c>
      <c r="M545">
        <v>0.68</v>
      </c>
      <c r="N545">
        <v>0.4963503649635037</v>
      </c>
      <c r="O545">
        <v>1</v>
      </c>
      <c r="P545">
        <v>0.1383790323022041</v>
      </c>
      <c r="Q545">
        <v>0.315528618765753</v>
      </c>
      <c r="R545" t="s">
        <v>784</v>
      </c>
      <c r="S545" t="s">
        <v>796</v>
      </c>
      <c r="T545">
        <v>17526.488007</v>
      </c>
      <c r="U545" s="2">
        <v>44509</v>
      </c>
      <c r="V545" t="s">
        <v>808</v>
      </c>
    </row>
    <row r="546" spans="1:22">
      <c r="A546" s="1" t="s">
        <v>566</v>
      </c>
      <c r="B546">
        <f>HYPERLINK("https://www.suredividend.com/sure-analysis-LMRK/","Landmark Infrastructure Partners LP")</f>
        <v>0</v>
      </c>
      <c r="C546">
        <v>16.46</v>
      </c>
      <c r="D546">
        <v>16.4</v>
      </c>
      <c r="E546">
        <v>1.003658536585366</v>
      </c>
      <c r="F546">
        <v>0.04860267314702309</v>
      </c>
      <c r="G546">
        <v>-0.0007301054269873708</v>
      </c>
      <c r="H546">
        <v>0.018</v>
      </c>
      <c r="I546">
        <v>0.06190072040908712</v>
      </c>
      <c r="J546" t="s">
        <v>526</v>
      </c>
      <c r="K546" t="s">
        <v>350</v>
      </c>
      <c r="L546">
        <v>1.49</v>
      </c>
      <c r="M546">
        <v>0.8</v>
      </c>
      <c r="N546">
        <v>0.5369127516778524</v>
      </c>
      <c r="O546">
        <v>0</v>
      </c>
      <c r="P546">
        <v>0.02383625553960966</v>
      </c>
      <c r="Q546">
        <v>0.554384573252497</v>
      </c>
      <c r="R546" t="s">
        <v>785</v>
      </c>
      <c r="S546" t="s">
        <v>798</v>
      </c>
      <c r="T546">
        <v>419.548808</v>
      </c>
      <c r="U546" s="2">
        <v>44509</v>
      </c>
      <c r="V546" t="s">
        <v>808</v>
      </c>
    </row>
    <row r="547" spans="1:22">
      <c r="A547" s="1" t="s">
        <v>567</v>
      </c>
      <c r="B547">
        <f>HYPERLINK("https://www.suredividend.com/sure-analysis-NSP/","Insperity Inc")</f>
        <v>0</v>
      </c>
      <c r="C547">
        <v>112.23</v>
      </c>
      <c r="D547">
        <v>96</v>
      </c>
      <c r="E547">
        <v>1.1690625</v>
      </c>
      <c r="F547">
        <v>0.01603849238171612</v>
      </c>
      <c r="G547">
        <v>-0.03075748905659459</v>
      </c>
      <c r="H547">
        <v>0.08</v>
      </c>
      <c r="I547">
        <v>0.06185318259930339</v>
      </c>
      <c r="J547" t="s">
        <v>526</v>
      </c>
      <c r="K547" t="s">
        <v>782</v>
      </c>
      <c r="L547">
        <v>4.36</v>
      </c>
      <c r="M547">
        <v>1.8</v>
      </c>
      <c r="N547">
        <v>0.4128440366972477</v>
      </c>
      <c r="O547">
        <v>14</v>
      </c>
      <c r="P547">
        <v>0.05024607263868264</v>
      </c>
      <c r="Q547">
        <v>0.320728960480513</v>
      </c>
      <c r="R547" t="s">
        <v>784</v>
      </c>
      <c r="S547" t="s">
        <v>793</v>
      </c>
      <c r="T547">
        <v>4321.050954</v>
      </c>
      <c r="U547" s="2">
        <v>44502</v>
      </c>
      <c r="V547" t="s">
        <v>805</v>
      </c>
    </row>
    <row r="548" spans="1:22">
      <c r="A548" s="1" t="s">
        <v>568</v>
      </c>
      <c r="B548">
        <f>HYPERLINK("https://www.suredividend.com/sure-analysis-GRMN/","Garmin Ltd")</f>
        <v>0</v>
      </c>
      <c r="C548">
        <v>136.12</v>
      </c>
      <c r="D548">
        <v>114</v>
      </c>
      <c r="E548">
        <v>1.194035087719298</v>
      </c>
      <c r="F548">
        <v>0.01968851013811343</v>
      </c>
      <c r="G548">
        <v>-0.0348460727381612</v>
      </c>
      <c r="H548">
        <v>0.08</v>
      </c>
      <c r="I548">
        <v>0.06103614062105001</v>
      </c>
      <c r="J548" t="s">
        <v>526</v>
      </c>
      <c r="K548" t="s">
        <v>782</v>
      </c>
      <c r="L548">
        <v>5.7</v>
      </c>
      <c r="M548">
        <v>2.68</v>
      </c>
      <c r="N548">
        <v>0.4701754385964912</v>
      </c>
      <c r="O548">
        <v>4</v>
      </c>
      <c r="P548">
        <v>0.04997331683701267</v>
      </c>
      <c r="Q548">
        <v>0.165712582604495</v>
      </c>
      <c r="R548" t="s">
        <v>784</v>
      </c>
      <c r="S548" t="s">
        <v>791</v>
      </c>
      <c r="T548">
        <v>26176.954089</v>
      </c>
      <c r="U548" s="2">
        <v>44514</v>
      </c>
      <c r="V548" t="s">
        <v>804</v>
      </c>
    </row>
    <row r="549" spans="1:22">
      <c r="A549" s="1" t="s">
        <v>569</v>
      </c>
      <c r="B549">
        <f>HYPERLINK("https://www.suredividend.com/sure-analysis-SBS/","Companhia de Saneamento Basico do Estado de Sao Paulo.")</f>
        <v>0</v>
      </c>
      <c r="C549">
        <v>6.95</v>
      </c>
      <c r="D549">
        <v>6.6</v>
      </c>
      <c r="E549">
        <v>1.053030303030303</v>
      </c>
      <c r="F549">
        <v>0.02302158273381295</v>
      </c>
      <c r="G549">
        <v>-0.01028118565324054</v>
      </c>
      <c r="H549">
        <v>0.05</v>
      </c>
      <c r="I549">
        <v>0.06089255461996457</v>
      </c>
      <c r="J549" t="s">
        <v>526</v>
      </c>
      <c r="K549" t="s">
        <v>526</v>
      </c>
      <c r="L549">
        <v>0.57</v>
      </c>
      <c r="M549">
        <v>0.16</v>
      </c>
      <c r="N549">
        <v>0.280701754385965</v>
      </c>
      <c r="O549">
        <v>0</v>
      </c>
      <c r="P549">
        <v>0.04563955259127317</v>
      </c>
      <c r="Q549">
        <v>-0.247607500108257</v>
      </c>
      <c r="R549" t="s">
        <v>784</v>
      </c>
      <c r="S549" t="s">
        <v>796</v>
      </c>
      <c r="T549">
        <v>4750.39359</v>
      </c>
      <c r="U549" s="2">
        <v>44513</v>
      </c>
      <c r="V549" t="s">
        <v>799</v>
      </c>
    </row>
    <row r="550" spans="1:22">
      <c r="A550" s="1" t="s">
        <v>570</v>
      </c>
      <c r="B550">
        <f>HYPERLINK("https://www.suredividend.com/sure-analysis-HBAN/","Huntington Bancshares, Inc.")</f>
        <v>0</v>
      </c>
      <c r="C550">
        <v>15.27</v>
      </c>
      <c r="D550">
        <v>14</v>
      </c>
      <c r="E550">
        <v>1.090714285714286</v>
      </c>
      <c r="F550">
        <v>0.04060248853962017</v>
      </c>
      <c r="G550">
        <v>-0.01721662843035732</v>
      </c>
      <c r="H550">
        <v>0.04</v>
      </c>
      <c r="I550">
        <v>0.06081360417645731</v>
      </c>
      <c r="J550" t="s">
        <v>526</v>
      </c>
      <c r="K550" t="s">
        <v>350</v>
      </c>
      <c r="L550">
        <v>1.25</v>
      </c>
      <c r="M550">
        <v>0.62</v>
      </c>
      <c r="N550">
        <v>0.496</v>
      </c>
      <c r="O550">
        <v>1</v>
      </c>
      <c r="P550">
        <v>0.03880472124431766</v>
      </c>
      <c r="Q550">
        <v>0.231352310297556</v>
      </c>
      <c r="R550" t="s">
        <v>784</v>
      </c>
      <c r="S550" t="s">
        <v>793</v>
      </c>
      <c r="T550">
        <v>22087.463272</v>
      </c>
      <c r="U550" s="2">
        <v>44499</v>
      </c>
      <c r="V550" t="s">
        <v>801</v>
      </c>
    </row>
    <row r="551" spans="1:22">
      <c r="A551" s="1" t="s">
        <v>571</v>
      </c>
      <c r="B551">
        <f>HYPERLINK("https://www.suredividend.com/sure-analysis-MCY/","Mercury General Corp.")</f>
        <v>0</v>
      </c>
      <c r="C551">
        <v>52.41</v>
      </c>
      <c r="D551">
        <v>53</v>
      </c>
      <c r="E551">
        <v>0.9888679245283019</v>
      </c>
      <c r="F551">
        <v>0.0484640335813776</v>
      </c>
      <c r="G551">
        <v>0.002241408356071783</v>
      </c>
      <c r="H551">
        <v>0.015</v>
      </c>
      <c r="I551">
        <v>0.05951317140862256</v>
      </c>
      <c r="J551" t="s">
        <v>526</v>
      </c>
      <c r="K551" t="s">
        <v>781</v>
      </c>
      <c r="L551">
        <v>3.5</v>
      </c>
      <c r="M551">
        <v>2.54</v>
      </c>
      <c r="N551">
        <v>0.7257142857142858</v>
      </c>
      <c r="O551">
        <v>33</v>
      </c>
      <c r="P551">
        <v>0.004680391776183512</v>
      </c>
      <c r="Q551">
        <v>0.171450667644179</v>
      </c>
      <c r="R551" t="s">
        <v>784</v>
      </c>
      <c r="S551" t="s">
        <v>793</v>
      </c>
      <c r="T551">
        <v>2901.982999</v>
      </c>
      <c r="U551" s="2">
        <v>44510</v>
      </c>
      <c r="V551" t="s">
        <v>803</v>
      </c>
    </row>
    <row r="552" spans="1:22">
      <c r="A552" s="1" t="s">
        <v>572</v>
      </c>
      <c r="B552">
        <f>HYPERLINK("https://www.suredividend.com/sure-analysis-UE/","Urban Edge Properties")</f>
        <v>0</v>
      </c>
      <c r="C552">
        <v>18.04</v>
      </c>
      <c r="D552">
        <v>18</v>
      </c>
      <c r="E552">
        <v>1.002222222222222</v>
      </c>
      <c r="F552">
        <v>0.03325942350332594</v>
      </c>
      <c r="G552">
        <v>-0.0004438528158446919</v>
      </c>
      <c r="H552">
        <v>0.03</v>
      </c>
      <c r="I552">
        <v>0.05836828068770772</v>
      </c>
      <c r="J552" t="s">
        <v>526</v>
      </c>
      <c r="K552" t="s">
        <v>526</v>
      </c>
      <c r="L552">
        <v>1.08</v>
      </c>
      <c r="M552">
        <v>0.6</v>
      </c>
      <c r="N552">
        <v>0.5555555555555555</v>
      </c>
      <c r="O552">
        <v>0</v>
      </c>
      <c r="P552">
        <v>0.009805797673485328</v>
      </c>
      <c r="Q552">
        <v>0.333264354394081</v>
      </c>
      <c r="R552" t="s">
        <v>786</v>
      </c>
      <c r="S552" t="s">
        <v>798</v>
      </c>
      <c r="T552">
        <v>2113.165696</v>
      </c>
      <c r="U552" s="2">
        <v>44512</v>
      </c>
      <c r="V552" t="s">
        <v>805</v>
      </c>
    </row>
    <row r="553" spans="1:22">
      <c r="A553" s="1" t="s">
        <v>573</v>
      </c>
      <c r="B553">
        <f>HYPERLINK("https://www.suredividend.com/sure-analysis-DEA/","Easterly Government Properties Inc")</f>
        <v>0</v>
      </c>
      <c r="C553">
        <v>22.06</v>
      </c>
      <c r="D553">
        <v>20.8</v>
      </c>
      <c r="E553">
        <v>1.060576923076923</v>
      </c>
      <c r="F553">
        <v>0.04805077062556664</v>
      </c>
      <c r="G553">
        <v>-0.01169369642817897</v>
      </c>
      <c r="H553">
        <v>0.021</v>
      </c>
      <c r="I553">
        <v>0.05679826187791792</v>
      </c>
      <c r="J553" t="s">
        <v>526</v>
      </c>
      <c r="K553" t="s">
        <v>781</v>
      </c>
      <c r="L553">
        <v>1.31</v>
      </c>
      <c r="M553">
        <v>1.06</v>
      </c>
      <c r="N553">
        <v>0.8091603053435115</v>
      </c>
      <c r="O553">
        <v>1</v>
      </c>
      <c r="P553">
        <v>0.04166362161741732</v>
      </c>
      <c r="Q553">
        <v>0.081104933368634</v>
      </c>
      <c r="R553" t="s">
        <v>786</v>
      </c>
      <c r="S553" t="s">
        <v>798</v>
      </c>
      <c r="T553">
        <v>1899.343738</v>
      </c>
      <c r="U553" s="2">
        <v>44506</v>
      </c>
      <c r="V553" t="s">
        <v>808</v>
      </c>
    </row>
    <row r="554" spans="1:22">
      <c r="A554" s="1" t="s">
        <v>574</v>
      </c>
      <c r="B554">
        <f>HYPERLINK("https://www.suredividend.com/sure-analysis-TJX/","TJX Companies, Inc.")</f>
        <v>0</v>
      </c>
      <c r="C554">
        <v>74.73</v>
      </c>
      <c r="D554">
        <v>55</v>
      </c>
      <c r="E554">
        <v>1.358727272727273</v>
      </c>
      <c r="F554">
        <v>0.01391676702796735</v>
      </c>
      <c r="G554">
        <v>-0.0594680754091742</v>
      </c>
      <c r="H554">
        <v>0.09</v>
      </c>
      <c r="I554">
        <v>0.05671195903969295</v>
      </c>
      <c r="J554" t="s">
        <v>526</v>
      </c>
      <c r="K554" t="s">
        <v>782</v>
      </c>
      <c r="L554">
        <v>2.88</v>
      </c>
      <c r="M554">
        <v>1.04</v>
      </c>
      <c r="N554">
        <v>0.3611111111111112</v>
      </c>
      <c r="O554">
        <v>0</v>
      </c>
      <c r="P554">
        <v>0.3463094632638744</v>
      </c>
      <c r="Q554">
        <v>0.148072642134097</v>
      </c>
      <c r="R554" t="s">
        <v>784</v>
      </c>
      <c r="S554" t="s">
        <v>790</v>
      </c>
      <c r="T554">
        <v>89143.802384</v>
      </c>
      <c r="U554" s="2">
        <v>44526</v>
      </c>
      <c r="V554" t="s">
        <v>809</v>
      </c>
    </row>
    <row r="555" spans="1:22">
      <c r="A555" s="1" t="s">
        <v>575</v>
      </c>
      <c r="B555">
        <f>HYPERLINK("https://www.suredividend.com/sure-analysis-NTAP/","Netapp Inc")</f>
        <v>0</v>
      </c>
      <c r="C555">
        <v>89.31999999999999</v>
      </c>
      <c r="D555">
        <v>79</v>
      </c>
      <c r="E555">
        <v>1.130632911392405</v>
      </c>
      <c r="F555">
        <v>0.02239140170174653</v>
      </c>
      <c r="G555">
        <v>-0.02425648089004673</v>
      </c>
      <c r="H555">
        <v>0.06</v>
      </c>
      <c r="I555">
        <v>0.05669836253633309</v>
      </c>
      <c r="J555" t="s">
        <v>526</v>
      </c>
      <c r="K555" t="s">
        <v>526</v>
      </c>
      <c r="L555">
        <v>4.95</v>
      </c>
      <c r="M555">
        <v>2</v>
      </c>
      <c r="N555">
        <v>0.404040404040404</v>
      </c>
      <c r="O555">
        <v>7</v>
      </c>
      <c r="P555">
        <v>0.0602809527753625</v>
      </c>
      <c r="Q555">
        <v>0.473266124775678</v>
      </c>
      <c r="R555" t="s">
        <v>784</v>
      </c>
      <c r="S555" t="s">
        <v>791</v>
      </c>
      <c r="T555">
        <v>19853.847826</v>
      </c>
      <c r="U555" s="2">
        <v>44435</v>
      </c>
      <c r="V555" t="s">
        <v>801</v>
      </c>
    </row>
    <row r="556" spans="1:22">
      <c r="A556" s="1" t="s">
        <v>576</v>
      </c>
      <c r="B556">
        <f>HYPERLINK("https://www.suredividend.com/sure-analysis-BBD/","Banco Bradesco S.A.")</f>
        <v>0</v>
      </c>
      <c r="C556">
        <v>3.57</v>
      </c>
      <c r="D556">
        <v>3.5</v>
      </c>
      <c r="E556">
        <v>1.02</v>
      </c>
      <c r="F556">
        <v>0.06722689075630252</v>
      </c>
      <c r="G556">
        <v>-0.003952692922012169</v>
      </c>
      <c r="H556">
        <v>0</v>
      </c>
      <c r="I556">
        <v>0.056539962351559</v>
      </c>
      <c r="J556" t="s">
        <v>526</v>
      </c>
      <c r="K556" t="s">
        <v>781</v>
      </c>
      <c r="L556">
        <v>0.5</v>
      </c>
      <c r="M556">
        <v>0.24</v>
      </c>
      <c r="N556">
        <v>0.48</v>
      </c>
      <c r="O556">
        <v>0</v>
      </c>
      <c r="P556">
        <v>0</v>
      </c>
      <c r="Q556">
        <v>-0.225497661264005</v>
      </c>
      <c r="R556" t="s">
        <v>784</v>
      </c>
      <c r="S556" t="s">
        <v>793</v>
      </c>
      <c r="T556">
        <v>32067.222068</v>
      </c>
      <c r="U556" s="2">
        <v>44506</v>
      </c>
      <c r="V556" t="s">
        <v>799</v>
      </c>
    </row>
    <row r="557" spans="1:22">
      <c r="A557" s="1" t="s">
        <v>577</v>
      </c>
      <c r="B557">
        <f>HYPERLINK("https://www.suredividend.com/sure-analysis-GLW/","Corning, Inc.")</f>
        <v>0</v>
      </c>
      <c r="C557">
        <v>37.62</v>
      </c>
      <c r="D557">
        <v>34</v>
      </c>
      <c r="E557">
        <v>1.106470588235294</v>
      </c>
      <c r="F557">
        <v>0.02551834130781499</v>
      </c>
      <c r="G557">
        <v>-0.02003170497027784</v>
      </c>
      <c r="H557">
        <v>0.05</v>
      </c>
      <c r="I557">
        <v>0.05430002309753656</v>
      </c>
      <c r="J557" t="s">
        <v>526</v>
      </c>
      <c r="K557" t="s">
        <v>526</v>
      </c>
      <c r="L557">
        <v>2.15</v>
      </c>
      <c r="M557">
        <v>0.96</v>
      </c>
      <c r="N557">
        <v>0.4465116279069767</v>
      </c>
      <c r="O557">
        <v>11</v>
      </c>
      <c r="P557">
        <v>0.05251935381426631</v>
      </c>
      <c r="Q557">
        <v>0.08083719620313101</v>
      </c>
      <c r="R557" t="s">
        <v>784</v>
      </c>
      <c r="S557" t="s">
        <v>791</v>
      </c>
      <c r="T557">
        <v>32096.692143</v>
      </c>
      <c r="U557" s="2">
        <v>44497</v>
      </c>
      <c r="V557" t="s">
        <v>801</v>
      </c>
    </row>
    <row r="558" spans="1:22">
      <c r="A558" s="1" t="s">
        <v>578</v>
      </c>
      <c r="B558">
        <f>HYPERLINK("https://www.suredividend.com/sure-analysis-BXP/","Boston Properties, Inc.")</f>
        <v>0</v>
      </c>
      <c r="C558">
        <v>114.11</v>
      </c>
      <c r="D558">
        <v>103</v>
      </c>
      <c r="E558">
        <v>1.107864077669903</v>
      </c>
      <c r="F558">
        <v>0.03435281745683989</v>
      </c>
      <c r="G558">
        <v>-0.02027835310502424</v>
      </c>
      <c r="H558">
        <v>0.044</v>
      </c>
      <c r="I558">
        <v>0.05330041711804578</v>
      </c>
      <c r="J558" t="s">
        <v>526</v>
      </c>
      <c r="K558" t="s">
        <v>526</v>
      </c>
      <c r="L558">
        <v>6.45</v>
      </c>
      <c r="M558">
        <v>3.92</v>
      </c>
      <c r="N558">
        <v>0.6077519379844961</v>
      </c>
      <c r="O558">
        <v>5</v>
      </c>
      <c r="P558">
        <v>0.01000199077119301</v>
      </c>
      <c r="Q558">
        <v>0.184551209778724</v>
      </c>
      <c r="R558" t="s">
        <v>786</v>
      </c>
      <c r="S558" t="s">
        <v>798</v>
      </c>
      <c r="T558">
        <v>17823.21231</v>
      </c>
      <c r="U558" s="2">
        <v>44503</v>
      </c>
      <c r="V558" t="s">
        <v>808</v>
      </c>
    </row>
    <row r="559" spans="1:22">
      <c r="A559" s="1" t="s">
        <v>579</v>
      </c>
      <c r="B559">
        <f>HYPERLINK("https://www.suredividend.com/sure-analysis-WPP/","WPP Plc.")</f>
        <v>0</v>
      </c>
      <c r="C559">
        <v>72.81999999999999</v>
      </c>
      <c r="D559">
        <v>72</v>
      </c>
      <c r="E559">
        <v>1.011388888888889</v>
      </c>
      <c r="F559">
        <v>0.02361988464707498</v>
      </c>
      <c r="G559">
        <v>-0.002262341784811217</v>
      </c>
      <c r="H559">
        <v>0.03</v>
      </c>
      <c r="I559">
        <v>0.05047428634244833</v>
      </c>
      <c r="J559" t="s">
        <v>526</v>
      </c>
      <c r="K559" t="s">
        <v>526</v>
      </c>
      <c r="L559">
        <v>5.15</v>
      </c>
      <c r="M559">
        <v>1.72</v>
      </c>
      <c r="N559">
        <v>0.3339805825242718</v>
      </c>
      <c r="O559">
        <v>0</v>
      </c>
      <c r="P559">
        <v>0.03973716477033884</v>
      </c>
      <c r="Q559">
        <v>0.4619818466906641</v>
      </c>
      <c r="R559" t="s">
        <v>784</v>
      </c>
      <c r="S559" t="s">
        <v>788</v>
      </c>
      <c r="T559">
        <v>16908.306639</v>
      </c>
      <c r="U559" s="2">
        <v>44526</v>
      </c>
      <c r="V559" t="s">
        <v>804</v>
      </c>
    </row>
    <row r="560" spans="1:22">
      <c r="A560" s="1" t="s">
        <v>580</v>
      </c>
      <c r="B560">
        <f>HYPERLINK("https://www.suredividend.com/sure-analysis-KTB/","Kontoor Brands Inc")</f>
        <v>0</v>
      </c>
      <c r="C560">
        <v>52.95</v>
      </c>
      <c r="D560">
        <v>50</v>
      </c>
      <c r="E560">
        <v>1.059</v>
      </c>
      <c r="F560">
        <v>0.03474976392823418</v>
      </c>
      <c r="G560">
        <v>-0.01139954051302283</v>
      </c>
      <c r="H560">
        <v>0.03</v>
      </c>
      <c r="I560">
        <v>0.0504567971512826</v>
      </c>
      <c r="J560" t="s">
        <v>526</v>
      </c>
      <c r="K560" t="s">
        <v>350</v>
      </c>
      <c r="L560">
        <v>4.18</v>
      </c>
      <c r="M560">
        <v>1.84</v>
      </c>
      <c r="N560">
        <v>0.4401913875598087</v>
      </c>
      <c r="O560">
        <v>1</v>
      </c>
      <c r="P560">
        <v>0.01984845658885503</v>
      </c>
      <c r="Q560">
        <v>0.247599637147603</v>
      </c>
      <c r="R560" t="s">
        <v>784</v>
      </c>
      <c r="S560" t="s">
        <v>790</v>
      </c>
      <c r="T560">
        <v>3034.960195</v>
      </c>
      <c r="U560" s="2">
        <v>44511</v>
      </c>
      <c r="V560" t="s">
        <v>803</v>
      </c>
    </row>
    <row r="561" spans="1:22">
      <c r="A561" s="1" t="s">
        <v>581</v>
      </c>
      <c r="B561">
        <f>HYPERLINK("https://www.suredividend.com/sure-analysis-APO/","Apollo Global Management Inc")</f>
        <v>0</v>
      </c>
      <c r="C561">
        <v>69.66</v>
      </c>
      <c r="D561">
        <v>60</v>
      </c>
      <c r="E561">
        <v>1.161</v>
      </c>
      <c r="F561">
        <v>0.03014642549526271</v>
      </c>
      <c r="G561">
        <v>-0.02941504275871443</v>
      </c>
      <c r="H561">
        <v>0.05</v>
      </c>
      <c r="I561">
        <v>0.04965632887653482</v>
      </c>
      <c r="J561" t="s">
        <v>526</v>
      </c>
      <c r="K561" t="s">
        <v>526</v>
      </c>
      <c r="L561">
        <v>4.6</v>
      </c>
      <c r="M561">
        <v>2.1</v>
      </c>
      <c r="N561">
        <v>0.4565217391304348</v>
      </c>
      <c r="O561">
        <v>0</v>
      </c>
      <c r="P561">
        <v>0.04998501218567775</v>
      </c>
      <c r="Q561">
        <v>0.5068940674024081</v>
      </c>
      <c r="R561" t="s">
        <v>784</v>
      </c>
      <c r="S561" t="s">
        <v>793</v>
      </c>
      <c r="T561">
        <v>17174.260921</v>
      </c>
      <c r="U561" s="2">
        <v>44522</v>
      </c>
      <c r="V561" t="s">
        <v>804</v>
      </c>
    </row>
    <row r="562" spans="1:22">
      <c r="A562" s="1" t="s">
        <v>582</v>
      </c>
      <c r="B562">
        <f>HYPERLINK("https://www.suredividend.com/sure-analysis-RPT/","RPT Realty")</f>
        <v>0</v>
      </c>
      <c r="C562">
        <v>13.17</v>
      </c>
      <c r="D562">
        <v>11.96</v>
      </c>
      <c r="E562">
        <v>1.101170568561873</v>
      </c>
      <c r="F562">
        <v>0.03644646924829157</v>
      </c>
      <c r="G562">
        <v>-0.01909018313768807</v>
      </c>
      <c r="H562">
        <v>0.025</v>
      </c>
      <c r="I562">
        <v>0.04922930287681182</v>
      </c>
      <c r="J562" t="s">
        <v>526</v>
      </c>
      <c r="K562" t="s">
        <v>526</v>
      </c>
      <c r="L562">
        <v>0.92</v>
      </c>
      <c r="M562">
        <v>0.48</v>
      </c>
      <c r="N562">
        <v>0.5217391304347826</v>
      </c>
      <c r="O562">
        <v>1</v>
      </c>
      <c r="P562">
        <v>0.09913211517808418</v>
      </c>
      <c r="Q562">
        <v>0.6339139496799161</v>
      </c>
      <c r="R562" t="s">
        <v>786</v>
      </c>
      <c r="S562" t="s">
        <v>798</v>
      </c>
      <c r="T562">
        <v>1110.095072</v>
      </c>
      <c r="U562" s="2">
        <v>44535</v>
      </c>
      <c r="V562" t="s">
        <v>799</v>
      </c>
    </row>
    <row r="563" spans="1:22">
      <c r="A563" s="1" t="s">
        <v>583</v>
      </c>
      <c r="B563">
        <f>HYPERLINK("https://www.suredividend.com/sure-analysis-ALV/","Autoliv Inc.")</f>
        <v>0</v>
      </c>
      <c r="C563">
        <v>103.1</v>
      </c>
      <c r="D563">
        <v>71</v>
      </c>
      <c r="E563">
        <v>1.452112676056338</v>
      </c>
      <c r="F563">
        <v>0.02483026188166829</v>
      </c>
      <c r="G563">
        <v>-0.07188896428294278</v>
      </c>
      <c r="H563">
        <v>0.1</v>
      </c>
      <c r="I563">
        <v>0.04730424576727033</v>
      </c>
      <c r="J563" t="s">
        <v>526</v>
      </c>
      <c r="K563" t="s">
        <v>526</v>
      </c>
      <c r="L563">
        <v>5.1</v>
      </c>
      <c r="M563">
        <v>2.56</v>
      </c>
      <c r="N563">
        <v>0.5019607843137255</v>
      </c>
      <c r="O563">
        <v>1</v>
      </c>
      <c r="P563">
        <v>0.06576275663547415</v>
      </c>
      <c r="Q563">
        <v>0.147615988921258</v>
      </c>
      <c r="R563" t="s">
        <v>784</v>
      </c>
      <c r="S563" t="s">
        <v>790</v>
      </c>
      <c r="T563">
        <v>9017.490438999999</v>
      </c>
      <c r="U563" s="2">
        <v>44493</v>
      </c>
      <c r="V563" t="s">
        <v>804</v>
      </c>
    </row>
    <row r="564" spans="1:22">
      <c r="A564" s="1" t="s">
        <v>584</v>
      </c>
      <c r="B564">
        <f>HYPERLINK("https://www.suredividend.com/sure-analysis-CAJ/","Canon Inc")</f>
        <v>0</v>
      </c>
      <c r="C564">
        <v>23.37</v>
      </c>
      <c r="D564">
        <v>22</v>
      </c>
      <c r="E564">
        <v>1.062272727272727</v>
      </c>
      <c r="F564">
        <v>0.0329482242190843</v>
      </c>
      <c r="G564">
        <v>-0.01200944306544272</v>
      </c>
      <c r="H564">
        <v>0.03</v>
      </c>
      <c r="I564">
        <v>0.04665078423524105</v>
      </c>
      <c r="J564" t="s">
        <v>526</v>
      </c>
      <c r="K564" t="s">
        <v>526</v>
      </c>
      <c r="L564">
        <v>1.8</v>
      </c>
      <c r="M564">
        <v>0.77</v>
      </c>
      <c r="N564">
        <v>0.4277777777777778</v>
      </c>
      <c r="O564">
        <v>0</v>
      </c>
      <c r="P564">
        <v>0</v>
      </c>
      <c r="Q564">
        <v>0.235743456272879</v>
      </c>
      <c r="R564" t="s">
        <v>784</v>
      </c>
      <c r="S564" t="s">
        <v>791</v>
      </c>
      <c r="T564">
        <v>31156.714519</v>
      </c>
      <c r="U564" s="2">
        <v>44505</v>
      </c>
      <c r="V564" t="s">
        <v>803</v>
      </c>
    </row>
    <row r="565" spans="1:22">
      <c r="A565" s="1" t="s">
        <v>585</v>
      </c>
      <c r="B565">
        <f>HYPERLINK("https://www.suredividend.com/sure-analysis-AES/","AES Corp.")</f>
        <v>0</v>
      </c>
      <c r="C565">
        <v>24.43</v>
      </c>
      <c r="D565">
        <v>19</v>
      </c>
      <c r="E565">
        <v>1.285789473684211</v>
      </c>
      <c r="F565">
        <v>0.02578796561604585</v>
      </c>
      <c r="G565">
        <v>-0.04903172938015921</v>
      </c>
      <c r="H565">
        <v>0.07000000000000001</v>
      </c>
      <c r="I565">
        <v>0.04336809814102849</v>
      </c>
      <c r="J565" t="s">
        <v>526</v>
      </c>
      <c r="K565" t="s">
        <v>526</v>
      </c>
      <c r="L565">
        <v>1.54</v>
      </c>
      <c r="M565">
        <v>0.63</v>
      </c>
      <c r="N565">
        <v>0.4090909090909091</v>
      </c>
      <c r="O565">
        <v>11</v>
      </c>
      <c r="P565">
        <v>0.04095039696925684</v>
      </c>
      <c r="Q565">
        <v>0.182893098821466</v>
      </c>
      <c r="R565" t="s">
        <v>784</v>
      </c>
      <c r="S565" t="s">
        <v>797</v>
      </c>
      <c r="T565">
        <v>16281.151704</v>
      </c>
      <c r="U565" s="2">
        <v>44513</v>
      </c>
      <c r="V565" t="s">
        <v>805</v>
      </c>
    </row>
    <row r="566" spans="1:22">
      <c r="A566" s="1" t="s">
        <v>586</v>
      </c>
      <c r="B566">
        <f>HYPERLINK("https://www.suredividend.com/sure-analysis-JNPR/","Juniper Networks Inc")</f>
        <v>0</v>
      </c>
      <c r="C566">
        <v>34</v>
      </c>
      <c r="D566">
        <v>26</v>
      </c>
      <c r="E566">
        <v>1.307692307692308</v>
      </c>
      <c r="F566">
        <v>0.02352941176470588</v>
      </c>
      <c r="G566">
        <v>-0.05223888541775945</v>
      </c>
      <c r="H566">
        <v>0.07000000000000001</v>
      </c>
      <c r="I566">
        <v>0.03868323250118233</v>
      </c>
      <c r="J566" t="s">
        <v>526</v>
      </c>
      <c r="K566" t="s">
        <v>526</v>
      </c>
      <c r="L566">
        <v>1.8</v>
      </c>
      <c r="M566">
        <v>0.8</v>
      </c>
      <c r="N566">
        <v>0.4444444444444445</v>
      </c>
      <c r="O566">
        <v>3</v>
      </c>
      <c r="P566">
        <v>0.04978904632428516</v>
      </c>
      <c r="Q566">
        <v>0.597001395027689</v>
      </c>
      <c r="R566" t="s">
        <v>784</v>
      </c>
      <c r="S566" t="s">
        <v>791</v>
      </c>
      <c r="T566">
        <v>11056.157842</v>
      </c>
      <c r="U566" s="2">
        <v>44498</v>
      </c>
      <c r="V566" t="s">
        <v>805</v>
      </c>
    </row>
    <row r="567" spans="1:22">
      <c r="A567" s="1" t="s">
        <v>587</v>
      </c>
      <c r="B567">
        <f>HYPERLINK("https://www.suredividend.com/sure-analysis-DOC/","Physicians Realty Trust")</f>
        <v>0</v>
      </c>
      <c r="C567">
        <v>18.21</v>
      </c>
      <c r="D567">
        <v>16</v>
      </c>
      <c r="E567">
        <v>1.138125</v>
      </c>
      <c r="F567">
        <v>0.05052169137836354</v>
      </c>
      <c r="G567">
        <v>-0.02554450855520163</v>
      </c>
      <c r="H567">
        <v>0.017</v>
      </c>
      <c r="I567">
        <v>0.03860476062350449</v>
      </c>
      <c r="J567" t="s">
        <v>526</v>
      </c>
      <c r="K567" t="s">
        <v>781</v>
      </c>
      <c r="L567">
        <v>1.06</v>
      </c>
      <c r="M567">
        <v>0.92</v>
      </c>
      <c r="N567">
        <v>0.8679245283018868</v>
      </c>
      <c r="O567">
        <v>0</v>
      </c>
      <c r="P567">
        <v>0</v>
      </c>
      <c r="Q567">
        <v>0.061676398700321</v>
      </c>
      <c r="R567" t="s">
        <v>786</v>
      </c>
      <c r="S567" t="s">
        <v>798</v>
      </c>
      <c r="T567">
        <v>4009.268609</v>
      </c>
      <c r="U567" s="2">
        <v>44506</v>
      </c>
      <c r="V567" t="s">
        <v>800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28.48</v>
      </c>
      <c r="D568">
        <v>25</v>
      </c>
      <c r="E568">
        <v>1.1392</v>
      </c>
      <c r="F568">
        <v>0.0351123595505618</v>
      </c>
      <c r="G568">
        <v>-0.02572848595678234</v>
      </c>
      <c r="H568">
        <v>0.029</v>
      </c>
      <c r="I568">
        <v>0.03778622489937478</v>
      </c>
      <c r="J568" t="s">
        <v>526</v>
      </c>
      <c r="K568" t="s">
        <v>350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0.010692681264377</v>
      </c>
      <c r="R568" t="s">
        <v>784</v>
      </c>
      <c r="S568" t="s">
        <v>790</v>
      </c>
      <c r="T568">
        <v>51571.367402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23.11</v>
      </c>
      <c r="D569">
        <v>15</v>
      </c>
      <c r="E569">
        <v>1.540666666666667</v>
      </c>
      <c r="F569">
        <v>0.04543487667676331</v>
      </c>
      <c r="G569">
        <v>-0.08281221393944183</v>
      </c>
      <c r="H569">
        <v>0.08</v>
      </c>
      <c r="I569">
        <v>0.0375686670140245</v>
      </c>
      <c r="J569" t="s">
        <v>526</v>
      </c>
      <c r="K569" t="s">
        <v>350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0.202324528773067</v>
      </c>
      <c r="R569" t="s">
        <v>784</v>
      </c>
      <c r="S569" t="s">
        <v>788</v>
      </c>
      <c r="T569">
        <v>31447.737075</v>
      </c>
      <c r="U569" s="2">
        <v>44522</v>
      </c>
      <c r="V569" t="s">
        <v>807</v>
      </c>
    </row>
    <row r="570" spans="1:22">
      <c r="A570" s="1" t="s">
        <v>590</v>
      </c>
      <c r="B570">
        <f>HYPERLINK("https://www.suredividend.com/sure-analysis-MPWR/","Monolithic Power System Inc")</f>
        <v>0</v>
      </c>
      <c r="C570">
        <v>503.41</v>
      </c>
      <c r="D570">
        <v>266</v>
      </c>
      <c r="E570">
        <v>1.892518796992481</v>
      </c>
      <c r="F570">
        <v>0.004767485747204068</v>
      </c>
      <c r="G570">
        <v>-0.1197785256069178</v>
      </c>
      <c r="H570">
        <v>0.17</v>
      </c>
      <c r="I570">
        <v>0.03731792175858861</v>
      </c>
      <c r="J570" t="s">
        <v>526</v>
      </c>
      <c r="K570" t="s">
        <v>782</v>
      </c>
      <c r="L570">
        <v>7.2</v>
      </c>
      <c r="M570">
        <v>2.4</v>
      </c>
      <c r="N570">
        <v>0.3333333333333333</v>
      </c>
      <c r="O570">
        <v>4</v>
      </c>
      <c r="P570">
        <v>0.1999209000665154</v>
      </c>
      <c r="Q570">
        <v>0.6519745363389441</v>
      </c>
      <c r="R570" t="s">
        <v>784</v>
      </c>
      <c r="S570" t="s">
        <v>791</v>
      </c>
      <c r="T570">
        <v>23203.67713</v>
      </c>
      <c r="U570" s="2">
        <v>44500</v>
      </c>
      <c r="V570" t="s">
        <v>799</v>
      </c>
    </row>
    <row r="571" spans="1:22">
      <c r="A571" s="1" t="s">
        <v>591</v>
      </c>
      <c r="B571">
        <f>HYPERLINK("https://www.suredividend.com/sure-analysis-MAC/","Macerich Co.")</f>
        <v>0</v>
      </c>
      <c r="C571">
        <v>17.85</v>
      </c>
      <c r="D571">
        <v>15</v>
      </c>
      <c r="E571">
        <v>1.19</v>
      </c>
      <c r="F571">
        <v>0.03361344537815126</v>
      </c>
      <c r="G571">
        <v>-0.03419242412111501</v>
      </c>
      <c r="H571">
        <v>0.03</v>
      </c>
      <c r="I571">
        <v>0.03486447948820892</v>
      </c>
      <c r="J571" t="s">
        <v>526</v>
      </c>
      <c r="K571" t="s">
        <v>350</v>
      </c>
      <c r="L571">
        <v>1.93</v>
      </c>
      <c r="M571">
        <v>0.6</v>
      </c>
      <c r="N571">
        <v>0.310880829015544</v>
      </c>
      <c r="O571">
        <v>0</v>
      </c>
      <c r="P571">
        <v>0.0796084730466029</v>
      </c>
      <c r="Q571">
        <v>0.596772462160518</v>
      </c>
      <c r="R571" t="s">
        <v>786</v>
      </c>
      <c r="S571" t="s">
        <v>798</v>
      </c>
      <c r="T571">
        <v>3802.722231</v>
      </c>
      <c r="U571" s="2">
        <v>44509</v>
      </c>
      <c r="V571" t="s">
        <v>807</v>
      </c>
    </row>
    <row r="572" spans="1:22">
      <c r="A572" s="1" t="s">
        <v>592</v>
      </c>
      <c r="B572">
        <f>HYPERLINK("https://www.suredividend.com/sure-analysis-CCI/","Crown Castle International Corp")</f>
        <v>0</v>
      </c>
      <c r="C572">
        <v>193.22</v>
      </c>
      <c r="D572">
        <v>152</v>
      </c>
      <c r="E572">
        <v>1.271184210526316</v>
      </c>
      <c r="F572">
        <v>0.03043163233619708</v>
      </c>
      <c r="G572">
        <v>-0.04685647475118448</v>
      </c>
      <c r="H572">
        <v>0.05</v>
      </c>
      <c r="I572">
        <v>0.03374542901923494</v>
      </c>
      <c r="J572" t="s">
        <v>526</v>
      </c>
      <c r="K572" t="s">
        <v>526</v>
      </c>
      <c r="L572">
        <v>6.35</v>
      </c>
      <c r="M572">
        <v>5.88</v>
      </c>
      <c r="N572">
        <v>0.925984251968504</v>
      </c>
      <c r="O572">
        <v>7</v>
      </c>
      <c r="P572">
        <v>0.04987304960985517</v>
      </c>
      <c r="Q572">
        <v>0.263584299665873</v>
      </c>
      <c r="R572" t="s">
        <v>786</v>
      </c>
      <c r="S572" t="s">
        <v>798</v>
      </c>
      <c r="T572">
        <v>83505.989546</v>
      </c>
      <c r="U572" s="2">
        <v>44493</v>
      </c>
      <c r="V572" t="s">
        <v>804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8.039999999999999</v>
      </c>
      <c r="D573">
        <v>7</v>
      </c>
      <c r="E573">
        <v>1.148571428571428</v>
      </c>
      <c r="F573">
        <v>0.03358208955223881</v>
      </c>
      <c r="G573">
        <v>-0.02732355629136285</v>
      </c>
      <c r="H573">
        <v>0.03</v>
      </c>
      <c r="I573">
        <v>0.03317090171383685</v>
      </c>
      <c r="J573" t="s">
        <v>526</v>
      </c>
      <c r="K573" t="s">
        <v>526</v>
      </c>
      <c r="L573">
        <v>0.45</v>
      </c>
      <c r="M573">
        <v>0.27</v>
      </c>
      <c r="N573">
        <v>0.6</v>
      </c>
      <c r="O573">
        <v>0</v>
      </c>
      <c r="P573">
        <v>0</v>
      </c>
      <c r="Q573">
        <v>-0.043005249187625</v>
      </c>
      <c r="R573" t="s">
        <v>784</v>
      </c>
      <c r="S573" t="s">
        <v>788</v>
      </c>
      <c r="T573">
        <v>6084.54693</v>
      </c>
      <c r="U573" s="2">
        <v>44502</v>
      </c>
      <c r="V573" t="s">
        <v>803</v>
      </c>
    </row>
    <row r="574" spans="1:22">
      <c r="A574" s="1" t="s">
        <v>594</v>
      </c>
      <c r="B574">
        <f>HYPERLINK("https://www.suredividend.com/sure-analysis-SKT/","Tanger Factory Outlet Centers, Inc.")</f>
        <v>0</v>
      </c>
      <c r="C574">
        <v>19.7</v>
      </c>
      <c r="D574">
        <v>18</v>
      </c>
      <c r="E574">
        <v>1.094444444444444</v>
      </c>
      <c r="F574">
        <v>0.03705583756345178</v>
      </c>
      <c r="G574">
        <v>-0.01788746120485885</v>
      </c>
      <c r="H574">
        <v>0.015</v>
      </c>
      <c r="I574">
        <v>0.03289324104001001</v>
      </c>
      <c r="J574" t="s">
        <v>526</v>
      </c>
      <c r="K574" t="s">
        <v>350</v>
      </c>
      <c r="L574">
        <v>1.69</v>
      </c>
      <c r="M574">
        <v>0.73</v>
      </c>
      <c r="N574">
        <v>0.4319526627218935</v>
      </c>
      <c r="O574">
        <v>1</v>
      </c>
      <c r="P574">
        <v>0.01072631497080168</v>
      </c>
      <c r="Q574">
        <v>0.8701880630737531</v>
      </c>
      <c r="R574" t="s">
        <v>786</v>
      </c>
      <c r="S574" t="s">
        <v>798</v>
      </c>
      <c r="T574">
        <v>2048.49532</v>
      </c>
      <c r="U574" s="2">
        <v>44511</v>
      </c>
      <c r="V574" t="s">
        <v>805</v>
      </c>
    </row>
    <row r="575" spans="1:22">
      <c r="A575" s="1" t="s">
        <v>595</v>
      </c>
      <c r="B575">
        <f>HYPERLINK("https://www.suredividend.com/sure-analysis-TSM/","Taiwan Semiconductor Manufacturing")</f>
        <v>0</v>
      </c>
      <c r="C575">
        <v>119.13</v>
      </c>
      <c r="D575">
        <v>72</v>
      </c>
      <c r="E575">
        <v>1.654583333333333</v>
      </c>
      <c r="F575">
        <v>0.01678838243935197</v>
      </c>
      <c r="G575">
        <v>-0.09580464652484777</v>
      </c>
      <c r="H575">
        <v>0.12</v>
      </c>
      <c r="I575">
        <v>0.03216831732003822</v>
      </c>
      <c r="J575" t="s">
        <v>526</v>
      </c>
      <c r="K575" t="s">
        <v>782</v>
      </c>
      <c r="L575">
        <v>4.05</v>
      </c>
      <c r="M575">
        <v>2</v>
      </c>
      <c r="N575">
        <v>0.4938271604938272</v>
      </c>
      <c r="O575">
        <v>7</v>
      </c>
      <c r="P575">
        <v>0.08009875865888949</v>
      </c>
      <c r="Q575">
        <v>0.163507301098656</v>
      </c>
      <c r="R575" t="s">
        <v>784</v>
      </c>
      <c r="S575" t="s">
        <v>791</v>
      </c>
      <c r="T575">
        <v>617817.2448400001</v>
      </c>
      <c r="U575" s="2">
        <v>44490</v>
      </c>
      <c r="V575" t="s">
        <v>807</v>
      </c>
    </row>
    <row r="576" spans="1:22">
      <c r="A576" s="1" t="s">
        <v>596</v>
      </c>
      <c r="B576">
        <f>HYPERLINK("https://www.suredividend.com/sure-analysis-RGA/","Reinsurance Group Of America, Inc.")</f>
        <v>0</v>
      </c>
      <c r="C576">
        <v>103.3</v>
      </c>
      <c r="D576">
        <v>50</v>
      </c>
      <c r="E576">
        <v>2.066</v>
      </c>
      <c r="F576">
        <v>0.02826718296224589</v>
      </c>
      <c r="G576">
        <v>-0.1350839892293545</v>
      </c>
      <c r="H576">
        <v>0.15</v>
      </c>
      <c r="I576">
        <v>0.02975131307160273</v>
      </c>
      <c r="J576" t="s">
        <v>526</v>
      </c>
      <c r="K576" t="s">
        <v>526</v>
      </c>
      <c r="L576">
        <v>4.2</v>
      </c>
      <c r="M576">
        <v>2.92</v>
      </c>
      <c r="N576">
        <v>0.6952380952380952</v>
      </c>
      <c r="O576">
        <v>11</v>
      </c>
      <c r="P576">
        <v>0.08986498009382693</v>
      </c>
      <c r="Q576">
        <v>-0.110088052178302</v>
      </c>
      <c r="R576" t="s">
        <v>784</v>
      </c>
      <c r="S576" t="s">
        <v>793</v>
      </c>
      <c r="T576">
        <v>6983.095598</v>
      </c>
      <c r="U576" s="2">
        <v>44511</v>
      </c>
      <c r="V576" t="s">
        <v>805</v>
      </c>
    </row>
    <row r="577" spans="1:22">
      <c r="A577" s="1" t="s">
        <v>597</v>
      </c>
      <c r="B577">
        <f>HYPERLINK("https://www.suredividend.com/sure-analysis-STX/","Seagate Technology Holdings Plc")</f>
        <v>0</v>
      </c>
      <c r="C577">
        <v>103.91</v>
      </c>
      <c r="D577">
        <v>89</v>
      </c>
      <c r="E577">
        <v>1.16752808988764</v>
      </c>
      <c r="F577">
        <v>0.02694639591954576</v>
      </c>
      <c r="G577">
        <v>-0.03050285975615974</v>
      </c>
      <c r="H577">
        <v>0.03</v>
      </c>
      <c r="I577">
        <v>0.02622187619841365</v>
      </c>
      <c r="J577" t="s">
        <v>526</v>
      </c>
      <c r="K577" t="s">
        <v>526</v>
      </c>
      <c r="L577">
        <v>8.9</v>
      </c>
      <c r="M577">
        <v>2.8</v>
      </c>
      <c r="N577">
        <v>0.3146067415730337</v>
      </c>
      <c r="O577">
        <v>3</v>
      </c>
      <c r="P577">
        <v>0.02513307572787737</v>
      </c>
      <c r="Q577">
        <v>0.052191364962868</v>
      </c>
      <c r="R577" t="s">
        <v>784</v>
      </c>
      <c r="S577" t="s">
        <v>791</v>
      </c>
      <c r="T577">
        <v>23134.101045</v>
      </c>
      <c r="U577" s="2">
        <v>44507</v>
      </c>
      <c r="V577" t="s">
        <v>803</v>
      </c>
    </row>
    <row r="578" spans="1:22">
      <c r="A578" s="1" t="s">
        <v>598</v>
      </c>
      <c r="B578">
        <f>HYPERLINK("https://www.suredividend.com/sure-analysis-CODI/","Compass Diversified Holdings")</f>
        <v>0</v>
      </c>
      <c r="C578">
        <v>32.84</v>
      </c>
      <c r="D578">
        <v>24</v>
      </c>
      <c r="E578">
        <v>1.368333333333333</v>
      </c>
      <c r="F578">
        <v>0.04384896467722289</v>
      </c>
      <c r="G578">
        <v>-0.06079235576275466</v>
      </c>
      <c r="H578">
        <v>0.04</v>
      </c>
      <c r="I578">
        <v>0.02079576300173058</v>
      </c>
      <c r="J578" t="s">
        <v>526</v>
      </c>
      <c r="K578" t="s">
        <v>350</v>
      </c>
      <c r="L578">
        <v>2.4</v>
      </c>
      <c r="M578">
        <v>1.44</v>
      </c>
      <c r="N578">
        <v>0.6</v>
      </c>
      <c r="O578">
        <v>0</v>
      </c>
      <c r="P578">
        <v>0</v>
      </c>
      <c r="Q578">
        <v>0.712830840346218</v>
      </c>
      <c r="R578" t="s">
        <v>784</v>
      </c>
      <c r="S578" t="s">
        <v>792</v>
      </c>
      <c r="T578">
        <v>2165.161317</v>
      </c>
      <c r="U578" s="2">
        <v>44504</v>
      </c>
      <c r="V578" t="s">
        <v>803</v>
      </c>
    </row>
    <row r="579" spans="1:22">
      <c r="A579" s="1" t="s">
        <v>599</v>
      </c>
      <c r="B579">
        <f>HYPERLINK("https://www.suredividend.com/sure-analysis-AVGO/","Broadcom Inc")</f>
        <v>0</v>
      </c>
      <c r="C579">
        <v>631.6799999999999</v>
      </c>
      <c r="D579">
        <v>420</v>
      </c>
      <c r="E579">
        <v>1.504</v>
      </c>
      <c r="F579">
        <v>0.02596251266464033</v>
      </c>
      <c r="G579">
        <v>-0.07838309407446165</v>
      </c>
      <c r="H579">
        <v>0.075</v>
      </c>
      <c r="I579">
        <v>0.02038987378595047</v>
      </c>
      <c r="J579" t="s">
        <v>526</v>
      </c>
      <c r="K579" t="s">
        <v>526</v>
      </c>
      <c r="L579">
        <v>28</v>
      </c>
      <c r="M579">
        <v>16.4</v>
      </c>
      <c r="N579">
        <v>0.5857142857142856</v>
      </c>
      <c r="O579">
        <v>11</v>
      </c>
      <c r="P579">
        <v>0.05228738264860588</v>
      </c>
      <c r="Q579">
        <v>0.606155709737598</v>
      </c>
      <c r="R579" t="s">
        <v>784</v>
      </c>
      <c r="S579" t="s">
        <v>791</v>
      </c>
      <c r="T579">
        <v>260009.776804</v>
      </c>
      <c r="U579" s="2">
        <v>44453</v>
      </c>
      <c r="V579" t="s">
        <v>803</v>
      </c>
    </row>
    <row r="580" spans="1:22">
      <c r="A580" s="1" t="s">
        <v>600</v>
      </c>
      <c r="B580">
        <f>HYPERLINK("https://www.suredividend.com/sure-analysis-UBS/","UBS Group AG")</f>
        <v>0</v>
      </c>
      <c r="C580">
        <v>17.9</v>
      </c>
      <c r="D580">
        <v>16</v>
      </c>
      <c r="E580">
        <v>1.11875</v>
      </c>
      <c r="F580">
        <v>0.02067039106145252</v>
      </c>
      <c r="G580">
        <v>-0.02219244087647487</v>
      </c>
      <c r="H580">
        <v>0.02</v>
      </c>
      <c r="I580">
        <v>0.01985531060729562</v>
      </c>
      <c r="J580" t="s">
        <v>526</v>
      </c>
      <c r="K580" t="s">
        <v>526</v>
      </c>
      <c r="L580">
        <v>1.35</v>
      </c>
      <c r="M580">
        <v>0.37</v>
      </c>
      <c r="N580">
        <v>0.274074074074074</v>
      </c>
      <c r="O580">
        <v>0</v>
      </c>
      <c r="P580">
        <v>0.03992533304330625</v>
      </c>
      <c r="Q580">
        <v>0.297073252030752</v>
      </c>
      <c r="R580" t="s">
        <v>784</v>
      </c>
      <c r="S580" t="s">
        <v>793</v>
      </c>
      <c r="T580">
        <v>66273.37161</v>
      </c>
      <c r="U580" s="2">
        <v>44498</v>
      </c>
      <c r="V580" t="s">
        <v>807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23.95</v>
      </c>
      <c r="D581">
        <v>20</v>
      </c>
      <c r="E581">
        <v>1.1975</v>
      </c>
      <c r="F581">
        <v>0.04008350730688935</v>
      </c>
      <c r="G581">
        <v>-0.0354052461686033</v>
      </c>
      <c r="H581">
        <v>0.006</v>
      </c>
      <c r="I581">
        <v>0.01560063321872862</v>
      </c>
      <c r="J581" t="s">
        <v>526</v>
      </c>
      <c r="K581" t="s">
        <v>350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0.571887249591269</v>
      </c>
      <c r="R581" t="s">
        <v>786</v>
      </c>
      <c r="S581" t="s">
        <v>798</v>
      </c>
      <c r="T581">
        <v>7109.903373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182.35</v>
      </c>
      <c r="D582">
        <v>150</v>
      </c>
      <c r="E582">
        <v>1.215666666666667</v>
      </c>
      <c r="F582">
        <v>0.02412942144228133</v>
      </c>
      <c r="G582">
        <v>-0.03830557531263079</v>
      </c>
      <c r="H582">
        <v>0.03</v>
      </c>
      <c r="I582">
        <v>0.01442931835095762</v>
      </c>
      <c r="J582" t="s">
        <v>526</v>
      </c>
      <c r="K582" t="s">
        <v>526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0.241107720118808</v>
      </c>
      <c r="R582" t="s">
        <v>784</v>
      </c>
      <c r="S582" t="s">
        <v>790</v>
      </c>
      <c r="T582">
        <v>297503.796333</v>
      </c>
      <c r="U582" s="2">
        <v>44529</v>
      </c>
      <c r="V582" t="s">
        <v>803</v>
      </c>
    </row>
    <row r="583" spans="1:22">
      <c r="A583" s="1" t="s">
        <v>603</v>
      </c>
      <c r="B583">
        <f>HYPERLINK("https://www.suredividend.com/sure-analysis-CNQ/","Canadian Natural Resources Ltd.")</f>
        <v>0</v>
      </c>
      <c r="C583">
        <v>41.63</v>
      </c>
      <c r="D583">
        <v>50</v>
      </c>
      <c r="E583">
        <v>0.8326</v>
      </c>
      <c r="F583">
        <v>0.04539995195772279</v>
      </c>
      <c r="G583">
        <v>0.03731992194090572</v>
      </c>
      <c r="H583">
        <v>-0.07000000000000001</v>
      </c>
      <c r="I583">
        <v>0.01424069718298315</v>
      </c>
      <c r="J583" t="s">
        <v>526</v>
      </c>
      <c r="K583" t="s">
        <v>350</v>
      </c>
      <c r="L583">
        <v>4.2</v>
      </c>
      <c r="M583">
        <v>1.89</v>
      </c>
      <c r="N583">
        <v>0.45</v>
      </c>
      <c r="O583">
        <v>5</v>
      </c>
      <c r="P583">
        <v>0.01539184863075338</v>
      </c>
      <c r="Q583">
        <v>0.7359460113282781</v>
      </c>
      <c r="R583" t="s">
        <v>784</v>
      </c>
      <c r="S583" t="s">
        <v>797</v>
      </c>
      <c r="T583">
        <v>48991.670888</v>
      </c>
      <c r="U583" s="2">
        <v>44522</v>
      </c>
      <c r="V583" t="s">
        <v>807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159.08</v>
      </c>
      <c r="D584">
        <v>99</v>
      </c>
      <c r="E584">
        <v>1.606868686868687</v>
      </c>
      <c r="F584">
        <v>0.01584108624591401</v>
      </c>
      <c r="G584">
        <v>-0.09049744704539653</v>
      </c>
      <c r="H584">
        <v>0.09</v>
      </c>
      <c r="I584">
        <v>0.01131140998027291</v>
      </c>
      <c r="J584" t="s">
        <v>526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0.669707014070966</v>
      </c>
      <c r="R584" t="s">
        <v>786</v>
      </c>
      <c r="S584" t="s">
        <v>798</v>
      </c>
      <c r="T584">
        <v>117612.13916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211.95</v>
      </c>
      <c r="D585">
        <v>140</v>
      </c>
      <c r="E585">
        <v>1.513928571428571</v>
      </c>
      <c r="F585">
        <v>0.0217032318943147</v>
      </c>
      <c r="G585">
        <v>-0.07959509813622045</v>
      </c>
      <c r="H585">
        <v>0.06</v>
      </c>
      <c r="I585">
        <v>0.002304025921226138</v>
      </c>
      <c r="J585" t="s">
        <v>526</v>
      </c>
      <c r="K585" t="s">
        <v>782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0.258733450690005</v>
      </c>
      <c r="R585" t="s">
        <v>786</v>
      </c>
      <c r="S585" t="s">
        <v>798</v>
      </c>
      <c r="T585">
        <v>32843.143703</v>
      </c>
      <c r="U585" s="2">
        <v>44496</v>
      </c>
      <c r="V585" t="s">
        <v>801</v>
      </c>
    </row>
    <row r="586" spans="1:22">
      <c r="A586" s="1" t="s">
        <v>606</v>
      </c>
      <c r="B586">
        <f>HYPERLINK("https://www.suredividend.com/sure-analysis-SLB/","Schlumberger Ltd.")</f>
        <v>0</v>
      </c>
      <c r="C586">
        <v>30.99</v>
      </c>
      <c r="D586">
        <v>20</v>
      </c>
      <c r="E586">
        <v>1.5495</v>
      </c>
      <c r="F586">
        <v>0.01613423685059697</v>
      </c>
      <c r="G586">
        <v>-0.08386034088690109</v>
      </c>
      <c r="H586">
        <v>0.07000000000000001</v>
      </c>
      <c r="I586">
        <v>0.0008643934519305674</v>
      </c>
      <c r="J586" t="s">
        <v>526</v>
      </c>
      <c r="K586" t="s">
        <v>782</v>
      </c>
      <c r="L586">
        <v>1.1</v>
      </c>
      <c r="M586">
        <v>0.5</v>
      </c>
      <c r="N586">
        <v>0.4545454545454545</v>
      </c>
      <c r="O586">
        <v>0</v>
      </c>
      <c r="P586">
        <v>0.06961037572506878</v>
      </c>
      <c r="Q586">
        <v>0.362659009862678</v>
      </c>
      <c r="R586" t="s">
        <v>784</v>
      </c>
      <c r="S586" t="s">
        <v>797</v>
      </c>
      <c r="T586">
        <v>43467.58384</v>
      </c>
      <c r="U586" s="2">
        <v>44493</v>
      </c>
      <c r="V586" t="s">
        <v>807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85.06999999999999</v>
      </c>
      <c r="D587">
        <v>53</v>
      </c>
      <c r="E587">
        <v>1.605094339622641</v>
      </c>
      <c r="F587">
        <v>0.01704478664629129</v>
      </c>
      <c r="G587">
        <v>-0.090296454467373</v>
      </c>
      <c r="H587">
        <v>0.07000000000000001</v>
      </c>
      <c r="I587">
        <v>-0.004322302920490628</v>
      </c>
      <c r="J587" t="s">
        <v>526</v>
      </c>
      <c r="K587" t="s">
        <v>782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0.438077784014444</v>
      </c>
      <c r="R587" t="s">
        <v>786</v>
      </c>
      <c r="S587" t="s">
        <v>798</v>
      </c>
      <c r="T587">
        <v>15636.249427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HYPERLINK("https://www.suredividend.com/sure-analysis-DRE/","Duke Realty Corp")</f>
        <v>0</v>
      </c>
      <c r="C588">
        <v>61.6</v>
      </c>
      <c r="D588">
        <v>38</v>
      </c>
      <c r="E588">
        <v>1.621052631578947</v>
      </c>
      <c r="F588">
        <v>0.01818181818181818</v>
      </c>
      <c r="G588">
        <v>-0.09209464660469968</v>
      </c>
      <c r="H588">
        <v>0.07000000000000001</v>
      </c>
      <c r="I588">
        <v>-0.005274084148346292</v>
      </c>
      <c r="J588" t="s">
        <v>526</v>
      </c>
      <c r="K588" t="s">
        <v>782</v>
      </c>
      <c r="L588">
        <v>1.72</v>
      </c>
      <c r="M588">
        <v>1.12</v>
      </c>
      <c r="N588">
        <v>0.6511627906976745</v>
      </c>
      <c r="O588">
        <v>7</v>
      </c>
      <c r="P588">
        <v>0.06016789231717423</v>
      </c>
      <c r="Q588">
        <v>0.6417082935723081</v>
      </c>
      <c r="R588" t="s">
        <v>786</v>
      </c>
      <c r="S588" t="s">
        <v>798</v>
      </c>
      <c r="T588">
        <v>23456.569977</v>
      </c>
      <c r="U588" s="2">
        <v>44499</v>
      </c>
      <c r="V588" t="s">
        <v>802</v>
      </c>
    </row>
    <row r="589" spans="1:22">
      <c r="A589" s="1" t="s">
        <v>609</v>
      </c>
      <c r="B589">
        <f>HYPERLINK("https://www.suredividend.com/sure-analysis-JCI/","Johnson Controls International plc")</f>
        <v>0</v>
      </c>
      <c r="C589">
        <v>79.31999999999999</v>
      </c>
      <c r="D589">
        <v>52</v>
      </c>
      <c r="E589">
        <v>1.525384615384615</v>
      </c>
      <c r="F589">
        <v>0.01714573877962683</v>
      </c>
      <c r="G589">
        <v>-0.08098176721532424</v>
      </c>
      <c r="H589">
        <v>0.06</v>
      </c>
      <c r="I589">
        <v>-0.006810690594217905</v>
      </c>
      <c r="J589" t="s">
        <v>526</v>
      </c>
      <c r="K589" t="s">
        <v>782</v>
      </c>
      <c r="L589">
        <v>3.27</v>
      </c>
      <c r="M589">
        <v>1.36</v>
      </c>
      <c r="N589">
        <v>0.4159021406727829</v>
      </c>
      <c r="O589">
        <v>2</v>
      </c>
      <c r="P589">
        <v>0.01289824528018912</v>
      </c>
      <c r="Q589">
        <v>0.7725971498103811</v>
      </c>
      <c r="R589" t="s">
        <v>784</v>
      </c>
      <c r="S589" t="s">
        <v>792</v>
      </c>
      <c r="T589">
        <v>55867.645571</v>
      </c>
      <c r="U589" s="2">
        <v>44511</v>
      </c>
      <c r="V589" t="s">
        <v>801</v>
      </c>
    </row>
    <row r="590" spans="1:22">
      <c r="A590" s="1" t="s">
        <v>610</v>
      </c>
      <c r="B590">
        <f>HYPERLINK("https://www.suredividend.com/sure-analysis-CWEN/","Clearway Energy Inc")</f>
        <v>0</v>
      </c>
      <c r="C590">
        <v>35.25</v>
      </c>
      <c r="D590">
        <v>22</v>
      </c>
      <c r="E590">
        <v>1.602272727272727</v>
      </c>
      <c r="F590">
        <v>0.03858156028368795</v>
      </c>
      <c r="G590">
        <v>-0.08997628118585776</v>
      </c>
      <c r="H590">
        <v>0.03</v>
      </c>
      <c r="I590">
        <v>-0.01068481965697554</v>
      </c>
      <c r="J590" t="s">
        <v>526</v>
      </c>
      <c r="K590" t="s">
        <v>350</v>
      </c>
      <c r="L590">
        <v>2.8</v>
      </c>
      <c r="M590">
        <v>1.36</v>
      </c>
      <c r="N590">
        <v>0.4857142857142858</v>
      </c>
      <c r="O590">
        <v>2</v>
      </c>
      <c r="P590">
        <v>0.0505145404837426</v>
      </c>
      <c r="Q590">
        <v>0.192046707664413</v>
      </c>
      <c r="R590" t="s">
        <v>784</v>
      </c>
      <c r="S590" t="s">
        <v>796</v>
      </c>
      <c r="T590">
        <v>4011.874007</v>
      </c>
      <c r="U590" s="2">
        <v>44515</v>
      </c>
      <c r="V590" t="s">
        <v>805</v>
      </c>
    </row>
    <row r="591" spans="1:22">
      <c r="A591" s="1" t="s">
        <v>611</v>
      </c>
      <c r="B591">
        <f>HYPERLINK("https://www.suredividend.com/sure-analysis-EXPO/","Exponent Inc.")</f>
        <v>0</v>
      </c>
      <c r="C591">
        <v>122.47</v>
      </c>
      <c r="D591">
        <v>72</v>
      </c>
      <c r="E591">
        <v>1.700972222222222</v>
      </c>
      <c r="F591">
        <v>0.006532211970278436</v>
      </c>
      <c r="G591">
        <v>-0.1007911848840291</v>
      </c>
      <c r="H591">
        <v>0.09</v>
      </c>
      <c r="I591">
        <v>-0.01080129736446411</v>
      </c>
      <c r="J591" t="s">
        <v>526</v>
      </c>
      <c r="K591" t="s">
        <v>782</v>
      </c>
      <c r="L591">
        <v>1.9</v>
      </c>
      <c r="M591">
        <v>0.8</v>
      </c>
      <c r="N591">
        <v>0.4210526315789474</v>
      </c>
      <c r="O591">
        <v>8</v>
      </c>
      <c r="P591">
        <v>0.08984070585040471</v>
      </c>
      <c r="Q591">
        <v>0.429541920934554</v>
      </c>
      <c r="R591" t="s">
        <v>784</v>
      </c>
      <c r="S591" t="s">
        <v>792</v>
      </c>
      <c r="T591">
        <v>6382.096385</v>
      </c>
      <c r="U591" s="2">
        <v>44501</v>
      </c>
      <c r="V591" t="s">
        <v>805</v>
      </c>
    </row>
    <row r="592" spans="1:22">
      <c r="A592" s="1" t="s">
        <v>612</v>
      </c>
      <c r="B592">
        <f>HYPERLINK("https://www.suredividend.com/sure-analysis-TRGP/","Targa Resources Corp")</f>
        <v>0</v>
      </c>
      <c r="C592">
        <v>52.21</v>
      </c>
      <c r="D592">
        <v>36</v>
      </c>
      <c r="E592">
        <v>1.450277777777778</v>
      </c>
      <c r="F592">
        <v>0.02681478643937943</v>
      </c>
      <c r="G592">
        <v>-0.0716542329549934</v>
      </c>
      <c r="H592">
        <v>0.03</v>
      </c>
      <c r="I592">
        <v>-0.01131148716483432</v>
      </c>
      <c r="J592" t="s">
        <v>526</v>
      </c>
      <c r="K592" t="s">
        <v>526</v>
      </c>
      <c r="L592">
        <v>5.2</v>
      </c>
      <c r="M592">
        <v>1.4</v>
      </c>
      <c r="N592">
        <v>0.2692307692307692</v>
      </c>
      <c r="O592">
        <v>0</v>
      </c>
      <c r="P592">
        <v>0.02706608708935176</v>
      </c>
      <c r="Q592">
        <v>0.8678983371018061</v>
      </c>
      <c r="R592" t="s">
        <v>784</v>
      </c>
      <c r="S592" t="s">
        <v>797</v>
      </c>
      <c r="T592">
        <v>11954.614023</v>
      </c>
      <c r="U592" s="2">
        <v>44515</v>
      </c>
      <c r="V592" t="s">
        <v>807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14.67</v>
      </c>
      <c r="D593">
        <v>9</v>
      </c>
      <c r="E593">
        <v>1.63</v>
      </c>
      <c r="F593">
        <v>0.05180640763462849</v>
      </c>
      <c r="G593">
        <v>-0.09309357407844399</v>
      </c>
      <c r="H593">
        <v>0.02</v>
      </c>
      <c r="I593">
        <v>-0.01220258661720219</v>
      </c>
      <c r="J593" t="s">
        <v>526</v>
      </c>
      <c r="K593" t="s">
        <v>781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0.034511938846029</v>
      </c>
      <c r="R593" t="s">
        <v>784</v>
      </c>
      <c r="S593" t="s">
        <v>796</v>
      </c>
      <c r="T593">
        <v>3914.89108</v>
      </c>
      <c r="U593" s="2">
        <v>44515</v>
      </c>
      <c r="V593" t="s">
        <v>805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170.06</v>
      </c>
      <c r="D594">
        <v>106</v>
      </c>
      <c r="E594">
        <v>1.604339622641509</v>
      </c>
      <c r="F594">
        <v>0.02987180994942961</v>
      </c>
      <c r="G594">
        <v>-0.09021088161864343</v>
      </c>
      <c r="H594">
        <v>0.046</v>
      </c>
      <c r="I594">
        <v>-0.01289419350439791</v>
      </c>
      <c r="J594" t="s">
        <v>526</v>
      </c>
      <c r="K594" t="s">
        <v>526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0.4988255307146851</v>
      </c>
      <c r="R594" t="s">
        <v>786</v>
      </c>
      <c r="S594" t="s">
        <v>798</v>
      </c>
      <c r="T594">
        <v>7515.822456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53.91</v>
      </c>
      <c r="D595">
        <v>38</v>
      </c>
      <c r="E595">
        <v>1.418684210526316</v>
      </c>
      <c r="F595">
        <v>0.02838063439065109</v>
      </c>
      <c r="G595">
        <v>-0.06755579771620901</v>
      </c>
      <c r="H595">
        <v>0.02</v>
      </c>
      <c r="I595">
        <v>-0.01463585901238396</v>
      </c>
      <c r="J595" t="s">
        <v>526</v>
      </c>
      <c r="K595" t="s">
        <v>526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0.3534853943585941</v>
      </c>
      <c r="R595" t="s">
        <v>784</v>
      </c>
      <c r="S595" t="s">
        <v>796</v>
      </c>
      <c r="T595">
        <v>52714.958701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40.66</v>
      </c>
      <c r="D596">
        <v>38</v>
      </c>
      <c r="E596">
        <v>1.07</v>
      </c>
      <c r="F596">
        <v>0.014756517461879</v>
      </c>
      <c r="G596">
        <v>-0.01344058740792065</v>
      </c>
      <c r="H596">
        <v>-0.02</v>
      </c>
      <c r="I596">
        <v>-0.01591047826156244</v>
      </c>
      <c r="J596" t="s">
        <v>526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0.004193607342023</v>
      </c>
      <c r="R596" t="s">
        <v>784</v>
      </c>
      <c r="S596" t="s">
        <v>794</v>
      </c>
      <c r="T596">
        <v>18317.627306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63.42</v>
      </c>
      <c r="D597">
        <v>36</v>
      </c>
      <c r="E597">
        <v>1.761666666666667</v>
      </c>
      <c r="F597">
        <v>0.01702932828760644</v>
      </c>
      <c r="G597">
        <v>-0.1070744445432956</v>
      </c>
      <c r="H597">
        <v>0.07000000000000001</v>
      </c>
      <c r="I597">
        <v>-0.02126257152107136</v>
      </c>
      <c r="J597" t="s">
        <v>526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0.588534294654197</v>
      </c>
      <c r="R597" t="s">
        <v>786</v>
      </c>
      <c r="S597" t="s">
        <v>798</v>
      </c>
      <c r="T597">
        <v>8188.224864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HYPERLINK("https://www.suredividend.com/sure-analysis-CMP/","Compass Minerals International Inc")</f>
        <v>0</v>
      </c>
      <c r="C598">
        <v>51.97</v>
      </c>
      <c r="D598">
        <v>33</v>
      </c>
      <c r="E598">
        <v>1.574848484848485</v>
      </c>
      <c r="F598">
        <v>0.01154512218587647</v>
      </c>
      <c r="G598">
        <v>-0.08682871894348609</v>
      </c>
      <c r="H598">
        <v>0.05</v>
      </c>
      <c r="I598">
        <v>-0.02788406817767675</v>
      </c>
      <c r="J598" t="s">
        <v>526</v>
      </c>
      <c r="K598" t="s">
        <v>782</v>
      </c>
      <c r="L598">
        <v>1.45</v>
      </c>
      <c r="M598">
        <v>0.6</v>
      </c>
      <c r="N598">
        <v>0.4137931034482759</v>
      </c>
      <c r="O598">
        <v>0</v>
      </c>
      <c r="P598">
        <v>0</v>
      </c>
      <c r="Q598">
        <v>-0.125209816640879</v>
      </c>
      <c r="R598" t="s">
        <v>784</v>
      </c>
      <c r="S598" t="s">
        <v>794</v>
      </c>
      <c r="T598">
        <v>1768.651943</v>
      </c>
      <c r="U598" s="2">
        <v>44520</v>
      </c>
      <c r="V598" t="s">
        <v>799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41.46</v>
      </c>
      <c r="D599">
        <v>29</v>
      </c>
      <c r="E599">
        <v>1.429655172413793</v>
      </c>
      <c r="F599">
        <v>0.00964785335262904</v>
      </c>
      <c r="G599">
        <v>-0.0689912985532567</v>
      </c>
      <c r="H599">
        <v>0.03</v>
      </c>
      <c r="I599">
        <v>-0.02991372859008357</v>
      </c>
      <c r="J599" t="s">
        <v>526</v>
      </c>
      <c r="K599" t="s">
        <v>782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0.419034577199589</v>
      </c>
      <c r="R599" t="s">
        <v>786</v>
      </c>
      <c r="S599" t="s">
        <v>798</v>
      </c>
      <c r="T599">
        <v>13834.375129</v>
      </c>
      <c r="U599" s="2">
        <v>44506</v>
      </c>
      <c r="V599" t="s">
        <v>800</v>
      </c>
    </row>
    <row r="600" spans="1:22">
      <c r="A600" s="1" t="s">
        <v>620</v>
      </c>
      <c r="B600">
        <f>HYPERLINK("https://www.suredividend.com/sure-analysis-CME/","CME Group Inc")</f>
        <v>0</v>
      </c>
      <c r="C600">
        <v>228.4</v>
      </c>
      <c r="D600">
        <v>133</v>
      </c>
      <c r="E600">
        <v>1.717293233082707</v>
      </c>
      <c r="F600">
        <v>0.01576182136602452</v>
      </c>
      <c r="G600">
        <v>-0.1025069208581703</v>
      </c>
      <c r="H600">
        <v>0.054</v>
      </c>
      <c r="I600">
        <v>-0.03280956850283967</v>
      </c>
      <c r="J600" t="s">
        <v>526</v>
      </c>
      <c r="K600" t="s">
        <v>782</v>
      </c>
      <c r="L600">
        <v>6.65</v>
      </c>
      <c r="M600">
        <v>3.6</v>
      </c>
      <c r="N600">
        <v>0.5413533834586466</v>
      </c>
      <c r="O600">
        <v>17</v>
      </c>
      <c r="P600">
        <v>0.04047680696561917</v>
      </c>
      <c r="Q600">
        <v>0.3066982013448</v>
      </c>
      <c r="R600" t="s">
        <v>784</v>
      </c>
      <c r="S600" t="s">
        <v>793</v>
      </c>
      <c r="T600">
        <v>82086.08500000001</v>
      </c>
      <c r="U600" s="2">
        <v>44503</v>
      </c>
      <c r="V600" t="s">
        <v>808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216.47</v>
      </c>
      <c r="D601">
        <v>118</v>
      </c>
      <c r="E601">
        <v>1.834491525423729</v>
      </c>
      <c r="F601">
        <v>0.02009516330207419</v>
      </c>
      <c r="G601">
        <v>-0.1142791706442144</v>
      </c>
      <c r="H601">
        <v>0.06</v>
      </c>
      <c r="I601">
        <v>-0.03393516007127506</v>
      </c>
      <c r="J601" t="s">
        <v>526</v>
      </c>
      <c r="K601" t="s">
        <v>782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0.826156205657903</v>
      </c>
      <c r="R601" t="s">
        <v>786</v>
      </c>
      <c r="S601" t="s">
        <v>798</v>
      </c>
      <c r="T601">
        <v>24923.99278</v>
      </c>
      <c r="U601" s="2">
        <v>44509</v>
      </c>
      <c r="V601" t="s">
        <v>807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22.96</v>
      </c>
      <c r="D602">
        <v>12.6</v>
      </c>
      <c r="E602">
        <v>1.822222222222222</v>
      </c>
      <c r="F602">
        <v>0.02961672473867596</v>
      </c>
      <c r="G602">
        <v>-0.1130896311019612</v>
      </c>
      <c r="H602">
        <v>0.035</v>
      </c>
      <c r="I602">
        <v>-0.03715290682771599</v>
      </c>
      <c r="J602" t="s">
        <v>526</v>
      </c>
      <c r="K602" t="s">
        <v>526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0.6064144633274321</v>
      </c>
      <c r="R602" t="s">
        <v>786</v>
      </c>
      <c r="S602" t="s">
        <v>798</v>
      </c>
      <c r="T602">
        <v>14153.188212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HYPERLINK("https://www.suredividend.com/sure-analysis-ACN/","Accenture plc")</f>
        <v>0</v>
      </c>
      <c r="C603">
        <v>379.46</v>
      </c>
      <c r="D603">
        <v>201</v>
      </c>
      <c r="E603">
        <v>1.887860696517413</v>
      </c>
      <c r="F603">
        <v>0.01022505665946345</v>
      </c>
      <c r="G603">
        <v>-0.119344582639808</v>
      </c>
      <c r="H603">
        <v>0.075</v>
      </c>
      <c r="I603">
        <v>-0.03768973413874144</v>
      </c>
      <c r="J603" t="s">
        <v>526</v>
      </c>
      <c r="K603" t="s">
        <v>782</v>
      </c>
      <c r="L603">
        <v>10.04</v>
      </c>
      <c r="M603">
        <v>3.88</v>
      </c>
      <c r="N603">
        <v>0.3864541832669323</v>
      </c>
      <c r="O603">
        <v>11</v>
      </c>
      <c r="P603">
        <v>0.07996237680867235</v>
      </c>
      <c r="Q603">
        <v>0.562584293029854</v>
      </c>
      <c r="R603" t="s">
        <v>784</v>
      </c>
      <c r="S603" t="s">
        <v>791</v>
      </c>
      <c r="T603">
        <v>249193.230568</v>
      </c>
      <c r="U603" s="2">
        <v>44476</v>
      </c>
      <c r="V603" t="s">
        <v>803</v>
      </c>
    </row>
    <row r="604" spans="1:22">
      <c r="A604" s="1" t="s">
        <v>624</v>
      </c>
      <c r="B604">
        <f>HYPERLINK("https://www.suredividend.com/sure-analysis-ETN/","Eaton Corporation plc")</f>
        <v>0</v>
      </c>
      <c r="C604">
        <v>170.47</v>
      </c>
      <c r="D604">
        <v>100</v>
      </c>
      <c r="E604">
        <v>1.7047</v>
      </c>
      <c r="F604">
        <v>0.01783304980348448</v>
      </c>
      <c r="G604">
        <v>-0.1011848009513607</v>
      </c>
      <c r="H604">
        <v>0.04</v>
      </c>
      <c r="I604">
        <v>-0.04099583458333844</v>
      </c>
      <c r="J604" t="s">
        <v>526</v>
      </c>
      <c r="K604" t="s">
        <v>782</v>
      </c>
      <c r="L604">
        <v>6.64</v>
      </c>
      <c r="M604">
        <v>3.04</v>
      </c>
      <c r="N604">
        <v>0.4578313253012049</v>
      </c>
      <c r="O604">
        <v>12</v>
      </c>
      <c r="P604">
        <v>0.02975477857041309</v>
      </c>
      <c r="Q604">
        <v>0.503816443702603</v>
      </c>
      <c r="R604" t="s">
        <v>784</v>
      </c>
      <c r="S604" t="s">
        <v>792</v>
      </c>
      <c r="T604">
        <v>67945.356</v>
      </c>
      <c r="U604" s="2">
        <v>44502</v>
      </c>
      <c r="V604" t="s">
        <v>800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173.7</v>
      </c>
      <c r="D605">
        <v>97</v>
      </c>
      <c r="E605">
        <v>1.790721649484536</v>
      </c>
      <c r="F605">
        <v>0.01911341393206678</v>
      </c>
      <c r="G605">
        <v>-0.1099910311513866</v>
      </c>
      <c r="H605">
        <v>0.04</v>
      </c>
      <c r="I605">
        <v>-0.04675242375265143</v>
      </c>
      <c r="J605" t="s">
        <v>526</v>
      </c>
      <c r="K605" t="s">
        <v>782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0.861278044013133</v>
      </c>
      <c r="R605" t="s">
        <v>786</v>
      </c>
      <c r="S605" t="s">
        <v>798</v>
      </c>
      <c r="T605">
        <v>17750.646084</v>
      </c>
      <c r="U605" s="2">
        <v>44505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37.84</v>
      </c>
      <c r="D606">
        <v>20</v>
      </c>
      <c r="E606">
        <v>1.892</v>
      </c>
      <c r="F606">
        <v>0.01585623678646934</v>
      </c>
      <c r="G606">
        <v>-0.1197302585694136</v>
      </c>
      <c r="H606">
        <v>0.05</v>
      </c>
      <c r="I606">
        <v>-0.05494555916063437</v>
      </c>
      <c r="J606" t="s">
        <v>526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0.4893709139715111</v>
      </c>
      <c r="R606" t="s">
        <v>784</v>
      </c>
      <c r="S606" t="s">
        <v>788</v>
      </c>
      <c r="T606">
        <v>1239.403678</v>
      </c>
      <c r="U606" s="2">
        <v>44491</v>
      </c>
      <c r="V606" t="s">
        <v>803</v>
      </c>
    </row>
    <row r="607" spans="1:22">
      <c r="A607" s="1" t="s">
        <v>627</v>
      </c>
      <c r="B607">
        <f>HYPERLINK("https://www.suredividend.com/sure-analysis-ORAN/","Orange.")</f>
        <v>0</v>
      </c>
      <c r="C607">
        <v>10.04</v>
      </c>
      <c r="D607">
        <v>15</v>
      </c>
      <c r="E607">
        <v>0.6693333333333332</v>
      </c>
      <c r="F607">
        <v>0.1075697211155379</v>
      </c>
      <c r="G607">
        <v>0.08360626987827557</v>
      </c>
      <c r="H607">
        <v>0.02</v>
      </c>
      <c r="I607">
        <v>0.1713547562217914</v>
      </c>
      <c r="J607" t="s">
        <v>782</v>
      </c>
      <c r="K607" t="s">
        <v>781</v>
      </c>
      <c r="L607">
        <v>1.51</v>
      </c>
      <c r="M607">
        <v>1.08</v>
      </c>
      <c r="N607">
        <v>0.7152317880794702</v>
      </c>
      <c r="O607">
        <v>1</v>
      </c>
      <c r="P607">
        <v>0.01087212085035083</v>
      </c>
      <c r="Q607">
        <v>-0.09761731424308601</v>
      </c>
      <c r="R607" t="s">
        <v>784</v>
      </c>
      <c r="S607" t="s">
        <v>788</v>
      </c>
      <c r="T607">
        <v>26700.513387</v>
      </c>
      <c r="U607" s="2">
        <v>44496</v>
      </c>
      <c r="V607" t="s">
        <v>810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255.27</v>
      </c>
      <c r="D608">
        <v>158</v>
      </c>
      <c r="E608">
        <v>1.615632911392405</v>
      </c>
      <c r="F608">
        <v>0.02350452462098954</v>
      </c>
      <c r="G608">
        <v>-0.09148633965006514</v>
      </c>
      <c r="H608">
        <v>0.25</v>
      </c>
      <c r="I608">
        <v>0.1598282632976005</v>
      </c>
      <c r="J608" t="s">
        <v>782</v>
      </c>
      <c r="K608" t="s">
        <v>782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0.6299232609192591</v>
      </c>
      <c r="R608" t="s">
        <v>786</v>
      </c>
      <c r="S608" t="s">
        <v>798</v>
      </c>
      <c r="T608">
        <v>6107.938879</v>
      </c>
      <c r="U608" s="2">
        <v>44509</v>
      </c>
      <c r="V608" t="s">
        <v>799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28.01</v>
      </c>
      <c r="D609">
        <v>40</v>
      </c>
      <c r="E609">
        <v>0.70025</v>
      </c>
      <c r="F609">
        <v>0.09568011424491253</v>
      </c>
      <c r="G609">
        <v>0.07386423015336208</v>
      </c>
      <c r="H609">
        <v>0.02</v>
      </c>
      <c r="I609">
        <v>0.1566277048535438</v>
      </c>
      <c r="J609" t="s">
        <v>782</v>
      </c>
      <c r="K609" t="s">
        <v>350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-0.195671962807366</v>
      </c>
      <c r="R609" t="s">
        <v>786</v>
      </c>
      <c r="S609" t="s">
        <v>798</v>
      </c>
      <c r="T609">
        <v>6693.665157</v>
      </c>
      <c r="U609" s="2">
        <v>44520</v>
      </c>
      <c r="V609" t="s">
        <v>804</v>
      </c>
    </row>
    <row r="610" spans="1:22">
      <c r="A610" s="1" t="s">
        <v>630</v>
      </c>
      <c r="B610">
        <f>HYPERLINK("https://www.suredividend.com/sure-analysis-KNOP/","KNOT Offshore Partners LP")</f>
        <v>0</v>
      </c>
      <c r="C610">
        <v>13.64</v>
      </c>
      <c r="D610">
        <v>17.29</v>
      </c>
      <c r="E610">
        <v>0.7888953152111048</v>
      </c>
      <c r="F610">
        <v>0.1524926686217009</v>
      </c>
      <c r="G610">
        <v>0.04856685249497295</v>
      </c>
      <c r="H610">
        <v>0</v>
      </c>
      <c r="I610">
        <v>0.1521306150352217</v>
      </c>
      <c r="J610" t="s">
        <v>782</v>
      </c>
      <c r="K610" t="s">
        <v>350</v>
      </c>
      <c r="L610">
        <v>2.47</v>
      </c>
      <c r="M610">
        <v>2.08</v>
      </c>
      <c r="N610">
        <v>0.8421052631578947</v>
      </c>
      <c r="O610">
        <v>0</v>
      </c>
      <c r="P610">
        <v>0</v>
      </c>
      <c r="Q610">
        <v>-0.001705298134418</v>
      </c>
      <c r="R610" t="s">
        <v>785</v>
      </c>
      <c r="S610" t="s">
        <v>792</v>
      </c>
      <c r="T610">
        <v>448.884025</v>
      </c>
      <c r="U610" s="2">
        <v>44520</v>
      </c>
      <c r="V610" t="s">
        <v>799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44.64</v>
      </c>
      <c r="D611">
        <v>55</v>
      </c>
      <c r="E611">
        <v>0.8116363636363636</v>
      </c>
      <c r="F611">
        <v>0.09587813620071685</v>
      </c>
      <c r="G611">
        <v>0.04262395930671548</v>
      </c>
      <c r="H611">
        <v>0.04</v>
      </c>
      <c r="I611">
        <v>0.1496435422470843</v>
      </c>
      <c r="J611" t="s">
        <v>782</v>
      </c>
      <c r="K611" t="s">
        <v>350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-0.015355425142302</v>
      </c>
      <c r="R611" t="s">
        <v>784</v>
      </c>
      <c r="S611" t="s">
        <v>793</v>
      </c>
      <c r="T611">
        <v>2910.585215</v>
      </c>
      <c r="U611" s="2">
        <v>44520</v>
      </c>
      <c r="V611" t="s">
        <v>804</v>
      </c>
    </row>
    <row r="612" spans="1:22">
      <c r="A612" s="1" t="s">
        <v>632</v>
      </c>
      <c r="B612">
        <f>HYPERLINK("https://www.suredividend.com/sure-analysis-SCCO/","Southern Copper Corporation")</f>
        <v>0</v>
      </c>
      <c r="C612">
        <v>60.46</v>
      </c>
      <c r="D612">
        <v>80</v>
      </c>
      <c r="E612">
        <v>0.75575</v>
      </c>
      <c r="F612">
        <v>0.05292755540853457</v>
      </c>
      <c r="G612">
        <v>0.05760712713671934</v>
      </c>
      <c r="H612">
        <v>0.05</v>
      </c>
      <c r="I612">
        <v>0.1481984192236716</v>
      </c>
      <c r="J612" t="s">
        <v>782</v>
      </c>
      <c r="K612" t="s">
        <v>350</v>
      </c>
      <c r="L612">
        <v>4.43</v>
      </c>
      <c r="M612">
        <v>3.2</v>
      </c>
      <c r="N612">
        <v>0.7223476297968399</v>
      </c>
      <c r="O612">
        <v>0</v>
      </c>
      <c r="P612">
        <v>0.04978904632428516</v>
      </c>
      <c r="Q612">
        <v>0.060973512513731</v>
      </c>
      <c r="R612" t="s">
        <v>784</v>
      </c>
      <c r="S612" t="s">
        <v>794</v>
      </c>
      <c r="T612">
        <v>46740.493524</v>
      </c>
      <c r="U612" s="2">
        <v>44498</v>
      </c>
      <c r="V612" t="s">
        <v>805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36.19</v>
      </c>
      <c r="D613">
        <v>44</v>
      </c>
      <c r="E613">
        <v>0.8224999999999999</v>
      </c>
      <c r="F613">
        <v>0.09671179883945842</v>
      </c>
      <c r="G613">
        <v>0.03985508205752408</v>
      </c>
      <c r="H613">
        <v>0.04</v>
      </c>
      <c r="I613">
        <v>0.1443898093670988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0.331341899930471</v>
      </c>
      <c r="R613" t="s">
        <v>785</v>
      </c>
      <c r="S613" t="s">
        <v>797</v>
      </c>
      <c r="T613">
        <v>8263.629884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HYPERLINK("https://www.suredividend.com/sure-analysis-DHT/","DHT Holdings Inc")</f>
        <v>0</v>
      </c>
      <c r="C614">
        <v>5.49</v>
      </c>
      <c r="D614">
        <v>6</v>
      </c>
      <c r="E614">
        <v>0.915</v>
      </c>
      <c r="F614">
        <v>0.02367941712204007</v>
      </c>
      <c r="G614">
        <v>0.01792500121884211</v>
      </c>
      <c r="H614">
        <v>0.1</v>
      </c>
      <c r="I614">
        <v>0.1431523979948559</v>
      </c>
      <c r="J614" t="s">
        <v>782</v>
      </c>
      <c r="K614" t="s">
        <v>782</v>
      </c>
      <c r="L614">
        <v>-0.1</v>
      </c>
      <c r="M614">
        <v>0.13</v>
      </c>
      <c r="N614">
        <v>9.99</v>
      </c>
      <c r="O614">
        <v>0</v>
      </c>
      <c r="P614">
        <v>0.1658506946484593</v>
      </c>
      <c r="Q614">
        <v>0.009003700907735</v>
      </c>
      <c r="R614" t="s">
        <v>784</v>
      </c>
      <c r="S614" t="s">
        <v>797</v>
      </c>
      <c r="T614">
        <v>935.974837</v>
      </c>
      <c r="U614" s="2">
        <v>44509</v>
      </c>
      <c r="V614" t="s">
        <v>807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50.1</v>
      </c>
      <c r="D615">
        <v>57</v>
      </c>
      <c r="E615">
        <v>0.8789473684210527</v>
      </c>
      <c r="F615">
        <v>0.1596806387225549</v>
      </c>
      <c r="G615">
        <v>0.02614191094865759</v>
      </c>
      <c r="H615">
        <v>0</v>
      </c>
      <c r="I615">
        <v>0.1412657963280013</v>
      </c>
      <c r="J615" t="s">
        <v>782</v>
      </c>
      <c r="K615" t="s">
        <v>350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0.133992150329785</v>
      </c>
      <c r="R615" t="s">
        <v>785</v>
      </c>
      <c r="S615" t="s">
        <v>792</v>
      </c>
      <c r="T615">
        <v>13958.138456</v>
      </c>
      <c r="U615" s="2">
        <v>44513</v>
      </c>
      <c r="V615" t="s">
        <v>799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9</v>
      </c>
      <c r="D616">
        <v>11.7</v>
      </c>
      <c r="E616">
        <v>0.7692307692307693</v>
      </c>
      <c r="F616">
        <v>0.04222222222222222</v>
      </c>
      <c r="G616">
        <v>0.05387395206178347</v>
      </c>
      <c r="H616">
        <v>0.055</v>
      </c>
      <c r="I616">
        <v>0.1381877555978146</v>
      </c>
      <c r="J616" t="s">
        <v>782</v>
      </c>
      <c r="K616" t="s">
        <v>526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0.437755885363357</v>
      </c>
      <c r="R616" t="s">
        <v>786</v>
      </c>
      <c r="S616" t="s">
        <v>798</v>
      </c>
      <c r="T616">
        <v>144.40842</v>
      </c>
      <c r="U616" s="2">
        <v>44511</v>
      </c>
      <c r="V616" t="s">
        <v>808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3.43</v>
      </c>
      <c r="D617">
        <v>3.5</v>
      </c>
      <c r="E617">
        <v>0.9800000000000001</v>
      </c>
      <c r="F617">
        <v>0.1166180758017493</v>
      </c>
      <c r="G617">
        <v>0.004048715456574481</v>
      </c>
      <c r="H617">
        <v>0.042</v>
      </c>
      <c r="I617">
        <v>0.1292779482956459</v>
      </c>
      <c r="J617" t="s">
        <v>782</v>
      </c>
      <c r="K617" t="s">
        <v>350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-0.06353236683321001</v>
      </c>
      <c r="R617" t="s">
        <v>787</v>
      </c>
      <c r="S617" t="s">
        <v>793</v>
      </c>
      <c r="T617">
        <v>92.286441</v>
      </c>
      <c r="U617" s="2">
        <v>44509</v>
      </c>
      <c r="V617" t="s">
        <v>808</v>
      </c>
    </row>
    <row r="618" spans="1:22">
      <c r="A618" s="1" t="s">
        <v>638</v>
      </c>
      <c r="B618">
        <f>HYPERLINK("https://www.suredividend.com/sure-analysis-TEF/","Telefonica S.A")</f>
        <v>0</v>
      </c>
      <c r="C618">
        <v>4.22</v>
      </c>
      <c r="D618">
        <v>4.95</v>
      </c>
      <c r="E618">
        <v>0.8525252525252525</v>
      </c>
      <c r="F618">
        <v>0.1066350710900474</v>
      </c>
      <c r="G618">
        <v>0.03242508849640102</v>
      </c>
      <c r="H618">
        <v>0.02</v>
      </c>
      <c r="I618">
        <v>0.1282541698392863</v>
      </c>
      <c r="J618" t="s">
        <v>782</v>
      </c>
      <c r="K618" t="s">
        <v>781</v>
      </c>
      <c r="L618">
        <v>0.55</v>
      </c>
      <c r="M618">
        <v>0.45</v>
      </c>
      <c r="N618">
        <v>0.8181818181818181</v>
      </c>
      <c r="O618">
        <v>0</v>
      </c>
      <c r="P618">
        <v>0</v>
      </c>
      <c r="Q618">
        <v>0.007111832370769001</v>
      </c>
      <c r="R618" t="s">
        <v>784</v>
      </c>
      <c r="S618" t="s">
        <v>788</v>
      </c>
      <c r="T618">
        <v>23792.5858</v>
      </c>
      <c r="U618" s="2">
        <v>44529</v>
      </c>
      <c r="V618" t="s">
        <v>803</v>
      </c>
    </row>
    <row r="619" spans="1:22">
      <c r="A619" s="1" t="s">
        <v>639</v>
      </c>
      <c r="B619">
        <f>HYPERLINK("https://www.suredividend.com/sure-analysis-SU/","Suncor Energy, Inc.")</f>
        <v>0</v>
      </c>
      <c r="C619">
        <v>24.62</v>
      </c>
      <c r="D619">
        <v>29</v>
      </c>
      <c r="E619">
        <v>0.8489655172413794</v>
      </c>
      <c r="F619">
        <v>0.05523964256701869</v>
      </c>
      <c r="G619">
        <v>0.03328943725619116</v>
      </c>
      <c r="H619">
        <v>0.05</v>
      </c>
      <c r="I619">
        <v>0.127769100081226</v>
      </c>
      <c r="J619" t="s">
        <v>782</v>
      </c>
      <c r="K619" t="s">
        <v>526</v>
      </c>
      <c r="L619">
        <v>1.36</v>
      </c>
      <c r="M619">
        <v>1.36</v>
      </c>
      <c r="N619">
        <v>1</v>
      </c>
      <c r="O619">
        <v>1</v>
      </c>
      <c r="P619">
        <v>0.0505145404837426</v>
      </c>
      <c r="Q619">
        <v>0.375549633205388</v>
      </c>
      <c r="R619" t="s">
        <v>784</v>
      </c>
      <c r="S619" t="s">
        <v>797</v>
      </c>
      <c r="T619">
        <v>35829.927289</v>
      </c>
      <c r="U619" s="2">
        <v>44502</v>
      </c>
      <c r="V619" t="s">
        <v>807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33.1305</v>
      </c>
      <c r="D620">
        <v>35</v>
      </c>
      <c r="E620">
        <v>0.9465857142857143</v>
      </c>
      <c r="F620">
        <v>0.05553794841611205</v>
      </c>
      <c r="G620">
        <v>0.01103923828575915</v>
      </c>
      <c r="H620">
        <v>0.07000000000000001</v>
      </c>
      <c r="I620">
        <v>0.1240774973874812</v>
      </c>
      <c r="J620" t="s">
        <v>782</v>
      </c>
      <c r="K620" t="s">
        <v>350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0.113502994615741</v>
      </c>
      <c r="R620" t="s">
        <v>784</v>
      </c>
      <c r="S620" t="s">
        <v>792</v>
      </c>
      <c r="T620">
        <v>1532.404232</v>
      </c>
      <c r="U620" s="2">
        <v>44516</v>
      </c>
      <c r="V620" t="s">
        <v>799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13.37</v>
      </c>
      <c r="D621">
        <v>14.5</v>
      </c>
      <c r="E621">
        <v>0.9220689655172414</v>
      </c>
      <c r="F621">
        <v>0.08975317875841436</v>
      </c>
      <c r="G621">
        <v>0.01635942530741397</v>
      </c>
      <c r="H621">
        <v>0.038</v>
      </c>
      <c r="I621">
        <v>0.121958907658994</v>
      </c>
      <c r="J621" t="s">
        <v>782</v>
      </c>
      <c r="K621" t="s">
        <v>350</v>
      </c>
      <c r="L621">
        <v>1.58</v>
      </c>
      <c r="M621">
        <v>1.2</v>
      </c>
      <c r="N621">
        <v>0.7594936708860759</v>
      </c>
      <c r="O621">
        <v>0</v>
      </c>
      <c r="P621">
        <v>0.01613736474159566</v>
      </c>
      <c r="Q621">
        <v>-0.178317917831791</v>
      </c>
      <c r="R621" t="s">
        <v>786</v>
      </c>
      <c r="S621" t="s">
        <v>798</v>
      </c>
      <c r="T621">
        <v>3057.42609</v>
      </c>
      <c r="U621" s="2">
        <v>44509</v>
      </c>
      <c r="V621" t="s">
        <v>808</v>
      </c>
    </row>
    <row r="622" spans="1:22">
      <c r="A622" s="1" t="s">
        <v>642</v>
      </c>
      <c r="B622">
        <f>HYPERLINK("https://www.suredividend.com/sure-analysis-VICI/","VICI Properties Inc")</f>
        <v>0</v>
      </c>
      <c r="C622">
        <v>28.36</v>
      </c>
      <c r="D622">
        <v>31</v>
      </c>
      <c r="E622">
        <v>0.9148387096774193</v>
      </c>
      <c r="F622">
        <v>0.05077574047954866</v>
      </c>
      <c r="G622">
        <v>0.01796089167098747</v>
      </c>
      <c r="H622">
        <v>0.06</v>
      </c>
      <c r="I622">
        <v>0.1205268499854617</v>
      </c>
      <c r="J622" t="s">
        <v>782</v>
      </c>
      <c r="K622" t="s">
        <v>350</v>
      </c>
      <c r="L622">
        <v>2</v>
      </c>
      <c r="M622">
        <v>1.44</v>
      </c>
      <c r="N622">
        <v>0.72</v>
      </c>
      <c r="O622">
        <v>3</v>
      </c>
      <c r="P622">
        <v>0.06032490771095733</v>
      </c>
      <c r="Q622">
        <v>0.159282847028622</v>
      </c>
      <c r="R622" t="s">
        <v>786</v>
      </c>
      <c r="S622" t="s">
        <v>798</v>
      </c>
      <c r="T622">
        <v>17836.909496</v>
      </c>
      <c r="U622" s="2">
        <v>44509</v>
      </c>
      <c r="V622" t="s">
        <v>807</v>
      </c>
    </row>
    <row r="623" spans="1:22">
      <c r="A623" s="1" t="s">
        <v>643</v>
      </c>
      <c r="B623">
        <f>HYPERLINK("https://www.suredividend.com/sure-analysis-LTC/","LTC Properties, Inc.")</f>
        <v>0</v>
      </c>
      <c r="C623">
        <v>32.78</v>
      </c>
      <c r="D623">
        <v>36</v>
      </c>
      <c r="E623">
        <v>0.9105555555555556</v>
      </c>
      <c r="F623">
        <v>0.06955460646735814</v>
      </c>
      <c r="G623">
        <v>0.0189167702436599</v>
      </c>
      <c r="H623">
        <v>0.05</v>
      </c>
      <c r="I623">
        <v>0.1183533489523503</v>
      </c>
      <c r="J623" t="s">
        <v>782</v>
      </c>
      <c r="K623" t="s">
        <v>350</v>
      </c>
      <c r="L623">
        <v>2.4</v>
      </c>
      <c r="M623">
        <v>2.28</v>
      </c>
      <c r="N623">
        <v>0.95</v>
      </c>
      <c r="O623">
        <v>0</v>
      </c>
      <c r="P623">
        <v>0</v>
      </c>
      <c r="Q623">
        <v>-0.09947281523259001</v>
      </c>
      <c r="R623" t="s">
        <v>786</v>
      </c>
      <c r="S623" t="s">
        <v>798</v>
      </c>
      <c r="T623">
        <v>1290.681162</v>
      </c>
      <c r="U623" s="2">
        <v>44510</v>
      </c>
      <c r="V623" t="s">
        <v>807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15.57</v>
      </c>
      <c r="D624">
        <v>20</v>
      </c>
      <c r="E624">
        <v>0.7785</v>
      </c>
      <c r="F624">
        <v>0.05138086062941555</v>
      </c>
      <c r="G624">
        <v>0.05135231813395924</v>
      </c>
      <c r="H624">
        <v>0.03</v>
      </c>
      <c r="I624">
        <v>0.1179173163118676</v>
      </c>
      <c r="J624" t="s">
        <v>782</v>
      </c>
      <c r="K624" t="s">
        <v>350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0.341639954503153</v>
      </c>
      <c r="R624" t="s">
        <v>784</v>
      </c>
      <c r="S624" t="s">
        <v>795</v>
      </c>
      <c r="T624">
        <v>2397.148278</v>
      </c>
      <c r="U624" s="2">
        <v>44454</v>
      </c>
      <c r="V624" t="s">
        <v>806</v>
      </c>
    </row>
    <row r="625" spans="1:22">
      <c r="A625" s="1" t="s">
        <v>645</v>
      </c>
      <c r="B625">
        <f>HYPERLINK("https://www.suredividend.com/sure-analysis-TRP/","TC Energy Corporation")</f>
        <v>0</v>
      </c>
      <c r="C625">
        <v>45.62</v>
      </c>
      <c r="D625">
        <v>53</v>
      </c>
      <c r="E625">
        <v>0.860754716981132</v>
      </c>
      <c r="F625">
        <v>0.06049978079789566</v>
      </c>
      <c r="G625">
        <v>0.03044334259710202</v>
      </c>
      <c r="H625">
        <v>0.04</v>
      </c>
      <c r="I625">
        <v>0.1177019216505726</v>
      </c>
      <c r="J625" t="s">
        <v>782</v>
      </c>
      <c r="K625" t="s">
        <v>350</v>
      </c>
      <c r="L625">
        <v>3.3</v>
      </c>
      <c r="M625">
        <v>2.76</v>
      </c>
      <c r="N625">
        <v>0.8363636363636363</v>
      </c>
      <c r="O625">
        <v>6</v>
      </c>
      <c r="P625">
        <v>0.03002598081465924</v>
      </c>
      <c r="Q625">
        <v>0.065026870800707</v>
      </c>
      <c r="R625" t="s">
        <v>784</v>
      </c>
      <c r="S625" t="s">
        <v>797</v>
      </c>
      <c r="T625">
        <v>44673.815151</v>
      </c>
      <c r="U625" s="2">
        <v>44510</v>
      </c>
      <c r="V625" t="s">
        <v>807</v>
      </c>
    </row>
    <row r="626" spans="1:22">
      <c r="A626" s="1" t="s">
        <v>646</v>
      </c>
      <c r="B626">
        <f>HYPERLINK("https://www.suredividend.com/sure-analysis-PINE/","Alpine Income Property Trust Inc")</f>
        <v>0</v>
      </c>
      <c r="C626">
        <v>19</v>
      </c>
      <c r="D626">
        <v>18.88</v>
      </c>
      <c r="E626">
        <v>1.00635593220339</v>
      </c>
      <c r="F626">
        <v>0.0568421052631579</v>
      </c>
      <c r="G626">
        <v>-0.001266361176916364</v>
      </c>
      <c r="H626">
        <v>0.07000000000000001</v>
      </c>
      <c r="I626">
        <v>0.1175013316074134</v>
      </c>
      <c r="J626" t="s">
        <v>782</v>
      </c>
      <c r="K626" t="s">
        <v>350</v>
      </c>
      <c r="L626">
        <v>1.51</v>
      </c>
      <c r="M626">
        <v>1.08</v>
      </c>
      <c r="N626">
        <v>0.7152317880794702</v>
      </c>
      <c r="O626">
        <v>3</v>
      </c>
      <c r="P626">
        <v>0.06932726018096602</v>
      </c>
      <c r="Q626">
        <v>0.328903654485049</v>
      </c>
      <c r="R626" t="s">
        <v>786</v>
      </c>
      <c r="S626" t="s">
        <v>798</v>
      </c>
      <c r="T626">
        <v>214.759698</v>
      </c>
      <c r="U626" s="2">
        <v>44494</v>
      </c>
      <c r="V626" t="s">
        <v>799</v>
      </c>
    </row>
    <row r="627" spans="1:22">
      <c r="A627" s="1" t="s">
        <v>647</v>
      </c>
      <c r="B627">
        <f>HYPERLINK("https://www.suredividend.com/sure-analysis-CQP/","Cheniere Energy Partners LP")</f>
        <v>0</v>
      </c>
      <c r="C627">
        <v>39.93</v>
      </c>
      <c r="D627">
        <v>45</v>
      </c>
      <c r="E627">
        <v>0.8873333333333333</v>
      </c>
      <c r="F627">
        <v>0.06661657901327324</v>
      </c>
      <c r="G627">
        <v>0.02419497497241618</v>
      </c>
      <c r="H627">
        <v>0.04</v>
      </c>
      <c r="I627">
        <v>0.1157751393511868</v>
      </c>
      <c r="J627" t="s">
        <v>782</v>
      </c>
      <c r="K627" t="s">
        <v>350</v>
      </c>
      <c r="L627">
        <v>2.9</v>
      </c>
      <c r="M627">
        <v>2.66</v>
      </c>
      <c r="N627">
        <v>0.9172413793103449</v>
      </c>
      <c r="O627">
        <v>5</v>
      </c>
      <c r="P627">
        <v>0.02434894295516754</v>
      </c>
      <c r="Q627">
        <v>0.173441192724194</v>
      </c>
      <c r="R627" t="s">
        <v>785</v>
      </c>
      <c r="S627" t="s">
        <v>797</v>
      </c>
      <c r="T627">
        <v>19322.30287</v>
      </c>
      <c r="U627" s="2">
        <v>44509</v>
      </c>
      <c r="V627" t="s">
        <v>807</v>
      </c>
    </row>
    <row r="628" spans="1:22">
      <c r="A628" s="1" t="s">
        <v>648</v>
      </c>
      <c r="B628">
        <f>HYPERLINK("https://www.suredividend.com/sure-analysis-CORR/","CorEnergy Infrastructure Trust Inc")</f>
        <v>0</v>
      </c>
      <c r="C628">
        <v>3.6</v>
      </c>
      <c r="D628">
        <v>4.69</v>
      </c>
      <c r="E628">
        <v>0.7675906183368869</v>
      </c>
      <c r="F628">
        <v>0.05555555555555556</v>
      </c>
      <c r="G628">
        <v>0.05432394110373795</v>
      </c>
      <c r="H628">
        <v>0.02</v>
      </c>
      <c r="I628">
        <v>0.1140662927941116</v>
      </c>
      <c r="J628" t="s">
        <v>782</v>
      </c>
      <c r="K628" t="s">
        <v>526</v>
      </c>
      <c r="L628">
        <v>-1.19</v>
      </c>
      <c r="M628">
        <v>0.2</v>
      </c>
      <c r="N628">
        <v>9.99</v>
      </c>
      <c r="O628">
        <v>0</v>
      </c>
      <c r="P628">
        <v>0</v>
      </c>
      <c r="Q628">
        <v>-0.549702100972091</v>
      </c>
      <c r="R628" t="s">
        <v>784</v>
      </c>
      <c r="S628" t="s">
        <v>798</v>
      </c>
      <c r="T628">
        <v>53.371808</v>
      </c>
      <c r="U628" s="2">
        <v>44514</v>
      </c>
      <c r="V628" t="s">
        <v>800</v>
      </c>
    </row>
    <row r="629" spans="1:22">
      <c r="A629" s="1" t="s">
        <v>649</v>
      </c>
      <c r="B629">
        <f>HYPERLINK("https://www.suredividend.com/sure-analysis-TWO/","Two Harbors Investment Corp")</f>
        <v>0</v>
      </c>
      <c r="C629">
        <v>6.04</v>
      </c>
      <c r="D629">
        <v>6.3</v>
      </c>
      <c r="E629">
        <v>0.9587301587301588</v>
      </c>
      <c r="F629">
        <v>0.1125827814569536</v>
      </c>
      <c r="G629">
        <v>0.008464749384067272</v>
      </c>
      <c r="H629">
        <v>0.018</v>
      </c>
      <c r="I629">
        <v>0.1136792449777502</v>
      </c>
      <c r="J629" t="s">
        <v>782</v>
      </c>
      <c r="K629" t="s">
        <v>350</v>
      </c>
      <c r="L629">
        <v>0.75</v>
      </c>
      <c r="M629">
        <v>0.68</v>
      </c>
      <c r="N629">
        <v>0.9066666666666667</v>
      </c>
      <c r="O629">
        <v>0</v>
      </c>
      <c r="P629">
        <v>0.005814345444414393</v>
      </c>
      <c r="Q629">
        <v>0.007237434546242</v>
      </c>
      <c r="R629" t="s">
        <v>786</v>
      </c>
      <c r="S629" t="s">
        <v>798</v>
      </c>
      <c r="T629">
        <v>2077.186967</v>
      </c>
      <c r="U629" s="2">
        <v>44511</v>
      </c>
      <c r="V629" t="s">
        <v>808</v>
      </c>
    </row>
    <row r="630" spans="1:22">
      <c r="A630" s="1" t="s">
        <v>650</v>
      </c>
      <c r="B630">
        <f>HYPERLINK("https://www.suredividend.com/sure-analysis-MGP/","MGM Growth Properties LLC")</f>
        <v>0</v>
      </c>
      <c r="C630">
        <v>38.24</v>
      </c>
      <c r="D630">
        <v>38</v>
      </c>
      <c r="E630">
        <v>1.006315789473684</v>
      </c>
      <c r="F630">
        <v>0.05334728033472803</v>
      </c>
      <c r="G630">
        <v>-0.001258393249705558</v>
      </c>
      <c r="H630">
        <v>0.07000000000000001</v>
      </c>
      <c r="I630">
        <v>0.1111894695356541</v>
      </c>
      <c r="J630" t="s">
        <v>782</v>
      </c>
      <c r="K630" t="s">
        <v>350</v>
      </c>
      <c r="L630">
        <v>2.54</v>
      </c>
      <c r="M630">
        <v>2.04</v>
      </c>
      <c r="N630">
        <v>0.8031496062992126</v>
      </c>
      <c r="O630">
        <v>5</v>
      </c>
      <c r="P630">
        <v>0.0398346919425614</v>
      </c>
      <c r="Q630">
        <v>0.227998625566391</v>
      </c>
      <c r="R630" t="s">
        <v>786</v>
      </c>
      <c r="S630" t="s">
        <v>798</v>
      </c>
      <c r="T630">
        <v>5990.710292</v>
      </c>
      <c r="U630" s="2">
        <v>44507</v>
      </c>
      <c r="V630" t="s">
        <v>802</v>
      </c>
    </row>
    <row r="631" spans="1:22">
      <c r="A631" s="1" t="s">
        <v>651</v>
      </c>
      <c r="B631">
        <f>HYPERLINK("https://www.suredividend.com/sure-analysis-USAC/","USA Compression Partners LP")</f>
        <v>0</v>
      </c>
      <c r="C631">
        <v>15.38</v>
      </c>
      <c r="D631">
        <v>14.8</v>
      </c>
      <c r="E631">
        <v>1.039189189189189</v>
      </c>
      <c r="F631">
        <v>0.1365409622886866</v>
      </c>
      <c r="G631">
        <v>-0.007658678377988837</v>
      </c>
      <c r="H631">
        <v>0.01</v>
      </c>
      <c r="I631">
        <v>0.1111860422315365</v>
      </c>
      <c r="J631" t="s">
        <v>782</v>
      </c>
      <c r="K631" t="s">
        <v>350</v>
      </c>
      <c r="L631">
        <v>2.11</v>
      </c>
      <c r="M631">
        <v>2.1</v>
      </c>
      <c r="N631">
        <v>0.9952606635071091</v>
      </c>
      <c r="O631">
        <v>0</v>
      </c>
      <c r="P631">
        <v>0</v>
      </c>
      <c r="Q631">
        <v>0.335997220291869</v>
      </c>
      <c r="R631" t="s">
        <v>785</v>
      </c>
      <c r="S631" t="s">
        <v>797</v>
      </c>
      <c r="T631">
        <v>1492.893844</v>
      </c>
      <c r="U631" s="2">
        <v>44502</v>
      </c>
      <c r="V631" t="s">
        <v>805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30.88</v>
      </c>
      <c r="D632">
        <v>30</v>
      </c>
      <c r="E632">
        <v>1.029333333333333</v>
      </c>
      <c r="F632">
        <v>0.1020077720207254</v>
      </c>
      <c r="G632">
        <v>-0.005765583558043685</v>
      </c>
      <c r="H632">
        <v>0.03</v>
      </c>
      <c r="I632">
        <v>0.1096003972324353</v>
      </c>
      <c r="J632" t="s">
        <v>782</v>
      </c>
      <c r="K632" t="s">
        <v>350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0.855824994741428</v>
      </c>
      <c r="R632" t="s">
        <v>787</v>
      </c>
      <c r="S632" t="s">
        <v>793</v>
      </c>
      <c r="T632">
        <v>696.262106</v>
      </c>
      <c r="U632" s="2">
        <v>44516</v>
      </c>
      <c r="V632" t="s">
        <v>799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4.57</v>
      </c>
      <c r="D633">
        <v>3.6</v>
      </c>
      <c r="E633">
        <v>1.269444444444445</v>
      </c>
      <c r="F633">
        <v>0.1706783369803063</v>
      </c>
      <c r="G633">
        <v>-0.04659536234355177</v>
      </c>
      <c r="H633">
        <v>0.003</v>
      </c>
      <c r="I633">
        <v>0.1074923401701047</v>
      </c>
      <c r="J633" t="s">
        <v>782</v>
      </c>
      <c r="K633" t="s">
        <v>781</v>
      </c>
      <c r="L633">
        <v>0.96</v>
      </c>
      <c r="M633">
        <v>0.78</v>
      </c>
      <c r="N633">
        <v>0.8125000000000001</v>
      </c>
      <c r="O633">
        <v>0</v>
      </c>
      <c r="P633">
        <v>0.005076403090295889</v>
      </c>
      <c r="Q633">
        <v>-0.006132834587447</v>
      </c>
      <c r="R633" t="s">
        <v>786</v>
      </c>
      <c r="S633" t="s">
        <v>798</v>
      </c>
      <c r="T633">
        <v>808.858234</v>
      </c>
      <c r="U633" s="2">
        <v>44506</v>
      </c>
      <c r="V633" t="s">
        <v>808</v>
      </c>
    </row>
    <row r="634" spans="1:22">
      <c r="A634" s="1" t="s">
        <v>654</v>
      </c>
      <c r="B634">
        <f>HYPERLINK("https://www.suredividend.com/sure-analysis-EFC/","Ellington Financial Inc")</f>
        <v>0</v>
      </c>
      <c r="C634">
        <v>17.43</v>
      </c>
      <c r="D634">
        <v>18.8</v>
      </c>
      <c r="E634">
        <v>0.9271276595744681</v>
      </c>
      <c r="F634">
        <v>0.1032702237521515</v>
      </c>
      <c r="G634">
        <v>0.0152478826744995</v>
      </c>
      <c r="H634">
        <v>0.01</v>
      </c>
      <c r="I634">
        <v>0.1073926816316539</v>
      </c>
      <c r="J634" t="s">
        <v>782</v>
      </c>
      <c r="K634" t="s">
        <v>350</v>
      </c>
      <c r="L634">
        <v>1.88</v>
      </c>
      <c r="M634">
        <v>1.8</v>
      </c>
      <c r="N634">
        <v>0.9574468085106383</v>
      </c>
      <c r="O634">
        <v>1</v>
      </c>
      <c r="P634">
        <v>0.009805797673485328</v>
      </c>
      <c r="Q634">
        <v>0.26796034530447</v>
      </c>
      <c r="R634" t="s">
        <v>786</v>
      </c>
      <c r="S634" t="s">
        <v>793</v>
      </c>
      <c r="T634">
        <v>1000.389959</v>
      </c>
      <c r="U634" s="2">
        <v>44509</v>
      </c>
      <c r="V634" t="s">
        <v>799</v>
      </c>
    </row>
    <row r="635" spans="1:22">
      <c r="A635" s="1" t="s">
        <v>655</v>
      </c>
      <c r="B635">
        <f>HYPERLINK("https://www.suredividend.com/sure-analysis-CTO/","CTO Realty Growth Inc")</f>
        <v>0</v>
      </c>
      <c r="C635">
        <v>54.82</v>
      </c>
      <c r="D635">
        <v>56</v>
      </c>
      <c r="E635">
        <v>0.9789285714285715</v>
      </c>
      <c r="F635">
        <v>0.07296607077708865</v>
      </c>
      <c r="G635">
        <v>0.004268403767766049</v>
      </c>
      <c r="H635">
        <v>0.045</v>
      </c>
      <c r="I635">
        <v>0.1067474917255349</v>
      </c>
      <c r="J635" t="s">
        <v>782</v>
      </c>
      <c r="K635" t="s">
        <v>350</v>
      </c>
      <c r="L635">
        <v>4.15</v>
      </c>
      <c r="M635">
        <v>4</v>
      </c>
      <c r="N635">
        <v>0.9638554216867469</v>
      </c>
      <c r="O635">
        <v>8</v>
      </c>
      <c r="P635">
        <v>0.02016978262061087</v>
      </c>
      <c r="Q635">
        <v>0.259687250062053</v>
      </c>
      <c r="R635" t="s">
        <v>786</v>
      </c>
      <c r="S635" t="s">
        <v>798</v>
      </c>
      <c r="T635">
        <v>326.785442</v>
      </c>
      <c r="U635" s="2">
        <v>44502</v>
      </c>
      <c r="V635" t="s">
        <v>805</v>
      </c>
    </row>
    <row r="636" spans="1:22">
      <c r="A636" s="1" t="s">
        <v>656</v>
      </c>
      <c r="B636">
        <f>HYPERLINK("https://www.suredividend.com/sure-analysis-EPR/","EPR Properties")</f>
        <v>0</v>
      </c>
      <c r="C636">
        <v>47.23</v>
      </c>
      <c r="D636">
        <v>42</v>
      </c>
      <c r="E636">
        <v>1.124523809523809</v>
      </c>
      <c r="F636">
        <v>0.06351894982002965</v>
      </c>
      <c r="G636">
        <v>-0.0231986099533088</v>
      </c>
      <c r="H636">
        <v>0.08</v>
      </c>
      <c r="I636">
        <v>0.1058914989126309</v>
      </c>
      <c r="J636" t="s">
        <v>782</v>
      </c>
      <c r="K636" t="s">
        <v>350</v>
      </c>
      <c r="L636">
        <v>3</v>
      </c>
      <c r="M636">
        <v>3</v>
      </c>
      <c r="N636">
        <v>1</v>
      </c>
      <c r="O636">
        <v>0</v>
      </c>
      <c r="P636">
        <v>0.03012896281839894</v>
      </c>
      <c r="Q636">
        <v>0.475975544191745</v>
      </c>
      <c r="R636" t="s">
        <v>786</v>
      </c>
      <c r="S636" t="s">
        <v>798</v>
      </c>
      <c r="T636">
        <v>3532.312546</v>
      </c>
      <c r="U636" s="2">
        <v>44522</v>
      </c>
      <c r="V636" t="s">
        <v>804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3.85</v>
      </c>
      <c r="D637">
        <v>3.9</v>
      </c>
      <c r="E637">
        <v>0.9871794871794872</v>
      </c>
      <c r="F637">
        <v>0.1038961038961039</v>
      </c>
      <c r="G637">
        <v>0.002584013790676742</v>
      </c>
      <c r="H637">
        <v>0.02</v>
      </c>
      <c r="I637">
        <v>0.1037163559688214</v>
      </c>
      <c r="J637" t="s">
        <v>782</v>
      </c>
      <c r="K637" t="s">
        <v>350</v>
      </c>
      <c r="L637">
        <v>0.43</v>
      </c>
      <c r="M637">
        <v>0.4</v>
      </c>
      <c r="N637">
        <v>0.930232558139535</v>
      </c>
      <c r="O637">
        <v>0</v>
      </c>
      <c r="P637">
        <v>0</v>
      </c>
      <c r="Q637">
        <v>0.127643371800128</v>
      </c>
      <c r="R637" t="s">
        <v>784</v>
      </c>
      <c r="S637" t="s">
        <v>798</v>
      </c>
      <c r="T637">
        <v>1460.252929</v>
      </c>
      <c r="U637" s="2">
        <v>44526</v>
      </c>
      <c r="V637" t="s">
        <v>804</v>
      </c>
    </row>
    <row r="638" spans="1:22">
      <c r="A638" s="1" t="s">
        <v>658</v>
      </c>
      <c r="B638">
        <f>HYPERLINK("https://www.suredividend.com/sure-analysis-QSR/","Restaurant Brands International Inc")</f>
        <v>0</v>
      </c>
      <c r="C638">
        <v>59.52</v>
      </c>
      <c r="D638">
        <v>53</v>
      </c>
      <c r="E638">
        <v>1.123018867924528</v>
      </c>
      <c r="F638">
        <v>0.03561827956989248</v>
      </c>
      <c r="G638">
        <v>-0.02293695064640511</v>
      </c>
      <c r="H638">
        <v>0.1</v>
      </c>
      <c r="I638">
        <v>0.1029035820968951</v>
      </c>
      <c r="J638" t="s">
        <v>782</v>
      </c>
      <c r="K638" t="s">
        <v>526</v>
      </c>
      <c r="L638">
        <v>2.8</v>
      </c>
      <c r="M638">
        <v>2.12</v>
      </c>
      <c r="N638">
        <v>0.7571428571428572</v>
      </c>
      <c r="O638">
        <v>9</v>
      </c>
      <c r="P638">
        <v>0.03517300006217261</v>
      </c>
      <c r="Q638">
        <v>0.015874749743556</v>
      </c>
      <c r="R638" t="s">
        <v>784</v>
      </c>
      <c r="S638" t="s">
        <v>790</v>
      </c>
      <c r="T638">
        <v>18774.549007</v>
      </c>
      <c r="U638" s="2">
        <v>44495</v>
      </c>
      <c r="V638" t="s">
        <v>807</v>
      </c>
    </row>
    <row r="639" spans="1:22">
      <c r="A639" s="1" t="s">
        <v>659</v>
      </c>
      <c r="B639">
        <f>HYPERLINK("https://www.suredividend.com/sure-analysis-CTRE/","CareTrust REIT Inc")</f>
        <v>0</v>
      </c>
      <c r="C639">
        <v>21.08</v>
      </c>
      <c r="D639">
        <v>22</v>
      </c>
      <c r="E639">
        <v>0.9581818181818181</v>
      </c>
      <c r="F639">
        <v>0.05028462998102468</v>
      </c>
      <c r="G639">
        <v>0.008580146183330362</v>
      </c>
      <c r="H639">
        <v>0.05</v>
      </c>
      <c r="I639">
        <v>0.1017481014853132</v>
      </c>
      <c r="J639" t="s">
        <v>782</v>
      </c>
      <c r="K639" t="s">
        <v>350</v>
      </c>
      <c r="L639">
        <v>1.5</v>
      </c>
      <c r="M639">
        <v>1.06</v>
      </c>
      <c r="N639">
        <v>0.7066666666666667</v>
      </c>
      <c r="O639">
        <v>5</v>
      </c>
      <c r="P639">
        <v>0.04955591526723868</v>
      </c>
      <c r="Q639">
        <v>-0.000422022959945</v>
      </c>
      <c r="R639" t="s">
        <v>786</v>
      </c>
      <c r="S639" t="s">
        <v>798</v>
      </c>
      <c r="T639">
        <v>2045.452394</v>
      </c>
      <c r="U639" s="2">
        <v>44508</v>
      </c>
      <c r="V639" t="s">
        <v>805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35.77</v>
      </c>
      <c r="D640">
        <v>38</v>
      </c>
      <c r="E640">
        <v>0.9413157894736843</v>
      </c>
      <c r="F640">
        <v>0.0335476656415991</v>
      </c>
      <c r="G640">
        <v>0.01216876550139645</v>
      </c>
      <c r="H640">
        <v>0.06</v>
      </c>
      <c r="I640">
        <v>0.1007726004071072</v>
      </c>
      <c r="J640" t="s">
        <v>782</v>
      </c>
      <c r="K640" t="s">
        <v>526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0.273590449496226</v>
      </c>
      <c r="R640" t="s">
        <v>786</v>
      </c>
      <c r="S640" t="s">
        <v>798</v>
      </c>
      <c r="T640">
        <v>2162.481044</v>
      </c>
      <c r="U640" s="2">
        <v>44502</v>
      </c>
      <c r="V640" t="s">
        <v>807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27.34</v>
      </c>
      <c r="D641">
        <v>27.05</v>
      </c>
      <c r="E641">
        <v>1.010720887245841</v>
      </c>
      <c r="F641">
        <v>0.03803950256035114</v>
      </c>
      <c r="G641">
        <v>-0.002130492472980694</v>
      </c>
      <c r="H641">
        <v>0.07000000000000001</v>
      </c>
      <c r="I641">
        <v>0.09903781449989069</v>
      </c>
      <c r="J641" t="s">
        <v>782</v>
      </c>
      <c r="K641" t="s">
        <v>526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0.401351614656507</v>
      </c>
      <c r="R641" t="s">
        <v>786</v>
      </c>
      <c r="S641" t="s">
        <v>798</v>
      </c>
      <c r="T641">
        <v>3322.613648</v>
      </c>
      <c r="U641" s="2">
        <v>44508</v>
      </c>
      <c r="V641" t="s">
        <v>805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10.84</v>
      </c>
      <c r="D642">
        <v>12.4</v>
      </c>
      <c r="E642">
        <v>0.8741935483870967</v>
      </c>
      <c r="F642">
        <v>0.03136531365313654</v>
      </c>
      <c r="G642">
        <v>0.02725551279148308</v>
      </c>
      <c r="H642">
        <v>0.042</v>
      </c>
      <c r="I642">
        <v>0.097364637787825</v>
      </c>
      <c r="J642" t="s">
        <v>782</v>
      </c>
      <c r="K642" t="s">
        <v>782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-0.064896526142353</v>
      </c>
      <c r="R642" t="s">
        <v>784</v>
      </c>
      <c r="S642" t="s">
        <v>796</v>
      </c>
      <c r="T642">
        <v>164.883977</v>
      </c>
      <c r="U642" s="2">
        <v>44517</v>
      </c>
      <c r="V642" t="s">
        <v>808</v>
      </c>
    </row>
    <row r="643" spans="1:22">
      <c r="A643" s="1" t="s">
        <v>663</v>
      </c>
      <c r="B643">
        <f>HYPERLINK("https://www.suredividend.com/sure-analysis-SRC/","Spirit Realty Capital Inc")</f>
        <v>0</v>
      </c>
      <c r="C643">
        <v>47.05</v>
      </c>
      <c r="D643">
        <v>50</v>
      </c>
      <c r="E643">
        <v>0.9409999999999999</v>
      </c>
      <c r="F643">
        <v>0.05419766206163656</v>
      </c>
      <c r="G643">
        <v>0.01223669097308999</v>
      </c>
      <c r="H643">
        <v>0.04</v>
      </c>
      <c r="I643">
        <v>0.09592639017315041</v>
      </c>
      <c r="J643" t="s">
        <v>782</v>
      </c>
      <c r="K643" t="s">
        <v>350</v>
      </c>
      <c r="L643">
        <v>3.3</v>
      </c>
      <c r="M643">
        <v>2.55</v>
      </c>
      <c r="N643">
        <v>0.7727272727272727</v>
      </c>
      <c r="O643">
        <v>1</v>
      </c>
      <c r="P643">
        <v>0.02033265364950054</v>
      </c>
      <c r="Q643">
        <v>0.240076750339999</v>
      </c>
      <c r="R643" t="s">
        <v>786</v>
      </c>
      <c r="S643" t="s">
        <v>798</v>
      </c>
      <c r="T643">
        <v>5801.995969</v>
      </c>
      <c r="U643" s="2">
        <v>44509</v>
      </c>
      <c r="V643" t="s">
        <v>799</v>
      </c>
    </row>
    <row r="644" spans="1:22">
      <c r="A644" s="1" t="s">
        <v>664</v>
      </c>
      <c r="B644">
        <f>HYPERLINK("https://www.suredividend.com/sure-analysis-NTST/","Netstreit Corp")</f>
        <v>0</v>
      </c>
      <c r="C644">
        <v>21.62</v>
      </c>
      <c r="D644">
        <v>21</v>
      </c>
      <c r="E644">
        <v>1.02952380952381</v>
      </c>
      <c r="F644">
        <v>0.03700277520814061</v>
      </c>
      <c r="G644">
        <v>-0.005802375713583996</v>
      </c>
      <c r="H644">
        <v>0.07000000000000001</v>
      </c>
      <c r="I644">
        <v>0.09536772745801403</v>
      </c>
      <c r="J644" t="s">
        <v>782</v>
      </c>
      <c r="K644" t="s">
        <v>526</v>
      </c>
      <c r="L644">
        <v>0.9399999999999999</v>
      </c>
      <c r="M644">
        <v>0.8</v>
      </c>
      <c r="N644">
        <v>0.8510638297872342</v>
      </c>
      <c r="O644">
        <v>1</v>
      </c>
      <c r="P644">
        <v>0.04978904632428516</v>
      </c>
      <c r="Q644">
        <v>0.241536933139618</v>
      </c>
      <c r="R644" t="s">
        <v>786</v>
      </c>
      <c r="S644" t="s">
        <v>798</v>
      </c>
      <c r="T644">
        <v>856.6908570000001</v>
      </c>
      <c r="U644" s="2">
        <v>44502</v>
      </c>
      <c r="V644" t="s">
        <v>805</v>
      </c>
    </row>
    <row r="645" spans="1:22">
      <c r="A645" s="1" t="s">
        <v>665</v>
      </c>
      <c r="B645">
        <f>HYPERLINK("https://www.suredividend.com/sure-analysis-AFIN/","American Fin Tr Inc")</f>
        <v>0</v>
      </c>
      <c r="C645">
        <v>8.43</v>
      </c>
      <c r="D645">
        <v>9</v>
      </c>
      <c r="E645">
        <v>0.9366666666666666</v>
      </c>
      <c r="F645">
        <v>0.1008303677342823</v>
      </c>
      <c r="G645">
        <v>0.01317155168782902</v>
      </c>
      <c r="H645">
        <v>0</v>
      </c>
      <c r="I645">
        <v>0.09465599717958506</v>
      </c>
      <c r="J645" t="s">
        <v>782</v>
      </c>
      <c r="K645" t="s">
        <v>350</v>
      </c>
      <c r="L645">
        <v>1</v>
      </c>
      <c r="M645">
        <v>0.85</v>
      </c>
      <c r="N645">
        <v>0.85</v>
      </c>
      <c r="O645">
        <v>0</v>
      </c>
      <c r="P645">
        <v>0</v>
      </c>
      <c r="Q645">
        <v>0.237958176691729</v>
      </c>
      <c r="R645" t="s">
        <v>786</v>
      </c>
      <c r="S645" t="s">
        <v>798</v>
      </c>
      <c r="T645">
        <v>1041.159576</v>
      </c>
      <c r="U645" s="2">
        <v>44509</v>
      </c>
      <c r="V645" t="s">
        <v>799</v>
      </c>
    </row>
    <row r="646" spans="1:22">
      <c r="A646" s="1" t="s">
        <v>666</v>
      </c>
      <c r="B646">
        <f>HYPERLINK("https://www.suredividend.com/sure-analysis-AQN/","Algonquin Power &amp; Utilities Corp")</f>
        <v>0</v>
      </c>
      <c r="C646">
        <v>13.89</v>
      </c>
      <c r="D646">
        <v>13</v>
      </c>
      <c r="E646">
        <v>1.068461538461539</v>
      </c>
      <c r="F646">
        <v>0.04895608351331893</v>
      </c>
      <c r="G646">
        <v>-0.01315664451656584</v>
      </c>
      <c r="H646">
        <v>0.065</v>
      </c>
      <c r="I646">
        <v>0.09452256749163057</v>
      </c>
      <c r="J646" t="s">
        <v>782</v>
      </c>
      <c r="K646" t="s">
        <v>526</v>
      </c>
      <c r="L646">
        <v>0.73</v>
      </c>
      <c r="M646">
        <v>0.68</v>
      </c>
      <c r="N646">
        <v>0.9315068493150686</v>
      </c>
      <c r="O646">
        <v>9</v>
      </c>
      <c r="P646">
        <v>0.05530068195228077</v>
      </c>
      <c r="Q646">
        <v>-0.09203304790376</v>
      </c>
      <c r="R646" t="s">
        <v>784</v>
      </c>
      <c r="S646" t="s">
        <v>796</v>
      </c>
      <c r="T646">
        <v>9325.629816000001</v>
      </c>
      <c r="U646" s="2">
        <v>44513</v>
      </c>
      <c r="V646" t="s">
        <v>809</v>
      </c>
    </row>
    <row r="647" spans="1:22">
      <c r="A647" s="1" t="s">
        <v>667</v>
      </c>
      <c r="B647">
        <f>HYPERLINK("https://www.suredividend.com/sure-analysis-FCPT/","Four Corners Property Trust Inc")</f>
        <v>0</v>
      </c>
      <c r="C647">
        <v>28.14</v>
      </c>
      <c r="D647">
        <v>29</v>
      </c>
      <c r="E647">
        <v>0.9703448275862069</v>
      </c>
      <c r="F647">
        <v>0.0472636815920398</v>
      </c>
      <c r="G647">
        <v>0.006038916839117947</v>
      </c>
      <c r="H647">
        <v>0.05</v>
      </c>
      <c r="I647">
        <v>0.09418713522154976</v>
      </c>
      <c r="J647" t="s">
        <v>782</v>
      </c>
      <c r="K647" t="s">
        <v>526</v>
      </c>
      <c r="L647">
        <v>1.53</v>
      </c>
      <c r="M647">
        <v>1.33</v>
      </c>
      <c r="N647">
        <v>0.869281045751634</v>
      </c>
      <c r="O647">
        <v>4</v>
      </c>
      <c r="P647">
        <v>0.02297948759813462</v>
      </c>
      <c r="Q647">
        <v>0.014497980380842</v>
      </c>
      <c r="R647" t="s">
        <v>786</v>
      </c>
      <c r="S647" t="s">
        <v>798</v>
      </c>
      <c r="T647">
        <v>2175.929566</v>
      </c>
      <c r="U647" s="2">
        <v>44499</v>
      </c>
      <c r="V647" t="s">
        <v>802</v>
      </c>
    </row>
    <row r="648" spans="1:22">
      <c r="A648" s="1" t="s">
        <v>668</v>
      </c>
      <c r="B648">
        <f>HYPERLINK("https://www.suredividend.com/sure-analysis-VOD/","Vodafone Group plc")</f>
        <v>0</v>
      </c>
      <c r="C648">
        <v>15.1</v>
      </c>
      <c r="D648">
        <v>16</v>
      </c>
      <c r="E648">
        <v>0.94375</v>
      </c>
      <c r="F648">
        <v>0.06754966887417219</v>
      </c>
      <c r="G648">
        <v>0.01164608941450673</v>
      </c>
      <c r="H648">
        <v>0.03</v>
      </c>
      <c r="I648">
        <v>0.09386797731731944</v>
      </c>
      <c r="J648" t="s">
        <v>782</v>
      </c>
      <c r="K648" t="s">
        <v>350</v>
      </c>
      <c r="L648">
        <v>1.15</v>
      </c>
      <c r="M648">
        <v>1.02</v>
      </c>
      <c r="N648">
        <v>0.8869565217391305</v>
      </c>
      <c r="O648">
        <v>0</v>
      </c>
      <c r="P648">
        <v>0</v>
      </c>
      <c r="Q648">
        <v>-0.03626453581138801</v>
      </c>
      <c r="R648" t="s">
        <v>784</v>
      </c>
      <c r="S648" t="s">
        <v>788</v>
      </c>
      <c r="T648">
        <v>41211.533211</v>
      </c>
      <c r="U648" s="2">
        <v>44528</v>
      </c>
      <c r="V648" t="s">
        <v>804</v>
      </c>
    </row>
    <row r="649" spans="1:22">
      <c r="A649" s="1" t="s">
        <v>669</v>
      </c>
      <c r="B649">
        <f>HYPERLINK("https://www.suredividend.com/sure-analysis-ORCC/","Owl Rock Capital Corp")</f>
        <v>0</v>
      </c>
      <c r="C649">
        <v>14.29</v>
      </c>
      <c r="D649">
        <v>14.64</v>
      </c>
      <c r="E649">
        <v>0.9760928961748633</v>
      </c>
      <c r="F649">
        <v>0.08677396780965711</v>
      </c>
      <c r="G649">
        <v>0.004851232628173108</v>
      </c>
      <c r="H649">
        <v>0.02</v>
      </c>
      <c r="I649">
        <v>0.09371067912228304</v>
      </c>
      <c r="J649" t="s">
        <v>782</v>
      </c>
      <c r="K649" t="s">
        <v>350</v>
      </c>
      <c r="L649">
        <v>1.22</v>
      </c>
      <c r="M649">
        <v>1.24</v>
      </c>
      <c r="N649">
        <v>1.016393442622951</v>
      </c>
      <c r="O649">
        <v>0</v>
      </c>
      <c r="P649">
        <v>0</v>
      </c>
      <c r="Q649">
        <v>0.221607666464347</v>
      </c>
      <c r="R649" t="s">
        <v>787</v>
      </c>
      <c r="S649" t="s">
        <v>793</v>
      </c>
      <c r="T649">
        <v>5618.149997</v>
      </c>
      <c r="U649" s="2">
        <v>44509</v>
      </c>
      <c r="V649" t="s">
        <v>799</v>
      </c>
    </row>
    <row r="650" spans="1:22">
      <c r="A650" s="1" t="s">
        <v>670</v>
      </c>
      <c r="B650">
        <f>HYPERLINK("https://www.suredividend.com/sure-analysis-SFL/","SFL Corporation Ltd")</f>
        <v>0</v>
      </c>
      <c r="C650">
        <v>8.92</v>
      </c>
      <c r="D650">
        <v>8.640000000000001</v>
      </c>
      <c r="E650">
        <v>1.032407407407407</v>
      </c>
      <c r="F650">
        <v>0.08071748878923767</v>
      </c>
      <c r="G650">
        <v>-0.006358372208580487</v>
      </c>
      <c r="H650">
        <v>0.03</v>
      </c>
      <c r="I650">
        <v>0.09339932636213866</v>
      </c>
      <c r="J650" t="s">
        <v>782</v>
      </c>
      <c r="K650" t="s">
        <v>350</v>
      </c>
      <c r="L650">
        <v>0.96</v>
      </c>
      <c r="M650">
        <v>0.72</v>
      </c>
      <c r="N650">
        <v>0.75</v>
      </c>
      <c r="O650">
        <v>1</v>
      </c>
      <c r="P650">
        <v>0.02884302866442456</v>
      </c>
      <c r="Q650">
        <v>0.40907367622899</v>
      </c>
      <c r="R650" t="s">
        <v>784</v>
      </c>
      <c r="S650" t="s">
        <v>792</v>
      </c>
      <c r="T650">
        <v>1142.875669</v>
      </c>
      <c r="U650" s="2">
        <v>44517</v>
      </c>
      <c r="V650" t="s">
        <v>799</v>
      </c>
    </row>
    <row r="651" spans="1:22">
      <c r="A651" s="1" t="s">
        <v>671</v>
      </c>
      <c r="B651">
        <f>HYPERLINK("https://www.suredividend.com/sure-analysis-GNL/","Global Net Lease Inc")</f>
        <v>0</v>
      </c>
      <c r="C651">
        <v>15.2</v>
      </c>
      <c r="D651">
        <v>12.4</v>
      </c>
      <c r="E651">
        <v>1.225806451612903</v>
      </c>
      <c r="F651">
        <v>0.1052631578947369</v>
      </c>
      <c r="G651">
        <v>-0.03990187965283842</v>
      </c>
      <c r="H651">
        <v>0.04</v>
      </c>
      <c r="I651">
        <v>0.09133931855376609</v>
      </c>
      <c r="J651" t="s">
        <v>782</v>
      </c>
      <c r="K651" t="s">
        <v>350</v>
      </c>
      <c r="L651">
        <v>1.77</v>
      </c>
      <c r="M651">
        <v>1.6</v>
      </c>
      <c r="N651">
        <v>0.903954802259887</v>
      </c>
      <c r="O651">
        <v>0</v>
      </c>
      <c r="P651">
        <v>0.01808400232019891</v>
      </c>
      <c r="Q651">
        <v>-0.01428923699887</v>
      </c>
      <c r="R651" t="s">
        <v>786</v>
      </c>
      <c r="S651" t="s">
        <v>798</v>
      </c>
      <c r="T651">
        <v>1573.748983</v>
      </c>
      <c r="U651" s="2">
        <v>44509</v>
      </c>
      <c r="V651" t="s">
        <v>808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31.75</v>
      </c>
      <c r="D652">
        <v>32</v>
      </c>
      <c r="E652">
        <v>0.9921875</v>
      </c>
      <c r="F652">
        <v>0.03811023622047244</v>
      </c>
      <c r="G652">
        <v>0.001569866444413259</v>
      </c>
      <c r="H652">
        <v>0.06</v>
      </c>
      <c r="I652">
        <v>0.09089436633581105</v>
      </c>
      <c r="J652" t="s">
        <v>782</v>
      </c>
      <c r="K652" t="s">
        <v>526</v>
      </c>
      <c r="L652">
        <v>1.72</v>
      </c>
      <c r="M652">
        <v>1.21</v>
      </c>
      <c r="N652">
        <v>0.7034883720930233</v>
      </c>
      <c r="O652">
        <v>1</v>
      </c>
      <c r="P652">
        <v>0.00972630418295628</v>
      </c>
      <c r="Q652">
        <v>0.116559841838278</v>
      </c>
      <c r="R652" t="s">
        <v>786</v>
      </c>
      <c r="S652" t="s">
        <v>798</v>
      </c>
      <c r="T652">
        <v>4682.977748</v>
      </c>
      <c r="U652" s="2">
        <v>44513</v>
      </c>
      <c r="V652" t="s">
        <v>805</v>
      </c>
    </row>
    <row r="653" spans="1:22">
      <c r="A653" s="1" t="s">
        <v>673</v>
      </c>
      <c r="B653">
        <f>HYPERLINK("https://www.suredividend.com/sure-analysis-GSBD/","Goldman Sachs BDC Inc")</f>
        <v>0</v>
      </c>
      <c r="C653">
        <v>19.23</v>
      </c>
      <c r="D653">
        <v>20.64</v>
      </c>
      <c r="E653">
        <v>0.9316860465116279</v>
      </c>
      <c r="F653">
        <v>0.09360374414976599</v>
      </c>
      <c r="G653">
        <v>0.01425248805781498</v>
      </c>
      <c r="H653">
        <v>0</v>
      </c>
      <c r="I653">
        <v>0.09038478549897877</v>
      </c>
      <c r="J653" t="s">
        <v>782</v>
      </c>
      <c r="K653" t="s">
        <v>350</v>
      </c>
      <c r="L653">
        <v>2.15</v>
      </c>
      <c r="M653">
        <v>1.8</v>
      </c>
      <c r="N653">
        <v>0.8372093023255814</v>
      </c>
      <c r="O653">
        <v>0</v>
      </c>
      <c r="P653">
        <v>0</v>
      </c>
      <c r="Q653">
        <v>0.106254571002424</v>
      </c>
      <c r="R653" t="s">
        <v>787</v>
      </c>
      <c r="S653" t="s">
        <v>793</v>
      </c>
      <c r="T653">
        <v>1955.939359</v>
      </c>
      <c r="U653" s="2">
        <v>44513</v>
      </c>
      <c r="V653" t="s">
        <v>799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14.7</v>
      </c>
      <c r="D654">
        <v>15.87</v>
      </c>
      <c r="E654">
        <v>0.9262759924385633</v>
      </c>
      <c r="F654">
        <v>0.08979591836734695</v>
      </c>
      <c r="G654">
        <v>0.01543450856908679</v>
      </c>
      <c r="H654">
        <v>0</v>
      </c>
      <c r="I654">
        <v>0.08857197050516641</v>
      </c>
      <c r="J654" t="s">
        <v>782</v>
      </c>
      <c r="K654" t="s">
        <v>350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0.335940341942524</v>
      </c>
      <c r="R654" t="s">
        <v>786</v>
      </c>
      <c r="S654" t="s">
        <v>798</v>
      </c>
      <c r="T654">
        <v>690.4567500000001</v>
      </c>
      <c r="U654" s="2">
        <v>44506</v>
      </c>
      <c r="V654" t="s">
        <v>799</v>
      </c>
    </row>
    <row r="655" spans="1:22">
      <c r="A655" s="1" t="s">
        <v>675</v>
      </c>
      <c r="B655">
        <f>HYPERLINK("https://www.suredividend.com/sure-analysis-KREF/","KKR Real Estate Finance Trust Inc")</f>
        <v>0</v>
      </c>
      <c r="C655">
        <v>21.06</v>
      </c>
      <c r="D655">
        <v>21.53</v>
      </c>
      <c r="E655">
        <v>0.978169995355318</v>
      </c>
      <c r="F655">
        <v>0.08167141500474834</v>
      </c>
      <c r="G655">
        <v>0.004424118577954106</v>
      </c>
      <c r="H655">
        <v>0.015</v>
      </c>
      <c r="I655">
        <v>0.08769388914287468</v>
      </c>
      <c r="J655" t="s">
        <v>782</v>
      </c>
      <c r="K655" t="s">
        <v>350</v>
      </c>
      <c r="L655">
        <v>2.05</v>
      </c>
      <c r="M655">
        <v>1.72</v>
      </c>
      <c r="N655">
        <v>0.8390243902439025</v>
      </c>
      <c r="O655">
        <v>0</v>
      </c>
      <c r="P655">
        <v>0.01025271344829148</v>
      </c>
      <c r="Q655">
        <v>0.252512757074377</v>
      </c>
      <c r="R655" t="s">
        <v>786</v>
      </c>
      <c r="S655" t="s">
        <v>798</v>
      </c>
      <c r="T655">
        <v>1175.640172</v>
      </c>
      <c r="U655" s="2">
        <v>44495</v>
      </c>
      <c r="V655" t="s">
        <v>799</v>
      </c>
    </row>
    <row r="656" spans="1:22">
      <c r="A656" s="1" t="s">
        <v>676</v>
      </c>
      <c r="B656">
        <f>HYPERLINK("https://www.suredividend.com/sure-analysis-ILPT/","Industrial Logistics Properties Trust")</f>
        <v>0</v>
      </c>
      <c r="C656">
        <v>22.99</v>
      </c>
      <c r="D656">
        <v>24</v>
      </c>
      <c r="E656">
        <v>0.9579166666666666</v>
      </c>
      <c r="F656">
        <v>0.05741626794258374</v>
      </c>
      <c r="G656">
        <v>0.00863597503747715</v>
      </c>
      <c r="H656">
        <v>0.03</v>
      </c>
      <c r="I656">
        <v>0.08667628703035279</v>
      </c>
      <c r="J656" t="s">
        <v>782</v>
      </c>
      <c r="K656" t="s">
        <v>350</v>
      </c>
      <c r="L656">
        <v>1.87</v>
      </c>
      <c r="M656">
        <v>1.32</v>
      </c>
      <c r="N656">
        <v>0.7058823529411765</v>
      </c>
      <c r="O656">
        <v>0</v>
      </c>
      <c r="P656">
        <v>0.02036554426441151</v>
      </c>
      <c r="Q656">
        <v>0.059930567401717</v>
      </c>
      <c r="R656" t="s">
        <v>786</v>
      </c>
      <c r="S656" t="s">
        <v>798</v>
      </c>
      <c r="T656">
        <v>1503.65157</v>
      </c>
      <c r="U656" s="2">
        <v>44498</v>
      </c>
      <c r="V656" t="s">
        <v>799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127.91</v>
      </c>
      <c r="D657">
        <v>127</v>
      </c>
      <c r="E657">
        <v>1.007165354330709</v>
      </c>
      <c r="F657">
        <v>0.04065358455163787</v>
      </c>
      <c r="G657">
        <v>-0.001426941979302598</v>
      </c>
      <c r="H657">
        <v>0.054</v>
      </c>
      <c r="I657">
        <v>0.0863732744415302</v>
      </c>
      <c r="J657" t="s">
        <v>782</v>
      </c>
      <c r="K657" t="s">
        <v>350</v>
      </c>
      <c r="L657">
        <v>8.460000000000001</v>
      </c>
      <c r="M657">
        <v>5.2</v>
      </c>
      <c r="N657">
        <v>0.6146572104018913</v>
      </c>
      <c r="O657">
        <v>1</v>
      </c>
      <c r="P657">
        <v>0.02903366107118788</v>
      </c>
      <c r="Q657">
        <v>-0.036981825300025</v>
      </c>
      <c r="R657" t="s">
        <v>784</v>
      </c>
      <c r="S657" t="s">
        <v>790</v>
      </c>
      <c r="T657">
        <v>3008.684566</v>
      </c>
      <c r="U657" s="2">
        <v>44524</v>
      </c>
      <c r="V657" t="s">
        <v>808</v>
      </c>
    </row>
    <row r="658" spans="1:22">
      <c r="A658" s="1" t="s">
        <v>678</v>
      </c>
      <c r="B658">
        <f>HYPERLINK("https://www.suredividend.com/sure-analysis-VST/","Vistra Corp")</f>
        <v>0</v>
      </c>
      <c r="C658">
        <v>21.02</v>
      </c>
      <c r="D658">
        <v>19</v>
      </c>
      <c r="E658">
        <v>1.106315789473684</v>
      </c>
      <c r="F658">
        <v>0.0285442435775452</v>
      </c>
      <c r="G658">
        <v>-0.02000428253081721</v>
      </c>
      <c r="H658">
        <v>0.08</v>
      </c>
      <c r="I658">
        <v>0.08573762057264611</v>
      </c>
      <c r="J658" t="s">
        <v>782</v>
      </c>
      <c r="K658" t="s">
        <v>782</v>
      </c>
      <c r="L658">
        <v>-0.55</v>
      </c>
      <c r="M658">
        <v>0.6</v>
      </c>
      <c r="N658">
        <v>9.99</v>
      </c>
      <c r="O658">
        <v>2</v>
      </c>
      <c r="P658">
        <v>0.0796084730466029</v>
      </c>
      <c r="Q658">
        <v>0.187436447858998</v>
      </c>
      <c r="R658" t="s">
        <v>784</v>
      </c>
      <c r="S658" t="s">
        <v>796</v>
      </c>
      <c r="T658">
        <v>10144.83047</v>
      </c>
      <c r="U658" s="2">
        <v>44515</v>
      </c>
      <c r="V658" t="s">
        <v>805</v>
      </c>
    </row>
    <row r="659" spans="1:22">
      <c r="A659" s="1" t="s">
        <v>679</v>
      </c>
      <c r="B659">
        <f>HYPERLINK("https://www.suredividend.com/sure-analysis-WSO/","Watsco Inc.")</f>
        <v>0</v>
      </c>
      <c r="C659">
        <v>309.16</v>
      </c>
      <c r="D659">
        <v>257</v>
      </c>
      <c r="E659">
        <v>1.20295719844358</v>
      </c>
      <c r="F659">
        <v>0.02522965454780696</v>
      </c>
      <c r="G659">
        <v>-0.03628201270295217</v>
      </c>
      <c r="H659">
        <v>0.1</v>
      </c>
      <c r="I659">
        <v>0.08565601880246887</v>
      </c>
      <c r="J659" t="s">
        <v>782</v>
      </c>
      <c r="K659" t="s">
        <v>782</v>
      </c>
      <c r="L659">
        <v>10.29</v>
      </c>
      <c r="M659">
        <v>7.8</v>
      </c>
      <c r="N659">
        <v>0.7580174927113703</v>
      </c>
      <c r="O659">
        <v>8</v>
      </c>
      <c r="P659">
        <v>0.0999653567765697</v>
      </c>
      <c r="Q659">
        <v>0.448033146076362</v>
      </c>
      <c r="R659" t="s">
        <v>786</v>
      </c>
      <c r="S659" t="s">
        <v>798</v>
      </c>
      <c r="T659">
        <v>11975.725526</v>
      </c>
      <c r="U659" s="2">
        <v>44490</v>
      </c>
      <c r="V659" t="s">
        <v>800</v>
      </c>
    </row>
    <row r="660" spans="1:22">
      <c r="A660" s="1" t="s">
        <v>680</v>
      </c>
      <c r="B660">
        <f>HYPERLINK("https://www.suredividend.com/sure-analysis-IDEXY/","Industria De Diseno Textil SA")</f>
        <v>0</v>
      </c>
      <c r="C660">
        <v>16.09</v>
      </c>
      <c r="D660">
        <v>13.5</v>
      </c>
      <c r="E660">
        <v>1.191851851851852</v>
      </c>
      <c r="F660">
        <v>0.02610316967060286</v>
      </c>
      <c r="G660">
        <v>-0.03449273748015413</v>
      </c>
      <c r="H660">
        <v>0.1</v>
      </c>
      <c r="I660">
        <v>0.08496411129036319</v>
      </c>
      <c r="J660" t="s">
        <v>782</v>
      </c>
      <c r="K660" t="s">
        <v>782</v>
      </c>
      <c r="L660">
        <v>0.54</v>
      </c>
      <c r="M660">
        <v>0.42</v>
      </c>
      <c r="N660">
        <v>0.7777777777777777</v>
      </c>
      <c r="O660">
        <v>0</v>
      </c>
      <c r="P660">
        <v>0.05154749679728043</v>
      </c>
      <c r="Q660">
        <v>-0.005562422744128001</v>
      </c>
      <c r="R660" t="s">
        <v>784</v>
      </c>
      <c r="S660" t="s">
        <v>790</v>
      </c>
      <c r="T660">
        <v>100293.86136</v>
      </c>
      <c r="U660" s="2">
        <v>44458</v>
      </c>
      <c r="V660" t="s">
        <v>799</v>
      </c>
    </row>
    <row r="661" spans="1:22">
      <c r="A661" s="1" t="s">
        <v>681</v>
      </c>
      <c r="B661">
        <f>HYPERLINK("https://www.suredividend.com/sure-analysis-PMT/","Pennymac Mortgage Investment Trust")</f>
        <v>0</v>
      </c>
      <c r="C661">
        <v>18.14</v>
      </c>
      <c r="D661">
        <v>17</v>
      </c>
      <c r="E661">
        <v>1.067058823529412</v>
      </c>
      <c r="F661">
        <v>0.103638368246968</v>
      </c>
      <c r="G661">
        <v>-0.01289732749011696</v>
      </c>
      <c r="H661">
        <v>0.01</v>
      </c>
      <c r="I661">
        <v>0.08492710477390197</v>
      </c>
      <c r="J661" t="s">
        <v>782</v>
      </c>
      <c r="K661" t="s">
        <v>350</v>
      </c>
      <c r="L661">
        <v>1.9</v>
      </c>
      <c r="M661">
        <v>1.88</v>
      </c>
      <c r="N661">
        <v>0.9894736842105263</v>
      </c>
      <c r="O661">
        <v>1</v>
      </c>
      <c r="P661">
        <v>0</v>
      </c>
      <c r="Q661">
        <v>0.157744249572387</v>
      </c>
      <c r="R661" t="s">
        <v>786</v>
      </c>
      <c r="S661" t="s">
        <v>793</v>
      </c>
      <c r="T661">
        <v>1759.701429</v>
      </c>
      <c r="U661" s="2">
        <v>44512</v>
      </c>
      <c r="V661" t="s">
        <v>805</v>
      </c>
    </row>
    <row r="662" spans="1:22">
      <c r="A662" s="1" t="s">
        <v>682</v>
      </c>
      <c r="B662">
        <f>HYPERLINK("https://www.suredividend.com/sure-analysis-CHCT/","Community Healthcare Trust Inc")</f>
        <v>0</v>
      </c>
      <c r="C662">
        <v>44.51</v>
      </c>
      <c r="D662">
        <v>43</v>
      </c>
      <c r="E662">
        <v>1.035116279069767</v>
      </c>
      <c r="F662">
        <v>0.0390923388002696</v>
      </c>
      <c r="G662">
        <v>-0.006878984186733827</v>
      </c>
      <c r="H662">
        <v>0.06</v>
      </c>
      <c r="I662">
        <v>0.0845094959491246</v>
      </c>
      <c r="J662" t="s">
        <v>782</v>
      </c>
      <c r="K662" t="s">
        <v>526</v>
      </c>
      <c r="L662">
        <v>2.21</v>
      </c>
      <c r="M662">
        <v>1.74</v>
      </c>
      <c r="N662">
        <v>0.7873303167420814</v>
      </c>
      <c r="O662">
        <v>6</v>
      </c>
      <c r="P662">
        <v>0.01988310171094443</v>
      </c>
      <c r="Q662">
        <v>-0.02228745188336</v>
      </c>
      <c r="R662" t="s">
        <v>786</v>
      </c>
      <c r="S662" t="s">
        <v>798</v>
      </c>
      <c r="T662">
        <v>1111.721517</v>
      </c>
      <c r="U662" s="2">
        <v>44508</v>
      </c>
      <c r="V662" t="s">
        <v>805</v>
      </c>
    </row>
    <row r="663" spans="1:22">
      <c r="A663" s="1" t="s">
        <v>683</v>
      </c>
      <c r="B663">
        <f>HYPERLINK("https://www.suredividend.com/sure-analysis-BEP/","Brookfield Renewable Partners LP")</f>
        <v>0</v>
      </c>
      <c r="C663">
        <v>33.28</v>
      </c>
      <c r="D663">
        <v>32</v>
      </c>
      <c r="E663">
        <v>1.04</v>
      </c>
      <c r="F663">
        <v>0.03665865384615384</v>
      </c>
      <c r="G663">
        <v>-0.007813457628780496</v>
      </c>
      <c r="H663">
        <v>0.06</v>
      </c>
      <c r="I663">
        <v>0.08442753669896752</v>
      </c>
      <c r="J663" t="s">
        <v>782</v>
      </c>
      <c r="K663" t="s">
        <v>526</v>
      </c>
      <c r="L663">
        <v>1.9</v>
      </c>
      <c r="M663">
        <v>1.22</v>
      </c>
      <c r="N663">
        <v>0.6421052631578947</v>
      </c>
      <c r="O663">
        <v>0</v>
      </c>
      <c r="P663">
        <v>0.05039574430966676</v>
      </c>
      <c r="Q663">
        <v>-0.113261104225802</v>
      </c>
      <c r="R663" t="s">
        <v>785</v>
      </c>
      <c r="S663" t="s">
        <v>796</v>
      </c>
      <c r="T663">
        <v>9149.596174</v>
      </c>
      <c r="U663" s="2">
        <v>44518</v>
      </c>
      <c r="V663" t="s">
        <v>807</v>
      </c>
    </row>
    <row r="664" spans="1:22">
      <c r="A664" s="1" t="s">
        <v>684</v>
      </c>
      <c r="B664">
        <f>HYPERLINK("https://www.suredividend.com/sure-analysis-NRZ/","New Residential Investment Corp")</f>
        <v>0</v>
      </c>
      <c r="C664">
        <v>11.12</v>
      </c>
      <c r="D664">
        <v>10</v>
      </c>
      <c r="E664">
        <v>1.112</v>
      </c>
      <c r="F664">
        <v>0.08992805755395684</v>
      </c>
      <c r="G664">
        <v>-0.02100822622249499</v>
      </c>
      <c r="H664">
        <v>0.02</v>
      </c>
      <c r="I664">
        <v>0.08226936017170061</v>
      </c>
      <c r="J664" t="s">
        <v>782</v>
      </c>
      <c r="K664" t="s">
        <v>350</v>
      </c>
      <c r="L664">
        <v>1.3</v>
      </c>
      <c r="M664">
        <v>1</v>
      </c>
      <c r="N664">
        <v>0.7692307692307692</v>
      </c>
      <c r="O664">
        <v>1</v>
      </c>
      <c r="P664">
        <v>0.03012896281839894</v>
      </c>
      <c r="Q664">
        <v>0.294287443549513</v>
      </c>
      <c r="R664" t="s">
        <v>786</v>
      </c>
      <c r="S664" t="s">
        <v>798</v>
      </c>
      <c r="T664">
        <v>5188.36871</v>
      </c>
      <c r="U664" s="2">
        <v>44503</v>
      </c>
      <c r="V664" t="s">
        <v>803</v>
      </c>
    </row>
    <row r="665" spans="1:22">
      <c r="A665" s="1" t="s">
        <v>685</v>
      </c>
      <c r="B665">
        <f>HYPERLINK("https://www.suredividend.com/sure-analysis-NLY/","Annaly Capital Management Inc")</f>
        <v>0</v>
      </c>
      <c r="C665">
        <v>8.380000000000001</v>
      </c>
      <c r="D665">
        <v>7.8</v>
      </c>
      <c r="E665">
        <v>1.074358974358975</v>
      </c>
      <c r="F665">
        <v>0.1050119331742243</v>
      </c>
      <c r="G665">
        <v>-0.01424243920471491</v>
      </c>
      <c r="H665">
        <v>-0.004</v>
      </c>
      <c r="I665">
        <v>0.08150688890885682</v>
      </c>
      <c r="J665" t="s">
        <v>782</v>
      </c>
      <c r="K665" t="s">
        <v>781</v>
      </c>
      <c r="L665">
        <v>1.12</v>
      </c>
      <c r="M665">
        <v>0.88</v>
      </c>
      <c r="N665">
        <v>0.7857142857142857</v>
      </c>
      <c r="O665">
        <v>0</v>
      </c>
      <c r="P665">
        <v>0.02589630491023409</v>
      </c>
      <c r="Q665">
        <v>0.125315571789225</v>
      </c>
      <c r="R665" t="s">
        <v>786</v>
      </c>
      <c r="S665" t="s">
        <v>798</v>
      </c>
      <c r="T665">
        <v>12152.011365</v>
      </c>
      <c r="U665" s="2">
        <v>44503</v>
      </c>
      <c r="V665" t="s">
        <v>808</v>
      </c>
    </row>
    <row r="666" spans="1:22">
      <c r="A666" s="1" t="s">
        <v>686</v>
      </c>
      <c r="B666">
        <f>HYPERLINK("https://www.suredividend.com/sure-analysis-SSREY/","Swiss Re Ltd")</f>
        <v>0</v>
      </c>
      <c r="C666">
        <v>23.99</v>
      </c>
      <c r="D666">
        <v>21</v>
      </c>
      <c r="E666">
        <v>1.142380952380952</v>
      </c>
      <c r="F666">
        <v>0.06711129637348896</v>
      </c>
      <c r="G666">
        <v>-0.02627166182926433</v>
      </c>
      <c r="H666">
        <v>0.05</v>
      </c>
      <c r="I666">
        <v>0.08064820260335215</v>
      </c>
      <c r="J666" t="s">
        <v>782</v>
      </c>
      <c r="K666" t="s">
        <v>350</v>
      </c>
      <c r="L666">
        <v>1.75</v>
      </c>
      <c r="M666">
        <v>1.61</v>
      </c>
      <c r="N666">
        <v>0.92</v>
      </c>
      <c r="O666">
        <v>5</v>
      </c>
      <c r="P666">
        <v>0.02027871203234244</v>
      </c>
      <c r="Q666">
        <v>0.058698405553422</v>
      </c>
      <c r="R666" t="s">
        <v>784</v>
      </c>
      <c r="S666" t="s">
        <v>793</v>
      </c>
      <c r="T666">
        <v>30467.041484</v>
      </c>
      <c r="U666" s="2">
        <v>44503</v>
      </c>
      <c r="V666" t="s">
        <v>799</v>
      </c>
    </row>
    <row r="667" spans="1:22">
      <c r="A667" s="1" t="s">
        <v>687</v>
      </c>
      <c r="B667">
        <f>HYPERLINK("https://www.suredividend.com/sure-analysis-UMH/","UMH Properties Inc")</f>
        <v>0</v>
      </c>
      <c r="C667">
        <v>24.66</v>
      </c>
      <c r="D667">
        <v>25.7</v>
      </c>
      <c r="E667">
        <v>0.9595330739299611</v>
      </c>
      <c r="F667">
        <v>0.0308191403081914</v>
      </c>
      <c r="G667">
        <v>0.008295920845866389</v>
      </c>
      <c r="H667">
        <v>0.045</v>
      </c>
      <c r="I667">
        <v>0.08002254377580065</v>
      </c>
      <c r="J667" t="s">
        <v>782</v>
      </c>
      <c r="K667" t="s">
        <v>526</v>
      </c>
      <c r="L667">
        <v>0.89</v>
      </c>
      <c r="M667">
        <v>0.76</v>
      </c>
      <c r="N667">
        <v>0.8539325842696629</v>
      </c>
      <c r="O667">
        <v>1</v>
      </c>
      <c r="P667">
        <v>0.03439350143683439</v>
      </c>
      <c r="Q667">
        <v>0.688116100766703</v>
      </c>
      <c r="R667" t="s">
        <v>786</v>
      </c>
      <c r="S667" t="s">
        <v>798</v>
      </c>
      <c r="T667">
        <v>1208.692465</v>
      </c>
      <c r="U667" s="2">
        <v>44509</v>
      </c>
      <c r="V667" t="s">
        <v>808</v>
      </c>
    </row>
    <row r="668" spans="1:22">
      <c r="A668" s="1" t="s">
        <v>688</v>
      </c>
      <c r="B668">
        <f>HYPERLINK("https://www.suredividend.com/sure-analysis-MRCC/","Monroe Capital Corp")</f>
        <v>0</v>
      </c>
      <c r="C668">
        <v>11.5</v>
      </c>
      <c r="D668">
        <v>11.6</v>
      </c>
      <c r="E668">
        <v>0.9913793103448276</v>
      </c>
      <c r="F668">
        <v>0.08695652173913043</v>
      </c>
      <c r="G668">
        <v>0.001733112655375013</v>
      </c>
      <c r="H668">
        <v>0</v>
      </c>
      <c r="I668">
        <v>0.07998613390998899</v>
      </c>
      <c r="J668" t="s">
        <v>782</v>
      </c>
      <c r="K668" t="s">
        <v>781</v>
      </c>
      <c r="L668">
        <v>1.45</v>
      </c>
      <c r="M668">
        <v>1</v>
      </c>
      <c r="N668">
        <v>0.6896551724137931</v>
      </c>
      <c r="O668">
        <v>0</v>
      </c>
      <c r="P668">
        <v>0.01924487649145656</v>
      </c>
      <c r="Q668">
        <v>0.3563240081143551</v>
      </c>
      <c r="R668" t="s">
        <v>787</v>
      </c>
      <c r="S668" t="s">
        <v>793</v>
      </c>
      <c r="T668">
        <v>247.75071</v>
      </c>
      <c r="U668" s="2">
        <v>44507</v>
      </c>
      <c r="V668" t="s">
        <v>799</v>
      </c>
    </row>
    <row r="669" spans="1:22">
      <c r="A669" s="1" t="s">
        <v>689</v>
      </c>
      <c r="B669">
        <f>HYPERLINK("https://www.suredividend.com/sure-analysis-VTR/","Ventas Inc")</f>
        <v>0</v>
      </c>
      <c r="C669">
        <v>48.37</v>
      </c>
      <c r="D669">
        <v>41</v>
      </c>
      <c r="E669">
        <v>1.179756097560976</v>
      </c>
      <c r="F669">
        <v>0.03721314864585487</v>
      </c>
      <c r="G669">
        <v>-0.03252098479702892</v>
      </c>
      <c r="H669">
        <v>0.08</v>
      </c>
      <c r="I669">
        <v>0.07902059013263241</v>
      </c>
      <c r="J669" t="s">
        <v>782</v>
      </c>
      <c r="K669" t="s">
        <v>526</v>
      </c>
      <c r="L669">
        <v>2.9</v>
      </c>
      <c r="M669">
        <v>1.8</v>
      </c>
      <c r="N669">
        <v>0.6206896551724138</v>
      </c>
      <c r="O669">
        <v>0</v>
      </c>
      <c r="P669">
        <v>0.05206626739843068</v>
      </c>
      <c r="Q669">
        <v>0.019554279619664</v>
      </c>
      <c r="R669" t="s">
        <v>786</v>
      </c>
      <c r="S669" t="s">
        <v>798</v>
      </c>
      <c r="T669">
        <v>19308.137896</v>
      </c>
      <c r="U669" s="2">
        <v>44518</v>
      </c>
      <c r="V669" t="s">
        <v>807</v>
      </c>
    </row>
    <row r="670" spans="1:22">
      <c r="A670" s="1" t="s">
        <v>690</v>
      </c>
      <c r="B670">
        <f>HYPERLINK("https://www.suredividend.com/sure-analysis-E/","Eni Spa")</f>
        <v>0</v>
      </c>
      <c r="C670">
        <v>27.84</v>
      </c>
      <c r="D670">
        <v>29</v>
      </c>
      <c r="E670">
        <v>0.96</v>
      </c>
      <c r="F670">
        <v>0.05675287356321839</v>
      </c>
      <c r="G670">
        <v>0.008197818497166498</v>
      </c>
      <c r="H670">
        <v>0.02</v>
      </c>
      <c r="I670">
        <v>0.07866374837239842</v>
      </c>
      <c r="J670" t="s">
        <v>782</v>
      </c>
      <c r="K670" t="s">
        <v>350</v>
      </c>
      <c r="L670">
        <v>2.3</v>
      </c>
      <c r="M670">
        <v>1.58</v>
      </c>
      <c r="N670">
        <v>0.6869565217391305</v>
      </c>
      <c r="O670">
        <v>1</v>
      </c>
      <c r="P670">
        <v>0.02981402116536103</v>
      </c>
      <c r="Q670">
        <v>0.377647751855096</v>
      </c>
      <c r="R670" t="s">
        <v>784</v>
      </c>
      <c r="S670" t="s">
        <v>797</v>
      </c>
      <c r="T670">
        <v>50171.85231</v>
      </c>
      <c r="U670" s="2">
        <v>44502</v>
      </c>
      <c r="V670" t="s">
        <v>807</v>
      </c>
    </row>
    <row r="671" spans="1:22">
      <c r="A671" s="1" t="s">
        <v>691</v>
      </c>
      <c r="B671">
        <f>HYPERLINK("https://www.suredividend.com/sure-analysis-SACH/","Sachem Capital Corp")</f>
        <v>0</v>
      </c>
      <c r="C671">
        <v>5.67</v>
      </c>
      <c r="D671">
        <v>5.26</v>
      </c>
      <c r="E671">
        <v>1.077946768060837</v>
      </c>
      <c r="F671">
        <v>0.08465608465608465</v>
      </c>
      <c r="G671">
        <v>-0.01489950555602593</v>
      </c>
      <c r="H671">
        <v>0.02</v>
      </c>
      <c r="I671">
        <v>0.07677557667334156</v>
      </c>
      <c r="J671" t="s">
        <v>782</v>
      </c>
      <c r="K671" t="s">
        <v>350</v>
      </c>
      <c r="L671">
        <v>0.47</v>
      </c>
      <c r="M671">
        <v>0.48</v>
      </c>
      <c r="N671">
        <v>1.021276595744681</v>
      </c>
      <c r="O671">
        <v>0</v>
      </c>
      <c r="P671">
        <v>0</v>
      </c>
      <c r="Q671">
        <v>0.4894736842105261</v>
      </c>
      <c r="R671" t="s">
        <v>786</v>
      </c>
      <c r="S671" t="s">
        <v>798</v>
      </c>
      <c r="T671">
        <v>166.648614</v>
      </c>
      <c r="U671" s="2">
        <v>44517</v>
      </c>
      <c r="V671" t="s">
        <v>799</v>
      </c>
    </row>
    <row r="672" spans="1:22">
      <c r="A672" s="1" t="s">
        <v>692</v>
      </c>
      <c r="B672">
        <f>HYPERLINK("https://www.suredividend.com/sure-analysis-GBDC/","Golub Capital BDC Inc")</f>
        <v>0</v>
      </c>
      <c r="C672">
        <v>15.08</v>
      </c>
      <c r="D672">
        <v>15.6</v>
      </c>
      <c r="E672">
        <v>0.9666666666666667</v>
      </c>
      <c r="F672">
        <v>0.07957559681697612</v>
      </c>
      <c r="G672">
        <v>0.006803348678863008</v>
      </c>
      <c r="H672">
        <v>0</v>
      </c>
      <c r="I672">
        <v>0.07451005019109669</v>
      </c>
      <c r="J672" t="s">
        <v>782</v>
      </c>
      <c r="K672" t="s">
        <v>350</v>
      </c>
      <c r="L672">
        <v>1.2</v>
      </c>
      <c r="M672">
        <v>1.2</v>
      </c>
      <c r="N672">
        <v>1</v>
      </c>
      <c r="O672">
        <v>0</v>
      </c>
      <c r="P672">
        <v>0</v>
      </c>
      <c r="Q672">
        <v>0.161232693166592</v>
      </c>
      <c r="R672" t="s">
        <v>787</v>
      </c>
      <c r="S672" t="s">
        <v>793</v>
      </c>
      <c r="T672">
        <v>2564.031047</v>
      </c>
      <c r="U672" s="2">
        <v>44532</v>
      </c>
      <c r="V672" t="s">
        <v>799</v>
      </c>
    </row>
    <row r="673" spans="1:22">
      <c r="A673" s="1" t="s">
        <v>693</v>
      </c>
      <c r="B673">
        <f>HYPERLINK("https://www.suredividend.com/sure-analysis-EXR/","Extra Space Storage Inc.")</f>
        <v>0</v>
      </c>
      <c r="C673">
        <v>208.72</v>
      </c>
      <c r="D673">
        <v>150</v>
      </c>
      <c r="E673">
        <v>1.391466666666667</v>
      </c>
      <c r="F673">
        <v>0.02395553852050594</v>
      </c>
      <c r="G673">
        <v>-0.06393622519145203</v>
      </c>
      <c r="H673">
        <v>0.12</v>
      </c>
      <c r="I673">
        <v>0.07448532829844701</v>
      </c>
      <c r="J673" t="s">
        <v>782</v>
      </c>
      <c r="K673" t="s">
        <v>782</v>
      </c>
      <c r="L673">
        <v>6.8</v>
      </c>
      <c r="M673">
        <v>5</v>
      </c>
      <c r="N673">
        <v>0.7352941176470589</v>
      </c>
      <c r="O673">
        <v>12</v>
      </c>
      <c r="P673">
        <v>0.1101240567487265</v>
      </c>
      <c r="Q673">
        <v>0.9460466469367321</v>
      </c>
      <c r="R673" t="s">
        <v>786</v>
      </c>
      <c r="S673" t="s">
        <v>798</v>
      </c>
      <c r="T673">
        <v>27944.558413</v>
      </c>
      <c r="U673" s="2">
        <v>44500</v>
      </c>
      <c r="V673" t="s">
        <v>799</v>
      </c>
    </row>
    <row r="674" spans="1:22">
      <c r="A674" s="1" t="s">
        <v>694</v>
      </c>
      <c r="B674">
        <f>HYPERLINK("https://www.suredividend.com/sure-analysis-NMFC/","New Mountain Finance Corp")</f>
        <v>0</v>
      </c>
      <c r="C674">
        <v>13.72</v>
      </c>
      <c r="D674">
        <v>14</v>
      </c>
      <c r="E674">
        <v>0.9800000000000001</v>
      </c>
      <c r="F674">
        <v>0.08746355685131195</v>
      </c>
      <c r="G674">
        <v>0.004048715456574481</v>
      </c>
      <c r="H674">
        <v>-0.005</v>
      </c>
      <c r="I674">
        <v>0.07353711139768238</v>
      </c>
      <c r="J674" t="s">
        <v>782</v>
      </c>
      <c r="K674" t="s">
        <v>350</v>
      </c>
      <c r="L674">
        <v>1.25</v>
      </c>
      <c r="M674">
        <v>1.2</v>
      </c>
      <c r="N674">
        <v>0.96</v>
      </c>
      <c r="O674">
        <v>0</v>
      </c>
      <c r="P674">
        <v>-0.005050763379468082</v>
      </c>
      <c r="Q674">
        <v>0.287295927941452</v>
      </c>
      <c r="R674" t="s">
        <v>787</v>
      </c>
      <c r="S674" t="s">
        <v>793</v>
      </c>
      <c r="T674">
        <v>1329.563875</v>
      </c>
      <c r="U674" s="2">
        <v>44509</v>
      </c>
      <c r="V674" t="s">
        <v>799</v>
      </c>
    </row>
    <row r="675" spans="1:22">
      <c r="A675" s="1" t="s">
        <v>695</v>
      </c>
      <c r="B675">
        <f>HYPERLINK("https://www.suredividend.com/sure-analysis-VNO/","Vornado Realty Trust")</f>
        <v>0</v>
      </c>
      <c r="C675">
        <v>42.04</v>
      </c>
      <c r="D675">
        <v>42</v>
      </c>
      <c r="E675">
        <v>1.000952380952381</v>
      </c>
      <c r="F675">
        <v>0.05042816365366318</v>
      </c>
      <c r="G675">
        <v>-0.0001903674228985741</v>
      </c>
      <c r="H675">
        <v>0.03</v>
      </c>
      <c r="I675">
        <v>0.07352459843685777</v>
      </c>
      <c r="J675" t="s">
        <v>782</v>
      </c>
      <c r="K675" t="s">
        <v>350</v>
      </c>
      <c r="L675">
        <v>2.8</v>
      </c>
      <c r="M675">
        <v>2.12</v>
      </c>
      <c r="N675">
        <v>0.7571428571428572</v>
      </c>
      <c r="O675">
        <v>0</v>
      </c>
      <c r="P675">
        <v>0.01994322923769842</v>
      </c>
      <c r="Q675">
        <v>0.138360641532833</v>
      </c>
      <c r="R675" t="s">
        <v>786</v>
      </c>
      <c r="S675" t="s">
        <v>798</v>
      </c>
      <c r="T675">
        <v>8053.214182</v>
      </c>
      <c r="U675" s="2">
        <v>44503</v>
      </c>
      <c r="V675" t="s">
        <v>799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17.48</v>
      </c>
      <c r="D676">
        <v>15.86</v>
      </c>
      <c r="E676">
        <v>1.102143757881463</v>
      </c>
      <c r="F676">
        <v>0.07608695652173914</v>
      </c>
      <c r="G676">
        <v>-0.01926347238357817</v>
      </c>
      <c r="H676">
        <v>0.02</v>
      </c>
      <c r="I676">
        <v>0.07351683014032884</v>
      </c>
      <c r="J676" t="s">
        <v>782</v>
      </c>
      <c r="K676" t="s">
        <v>350</v>
      </c>
      <c r="L676">
        <v>1.22</v>
      </c>
      <c r="M676">
        <v>1.33</v>
      </c>
      <c r="N676">
        <v>1.090163934426229</v>
      </c>
      <c r="O676">
        <v>1</v>
      </c>
      <c r="P676">
        <v>0.03635631157614205</v>
      </c>
      <c r="Q676">
        <v>0.251074190776281</v>
      </c>
      <c r="R676" t="s">
        <v>784</v>
      </c>
      <c r="S676" t="s">
        <v>793</v>
      </c>
      <c r="T676">
        <v>106.679821</v>
      </c>
      <c r="U676" s="2">
        <v>44517</v>
      </c>
      <c r="V676" t="s">
        <v>799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16.43</v>
      </c>
      <c r="D677">
        <v>15.76</v>
      </c>
      <c r="E677">
        <v>1.04251269035533</v>
      </c>
      <c r="F677">
        <v>0.07303712720632988</v>
      </c>
      <c r="G677">
        <v>-0.008292198001450091</v>
      </c>
      <c r="H677">
        <v>0.02</v>
      </c>
      <c r="I677">
        <v>0.07328935578411011</v>
      </c>
      <c r="J677" t="s">
        <v>782</v>
      </c>
      <c r="K677" t="s">
        <v>350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0.340414769853313</v>
      </c>
      <c r="R677" t="s">
        <v>787</v>
      </c>
      <c r="S677" t="s">
        <v>793</v>
      </c>
      <c r="T677">
        <v>335.619602</v>
      </c>
      <c r="U677" s="2">
        <v>44502</v>
      </c>
      <c r="V677" t="s">
        <v>799</v>
      </c>
    </row>
    <row r="678" spans="1:22">
      <c r="A678" s="1" t="s">
        <v>698</v>
      </c>
      <c r="B678">
        <f>HYPERLINK("https://www.suredividend.com/sure-analysis-TSLX/","Sixth Street Specialty Lending Inc")</f>
        <v>0</v>
      </c>
      <c r="C678">
        <v>23.13</v>
      </c>
      <c r="D678">
        <v>21.78</v>
      </c>
      <c r="E678">
        <v>1.06198347107438</v>
      </c>
      <c r="F678">
        <v>0.07090358841331604</v>
      </c>
      <c r="G678">
        <v>-0.01195562843093145</v>
      </c>
      <c r="H678">
        <v>0.02</v>
      </c>
      <c r="I678">
        <v>0.07203162230814497</v>
      </c>
      <c r="J678" t="s">
        <v>782</v>
      </c>
      <c r="K678" t="s">
        <v>350</v>
      </c>
      <c r="L678">
        <v>1.98</v>
      </c>
      <c r="M678">
        <v>1.64</v>
      </c>
      <c r="N678">
        <v>0.8282828282828283</v>
      </c>
      <c r="O678">
        <v>6</v>
      </c>
      <c r="P678">
        <v>0.01992196624507558</v>
      </c>
      <c r="Q678">
        <v>0.298715882739375</v>
      </c>
      <c r="R678" t="s">
        <v>787</v>
      </c>
      <c r="S678" t="s">
        <v>793</v>
      </c>
      <c r="T678">
        <v>1690.887841</v>
      </c>
      <c r="U678" s="2">
        <v>44504</v>
      </c>
      <c r="V678" t="s">
        <v>799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9.390000000000001</v>
      </c>
      <c r="D679">
        <v>7.8</v>
      </c>
      <c r="E679">
        <v>1.203846153846154</v>
      </c>
      <c r="F679">
        <v>0.08945686900958466</v>
      </c>
      <c r="G679">
        <v>-0.03642438230167078</v>
      </c>
      <c r="H679">
        <v>0.03</v>
      </c>
      <c r="I679">
        <v>0.07117348473882279</v>
      </c>
      <c r="J679" t="s">
        <v>782</v>
      </c>
      <c r="K679" t="s">
        <v>350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-0.021070977572297</v>
      </c>
      <c r="R679" t="s">
        <v>786</v>
      </c>
      <c r="S679" t="s">
        <v>798</v>
      </c>
      <c r="T679">
        <v>1244.649487</v>
      </c>
      <c r="U679" s="2">
        <v>44509</v>
      </c>
      <c r="V679" t="s">
        <v>800</v>
      </c>
    </row>
    <row r="680" spans="1:22">
      <c r="A680" s="1" t="s">
        <v>700</v>
      </c>
      <c r="B680">
        <f>HYPERLINK("https://www.suredividend.com/sure-analysis-STWD/","Starwood Property Trust Inc")</f>
        <v>0</v>
      </c>
      <c r="C680">
        <v>24.56</v>
      </c>
      <c r="D680">
        <v>25</v>
      </c>
      <c r="E680">
        <v>0.9823999999999999</v>
      </c>
      <c r="F680">
        <v>0.07817589576547232</v>
      </c>
      <c r="G680">
        <v>0.003557657812669479</v>
      </c>
      <c r="H680">
        <v>0</v>
      </c>
      <c r="I680">
        <v>0.07095086824300623</v>
      </c>
      <c r="J680" t="s">
        <v>782</v>
      </c>
      <c r="K680" t="s">
        <v>350</v>
      </c>
      <c r="L680">
        <v>2</v>
      </c>
      <c r="M680">
        <v>1.92</v>
      </c>
      <c r="N680">
        <v>0.96</v>
      </c>
      <c r="O680">
        <v>0</v>
      </c>
      <c r="P680">
        <v>0</v>
      </c>
      <c r="Q680">
        <v>0.42225928435341</v>
      </c>
      <c r="R680" t="s">
        <v>786</v>
      </c>
      <c r="S680" t="s">
        <v>798</v>
      </c>
      <c r="T680">
        <v>7088.447617</v>
      </c>
      <c r="U680" s="2">
        <v>44509</v>
      </c>
      <c r="V680" t="s">
        <v>799</v>
      </c>
    </row>
    <row r="681" spans="1:22">
      <c r="A681" s="1" t="s">
        <v>701</v>
      </c>
      <c r="B681">
        <f>HYPERLINK("https://www.suredividend.com/sure-analysis-FDUS/","Fidus Investment Corp")</f>
        <v>0</v>
      </c>
      <c r="C681">
        <v>17.33</v>
      </c>
      <c r="D681">
        <v>17.97</v>
      </c>
      <c r="E681">
        <v>0.9643850862548692</v>
      </c>
      <c r="F681">
        <v>0.07386035776110791</v>
      </c>
      <c r="G681">
        <v>0.007279285538848601</v>
      </c>
      <c r="H681">
        <v>0</v>
      </c>
      <c r="I681">
        <v>0.07056093859199875</v>
      </c>
      <c r="J681" t="s">
        <v>782</v>
      </c>
      <c r="K681" t="s">
        <v>350</v>
      </c>
      <c r="L681">
        <v>1.51</v>
      </c>
      <c r="M681">
        <v>1.28</v>
      </c>
      <c r="N681">
        <v>0.847682119205298</v>
      </c>
      <c r="O681">
        <v>0</v>
      </c>
      <c r="P681">
        <v>0</v>
      </c>
      <c r="Q681">
        <v>0.416000065366419</v>
      </c>
      <c r="R681" t="s">
        <v>787</v>
      </c>
      <c r="S681" t="s">
        <v>793</v>
      </c>
      <c r="T681">
        <v>423.500142</v>
      </c>
      <c r="U681" s="2">
        <v>44513</v>
      </c>
      <c r="V681" t="s">
        <v>799</v>
      </c>
    </row>
    <row r="682" spans="1:22">
      <c r="A682" s="1" t="s">
        <v>702</v>
      </c>
      <c r="B682">
        <f>HYPERLINK("https://www.suredividend.com/sure-analysis-CRT/","Cross Timbers Royalty Trust")</f>
        <v>0</v>
      </c>
      <c r="C682">
        <v>10.98</v>
      </c>
      <c r="D682">
        <v>9.9</v>
      </c>
      <c r="E682">
        <v>1.109090909090909</v>
      </c>
      <c r="F682">
        <v>0.1001821493624772</v>
      </c>
      <c r="G682">
        <v>-0.02049519474793182</v>
      </c>
      <c r="H682">
        <v>0</v>
      </c>
      <c r="I682">
        <v>0.06999974982742208</v>
      </c>
      <c r="J682" t="s">
        <v>782</v>
      </c>
      <c r="K682" t="s">
        <v>350</v>
      </c>
      <c r="L682">
        <v>1.1</v>
      </c>
      <c r="M682">
        <v>1.1</v>
      </c>
      <c r="N682">
        <v>1</v>
      </c>
      <c r="O682">
        <v>0</v>
      </c>
      <c r="P682">
        <v>0</v>
      </c>
      <c r="Q682">
        <v>0.5092314888699331</v>
      </c>
      <c r="R682" t="s">
        <v>784</v>
      </c>
      <c r="S682" t="s">
        <v>797</v>
      </c>
      <c r="T682">
        <v>65.81999999999999</v>
      </c>
      <c r="U682" s="2">
        <v>44519</v>
      </c>
      <c r="V682" t="s">
        <v>807</v>
      </c>
    </row>
    <row r="683" spans="1:22">
      <c r="A683" s="1" t="s">
        <v>703</v>
      </c>
      <c r="B683">
        <f>HYPERLINK("https://www.suredividend.com/sure-analysis-AM/","Antero Midstream Corp")</f>
        <v>0</v>
      </c>
      <c r="C683">
        <v>9.550000000000001</v>
      </c>
      <c r="D683">
        <v>8.800000000000001</v>
      </c>
      <c r="E683">
        <v>1.085227272727273</v>
      </c>
      <c r="F683">
        <v>0.09424083769633507</v>
      </c>
      <c r="G683">
        <v>-0.01622482290954219</v>
      </c>
      <c r="H683">
        <v>0</v>
      </c>
      <c r="I683">
        <v>0.06848801189254128</v>
      </c>
      <c r="J683" t="s">
        <v>782</v>
      </c>
      <c r="K683" t="s">
        <v>781</v>
      </c>
      <c r="L683">
        <v>1.25</v>
      </c>
      <c r="M683">
        <v>0.9</v>
      </c>
      <c r="N683">
        <v>0.72</v>
      </c>
      <c r="O683">
        <v>0</v>
      </c>
      <c r="P683">
        <v>0</v>
      </c>
      <c r="Q683">
        <v>0.260659503128547</v>
      </c>
      <c r="R683" t="s">
        <v>784</v>
      </c>
      <c r="S683" t="s">
        <v>797</v>
      </c>
      <c r="T683">
        <v>4560.161166</v>
      </c>
      <c r="U683" s="2">
        <v>44504</v>
      </c>
      <c r="V683" t="s">
        <v>808</v>
      </c>
    </row>
    <row r="684" spans="1:22">
      <c r="A684" s="1" t="s">
        <v>704</v>
      </c>
      <c r="B684">
        <f>HYPERLINK("https://www.suredividend.com/sure-analysis-PFLT/","PennantPark Floating Rate Capital Ltd")</f>
        <v>0</v>
      </c>
      <c r="C684">
        <v>13.05</v>
      </c>
      <c r="D684">
        <v>11.9</v>
      </c>
      <c r="E684">
        <v>1.096638655462185</v>
      </c>
      <c r="F684">
        <v>0.08735632183908044</v>
      </c>
      <c r="G684">
        <v>-0.01828078838142921</v>
      </c>
      <c r="H684">
        <v>0.008</v>
      </c>
      <c r="I684">
        <v>0.06741978109917302</v>
      </c>
      <c r="J684" t="s">
        <v>782</v>
      </c>
      <c r="K684" t="s">
        <v>350</v>
      </c>
      <c r="L684">
        <v>1.12</v>
      </c>
      <c r="M684">
        <v>1.14</v>
      </c>
      <c r="N684">
        <v>1.017857142857143</v>
      </c>
      <c r="O684">
        <v>0</v>
      </c>
      <c r="P684">
        <v>0</v>
      </c>
      <c r="Q684">
        <v>0.319701474425095</v>
      </c>
      <c r="R684" t="s">
        <v>787</v>
      </c>
      <c r="S684" t="s">
        <v>793</v>
      </c>
      <c r="T684">
        <v>508.159614</v>
      </c>
      <c r="U684" s="2">
        <v>44521</v>
      </c>
      <c r="V684" t="s">
        <v>808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10.07</v>
      </c>
      <c r="D685">
        <v>6.7</v>
      </c>
      <c r="E685">
        <v>1.502985074626866</v>
      </c>
      <c r="F685">
        <v>0.1191658391261172</v>
      </c>
      <c r="G685">
        <v>-0.07825865906209617</v>
      </c>
      <c r="H685">
        <v>0.046</v>
      </c>
      <c r="I685">
        <v>0.06707090740087995</v>
      </c>
      <c r="J685" t="s">
        <v>782</v>
      </c>
      <c r="K685" t="s">
        <v>350</v>
      </c>
      <c r="L685">
        <v>0.96</v>
      </c>
      <c r="M685">
        <v>1.2</v>
      </c>
      <c r="N685">
        <v>1.25</v>
      </c>
      <c r="O685">
        <v>0</v>
      </c>
      <c r="P685">
        <v>-0.0263528193848318</v>
      </c>
      <c r="Q685">
        <v>0.015218181084244</v>
      </c>
      <c r="R685" t="s">
        <v>786</v>
      </c>
      <c r="S685" t="s">
        <v>798</v>
      </c>
      <c r="T685">
        <v>902.271632</v>
      </c>
      <c r="U685" s="2">
        <v>44503</v>
      </c>
      <c r="V685" t="s">
        <v>808</v>
      </c>
    </row>
    <row r="686" spans="1:22">
      <c r="A686" s="1" t="s">
        <v>706</v>
      </c>
      <c r="B686">
        <f>HYPERLINK("https://www.suredividend.com/sure-analysis-VIA/","Via Renewables Inc")</f>
        <v>0</v>
      </c>
      <c r="C686">
        <v>11.1</v>
      </c>
      <c r="D686">
        <v>10.6</v>
      </c>
      <c r="E686">
        <v>1.047169811320755</v>
      </c>
      <c r="F686">
        <v>0.06576576576576576</v>
      </c>
      <c r="G686">
        <v>-0.009175863890472424</v>
      </c>
      <c r="H686">
        <v>0.02</v>
      </c>
      <c r="I686">
        <v>0.06702723709326097</v>
      </c>
      <c r="J686" t="s">
        <v>782</v>
      </c>
      <c r="K686" t="s">
        <v>350</v>
      </c>
      <c r="L686">
        <v>0.85</v>
      </c>
      <c r="M686">
        <v>0.73</v>
      </c>
      <c r="N686">
        <v>0.8588235294117647</v>
      </c>
      <c r="O686">
        <v>0</v>
      </c>
      <c r="P686">
        <v>0</v>
      </c>
      <c r="Q686">
        <v>0.216318390514908</v>
      </c>
      <c r="R686" t="s">
        <v>784</v>
      </c>
      <c r="S686" t="s">
        <v>796</v>
      </c>
      <c r="T686">
        <v>172.853507</v>
      </c>
      <c r="U686" s="2">
        <v>44519</v>
      </c>
      <c r="V686" t="s">
        <v>807</v>
      </c>
    </row>
    <row r="687" spans="1:22">
      <c r="A687" s="1" t="s">
        <v>707</v>
      </c>
      <c r="B687">
        <f>HYPERLINK("https://www.suredividend.com/sure-analysis-NEM/","Newmont Corp")</f>
        <v>0</v>
      </c>
      <c r="C687">
        <v>56.1</v>
      </c>
      <c r="D687">
        <v>56</v>
      </c>
      <c r="E687">
        <v>1.001785714285714</v>
      </c>
      <c r="F687">
        <v>0.0392156862745098</v>
      </c>
      <c r="G687">
        <v>-0.0003567607044601129</v>
      </c>
      <c r="H687">
        <v>0.03</v>
      </c>
      <c r="I687">
        <v>0.06627066261339931</v>
      </c>
      <c r="J687" t="s">
        <v>782</v>
      </c>
      <c r="K687" t="s">
        <v>526</v>
      </c>
      <c r="L687">
        <v>3.1</v>
      </c>
      <c r="M687">
        <v>2.2</v>
      </c>
      <c r="N687">
        <v>0.7096774193548387</v>
      </c>
      <c r="O687">
        <v>6</v>
      </c>
      <c r="P687">
        <v>0.04026125343417397</v>
      </c>
      <c r="Q687">
        <v>-0.011648802350901</v>
      </c>
      <c r="R687" t="s">
        <v>784</v>
      </c>
      <c r="S687" t="s">
        <v>794</v>
      </c>
      <c r="T687">
        <v>44736.120554</v>
      </c>
      <c r="U687" s="2">
        <v>44502</v>
      </c>
      <c r="V687" t="s">
        <v>803</v>
      </c>
    </row>
    <row r="688" spans="1:22">
      <c r="A688" s="1" t="s">
        <v>708</v>
      </c>
      <c r="B688">
        <f>HYPERLINK("https://www.suredividend.com/sure-analysis-VLO/","Valero Energy Corp.")</f>
        <v>0</v>
      </c>
      <c r="C688">
        <v>70.84999999999999</v>
      </c>
      <c r="D688">
        <v>64</v>
      </c>
      <c r="E688">
        <v>1.10703125</v>
      </c>
      <c r="F688">
        <v>0.05532815808045166</v>
      </c>
      <c r="G688">
        <v>-0.02013098709845851</v>
      </c>
      <c r="H688">
        <v>0.04</v>
      </c>
      <c r="I688">
        <v>0.06586565115200083</v>
      </c>
      <c r="J688" t="s">
        <v>782</v>
      </c>
      <c r="K688" t="s">
        <v>526</v>
      </c>
      <c r="L688">
        <v>0.5</v>
      </c>
      <c r="M688">
        <v>3.92</v>
      </c>
      <c r="N688">
        <v>7.84</v>
      </c>
      <c r="O688">
        <v>10</v>
      </c>
      <c r="P688">
        <v>0</v>
      </c>
      <c r="Q688">
        <v>0.267854650351277</v>
      </c>
      <c r="R688" t="s">
        <v>784</v>
      </c>
      <c r="S688" t="s">
        <v>797</v>
      </c>
      <c r="T688">
        <v>28966.003323</v>
      </c>
      <c r="U688" s="2">
        <v>44491</v>
      </c>
      <c r="V688" t="s">
        <v>807</v>
      </c>
    </row>
    <row r="689" spans="1:22">
      <c r="A689" s="1" t="s">
        <v>709</v>
      </c>
      <c r="B689">
        <f>HYPERLINK("https://www.suredividend.com/sure-analysis-CSWC/","Capital Southwest Corp.")</f>
        <v>0</v>
      </c>
      <c r="C689">
        <v>26.88</v>
      </c>
      <c r="D689">
        <v>23</v>
      </c>
      <c r="E689">
        <v>1.168695652173913</v>
      </c>
      <c r="F689">
        <v>0.06994047619047619</v>
      </c>
      <c r="G689">
        <v>-0.03069664860222054</v>
      </c>
      <c r="H689">
        <v>0.03</v>
      </c>
      <c r="I689">
        <v>0.06567937466435758</v>
      </c>
      <c r="J689" t="s">
        <v>782</v>
      </c>
      <c r="K689" t="s">
        <v>526</v>
      </c>
      <c r="L689">
        <v>1.65</v>
      </c>
      <c r="M689">
        <v>1.88</v>
      </c>
      <c r="N689">
        <v>1.139393939393939</v>
      </c>
      <c r="O689">
        <v>5</v>
      </c>
      <c r="P689">
        <v>0.03005337366563188</v>
      </c>
      <c r="Q689">
        <v>0.6529027259366751</v>
      </c>
      <c r="R689" t="s">
        <v>787</v>
      </c>
      <c r="S689" t="s">
        <v>793</v>
      </c>
      <c r="T689">
        <v>627.4071279999999</v>
      </c>
      <c r="U689" s="2">
        <v>44504</v>
      </c>
      <c r="V689" t="s">
        <v>799</v>
      </c>
    </row>
    <row r="690" spans="1:22">
      <c r="A690" s="1" t="s">
        <v>710</v>
      </c>
      <c r="B690">
        <f>HYPERLINK("https://www.suredividend.com/sure-analysis-BFS/","Saul Centers, Inc.")</f>
        <v>0</v>
      </c>
      <c r="C690">
        <v>51.05</v>
      </c>
      <c r="D690">
        <v>50</v>
      </c>
      <c r="E690">
        <v>1.021</v>
      </c>
      <c r="F690">
        <v>0.04466209598432909</v>
      </c>
      <c r="G690">
        <v>-0.004147881513739571</v>
      </c>
      <c r="H690">
        <v>0.03</v>
      </c>
      <c r="I690">
        <v>0.06566516937756739</v>
      </c>
      <c r="J690" t="s">
        <v>782</v>
      </c>
      <c r="K690" t="s">
        <v>526</v>
      </c>
      <c r="L690">
        <v>3.05</v>
      </c>
      <c r="M690">
        <v>2.28</v>
      </c>
      <c r="N690">
        <v>0.7475409836065574</v>
      </c>
      <c r="O690">
        <v>2</v>
      </c>
      <c r="P690">
        <v>0.02263597526826988</v>
      </c>
      <c r="Q690">
        <v>0.628891115777648</v>
      </c>
      <c r="R690" t="s">
        <v>786</v>
      </c>
      <c r="S690" t="s">
        <v>798</v>
      </c>
      <c r="T690">
        <v>1209.648</v>
      </c>
      <c r="U690" s="2">
        <v>44531</v>
      </c>
      <c r="V690" t="s">
        <v>799</v>
      </c>
    </row>
    <row r="691" spans="1:22">
      <c r="A691" s="1" t="s">
        <v>711</v>
      </c>
      <c r="B691">
        <f>HYPERLINK("https://www.suredividend.com/sure-analysis-TPVG/","TriplePoint Venture Growth BDC Corp")</f>
        <v>0</v>
      </c>
      <c r="C691">
        <v>17.3</v>
      </c>
      <c r="D691">
        <v>15</v>
      </c>
      <c r="E691">
        <v>1.153333333333333</v>
      </c>
      <c r="F691">
        <v>0.08323699421965318</v>
      </c>
      <c r="G691">
        <v>-0.02812808712276382</v>
      </c>
      <c r="H691">
        <v>0.02</v>
      </c>
      <c r="I691">
        <v>0.06552709409757984</v>
      </c>
      <c r="J691" t="s">
        <v>782</v>
      </c>
      <c r="K691" t="s">
        <v>350</v>
      </c>
      <c r="L691">
        <v>1.25</v>
      </c>
      <c r="M691">
        <v>1.44</v>
      </c>
      <c r="N691">
        <v>1.152</v>
      </c>
      <c r="O691">
        <v>0</v>
      </c>
      <c r="P691">
        <v>0</v>
      </c>
      <c r="Q691">
        <v>0.516931764375778</v>
      </c>
      <c r="R691" t="s">
        <v>787</v>
      </c>
      <c r="S691" t="s">
        <v>793</v>
      </c>
      <c r="T691">
        <v>536.024498</v>
      </c>
      <c r="U691" s="2">
        <v>44506</v>
      </c>
      <c r="V691" t="s">
        <v>799</v>
      </c>
    </row>
    <row r="692" spans="1:22">
      <c r="A692" s="1" t="s">
        <v>712</v>
      </c>
      <c r="B692">
        <f>HYPERLINK("https://www.suredividend.com/sure-analysis-UBP/","Urstadt Biddle Properties, Inc.")</f>
        <v>0</v>
      </c>
      <c r="C692">
        <v>16.85</v>
      </c>
      <c r="D692">
        <v>16.38</v>
      </c>
      <c r="E692">
        <v>1.028693528693529</v>
      </c>
      <c r="F692">
        <v>0.04925816023738872</v>
      </c>
      <c r="G692">
        <v>-0.005641939814023389</v>
      </c>
      <c r="H692">
        <v>0.02</v>
      </c>
      <c r="I692">
        <v>0.06330065344279268</v>
      </c>
      <c r="J692" t="s">
        <v>782</v>
      </c>
      <c r="K692" t="s">
        <v>350</v>
      </c>
      <c r="L692">
        <v>1.26</v>
      </c>
      <c r="M692">
        <v>0.83</v>
      </c>
      <c r="N692">
        <v>0.6587301587301587</v>
      </c>
      <c r="O692">
        <v>1</v>
      </c>
      <c r="P692">
        <v>0.05013601855760697</v>
      </c>
      <c r="Q692">
        <v>0.390998547087571</v>
      </c>
      <c r="R692" t="s">
        <v>786</v>
      </c>
      <c r="S692" t="s">
        <v>798</v>
      </c>
      <c r="T692">
        <v>762.631811</v>
      </c>
      <c r="U692" s="2">
        <v>44539</v>
      </c>
      <c r="V692" t="s">
        <v>799</v>
      </c>
    </row>
    <row r="693" spans="1:22">
      <c r="A693" s="1" t="s">
        <v>713</v>
      </c>
      <c r="B693">
        <f>HYPERLINK("https://www.suredividend.com/sure-analysis-LWSCF/","Sienna Senior Living, Inc.")</f>
        <v>0</v>
      </c>
      <c r="C693">
        <v>11.5</v>
      </c>
      <c r="D693">
        <v>11.88</v>
      </c>
      <c r="E693">
        <v>0.968013468013468</v>
      </c>
      <c r="F693">
        <v>0.06521739130434782</v>
      </c>
      <c r="G693">
        <v>0.006523038661521596</v>
      </c>
      <c r="H693">
        <v>0</v>
      </c>
      <c r="I693">
        <v>0.06329121945151828</v>
      </c>
      <c r="J693" t="s">
        <v>782</v>
      </c>
      <c r="K693" t="s">
        <v>350</v>
      </c>
      <c r="L693">
        <v>0.88</v>
      </c>
      <c r="M693">
        <v>0.75</v>
      </c>
      <c r="N693">
        <v>0.8522727272727273</v>
      </c>
      <c r="O693">
        <v>0</v>
      </c>
      <c r="P693">
        <v>0</v>
      </c>
      <c r="Q693">
        <v>0.07981220657276999</v>
      </c>
      <c r="R693" t="s">
        <v>784</v>
      </c>
      <c r="S693" t="s">
        <v>789</v>
      </c>
      <c r="T693">
        <v>770.949915</v>
      </c>
      <c r="U693" s="2">
        <v>44516</v>
      </c>
      <c r="V693" t="s">
        <v>799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11.9799</v>
      </c>
      <c r="D694">
        <v>12.6</v>
      </c>
      <c r="E694">
        <v>0.9507857142857143</v>
      </c>
      <c r="F694">
        <v>0.03672818637885124</v>
      </c>
      <c r="G694">
        <v>0.01014442301023744</v>
      </c>
      <c r="H694">
        <v>0.02</v>
      </c>
      <c r="I694">
        <v>0.06299090409692232</v>
      </c>
      <c r="J694" t="s">
        <v>782</v>
      </c>
      <c r="K694" t="s">
        <v>526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-0.020177318305988</v>
      </c>
      <c r="R694" t="s">
        <v>784</v>
      </c>
      <c r="S694" t="s">
        <v>795</v>
      </c>
      <c r="T694">
        <v>41189.29218</v>
      </c>
      <c r="U694" s="2">
        <v>44490</v>
      </c>
      <c r="V694" t="s">
        <v>810</v>
      </c>
    </row>
    <row r="695" spans="1:22">
      <c r="A695" s="1" t="s">
        <v>715</v>
      </c>
      <c r="B695">
        <f>HYPERLINK("https://www.suredividend.com/sure-analysis-GSK/","Glaxosmithkline plc")</f>
        <v>0</v>
      </c>
      <c r="C695">
        <v>43.17</v>
      </c>
      <c r="D695">
        <v>40</v>
      </c>
      <c r="E695">
        <v>1.07925</v>
      </c>
      <c r="F695">
        <v>0.05096131572851517</v>
      </c>
      <c r="G695">
        <v>-0.01513752917938349</v>
      </c>
      <c r="H695">
        <v>0.03</v>
      </c>
      <c r="I695">
        <v>0.06229859839444885</v>
      </c>
      <c r="J695" t="s">
        <v>782</v>
      </c>
      <c r="K695" t="s">
        <v>350</v>
      </c>
      <c r="L695">
        <v>2.9</v>
      </c>
      <c r="M695">
        <v>2.2</v>
      </c>
      <c r="N695">
        <v>0.7586206896551725</v>
      </c>
      <c r="O695">
        <v>3</v>
      </c>
      <c r="P695">
        <v>0.02996744995959233</v>
      </c>
      <c r="Q695">
        <v>0.214824403421882</v>
      </c>
      <c r="R695" t="s">
        <v>784</v>
      </c>
      <c r="S695" t="s">
        <v>789</v>
      </c>
      <c r="T695">
        <v>108595.779647</v>
      </c>
      <c r="U695" s="2">
        <v>44496</v>
      </c>
      <c r="V695" t="s">
        <v>800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14.35</v>
      </c>
      <c r="D696">
        <v>12.1</v>
      </c>
      <c r="E696">
        <v>1.18595041322314</v>
      </c>
      <c r="F696">
        <v>0.08362369337979093</v>
      </c>
      <c r="G696">
        <v>-0.03353374725848668</v>
      </c>
      <c r="H696">
        <v>0.02</v>
      </c>
      <c r="I696">
        <v>0.06171486630589351</v>
      </c>
      <c r="J696" t="s">
        <v>782</v>
      </c>
      <c r="K696" t="s">
        <v>350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0.061633954530994</v>
      </c>
      <c r="R696" t="s">
        <v>787</v>
      </c>
      <c r="S696" t="s">
        <v>793</v>
      </c>
      <c r="T696">
        <v>230.303638</v>
      </c>
      <c r="U696" s="2">
        <v>44504</v>
      </c>
      <c r="V696" t="s">
        <v>799</v>
      </c>
    </row>
    <row r="697" spans="1:22">
      <c r="A697" s="1" t="s">
        <v>717</v>
      </c>
      <c r="B697">
        <f>HYPERLINK("https://www.suredividend.com/sure-analysis-GMRE/","Global Medical REIT Inc")</f>
        <v>0</v>
      </c>
      <c r="C697">
        <v>16.62</v>
      </c>
      <c r="D697">
        <v>14.25</v>
      </c>
      <c r="E697">
        <v>1.166315789473684</v>
      </c>
      <c r="F697">
        <v>0.04933814681107099</v>
      </c>
      <c r="G697">
        <v>-0.03030139915089458</v>
      </c>
      <c r="H697">
        <v>0.05</v>
      </c>
      <c r="I697">
        <v>0.06156754509279616</v>
      </c>
      <c r="J697" t="s">
        <v>782</v>
      </c>
      <c r="K697" t="s">
        <v>526</v>
      </c>
      <c r="L697">
        <v>0.95</v>
      </c>
      <c r="M697">
        <v>0.82</v>
      </c>
      <c r="N697">
        <v>0.8631578947368421</v>
      </c>
      <c r="O697">
        <v>1</v>
      </c>
      <c r="P697">
        <v>0.009571122817161548</v>
      </c>
      <c r="Q697">
        <v>0.23243355543354</v>
      </c>
      <c r="R697" t="s">
        <v>786</v>
      </c>
      <c r="S697" t="s">
        <v>798</v>
      </c>
      <c r="T697">
        <v>1066.493601</v>
      </c>
      <c r="U697" s="2">
        <v>44504</v>
      </c>
      <c r="V697" t="s">
        <v>799</v>
      </c>
    </row>
    <row r="698" spans="1:22">
      <c r="A698" s="1" t="s">
        <v>718</v>
      </c>
      <c r="B698">
        <f>HYPERLINK("https://www.suredividend.com/sure-analysis-GLPI/","Gaming and Leisure Properties Inc")</f>
        <v>0</v>
      </c>
      <c r="C698">
        <v>46.37</v>
      </c>
      <c r="D698">
        <v>49</v>
      </c>
      <c r="E698">
        <v>0.9463265306122448</v>
      </c>
      <c r="F698">
        <v>0.05779598878585293</v>
      </c>
      <c r="G698">
        <v>0.01109461370895315</v>
      </c>
      <c r="H698">
        <v>-0.001</v>
      </c>
      <c r="I698">
        <v>0.06156645568809238</v>
      </c>
      <c r="J698" t="s">
        <v>782</v>
      </c>
      <c r="K698" t="s">
        <v>350</v>
      </c>
      <c r="L698">
        <v>3.47</v>
      </c>
      <c r="M698">
        <v>2.68</v>
      </c>
      <c r="N698">
        <v>0.7723342939481268</v>
      </c>
      <c r="O698">
        <v>0</v>
      </c>
      <c r="P698">
        <v>0.008799010229586735</v>
      </c>
      <c r="Q698">
        <v>0.149895599299696</v>
      </c>
      <c r="R698" t="s">
        <v>786</v>
      </c>
      <c r="S698" t="s">
        <v>798</v>
      </c>
      <c r="T698">
        <v>11052.340878</v>
      </c>
      <c r="U698" s="2">
        <v>44506</v>
      </c>
      <c r="V698" t="s">
        <v>808</v>
      </c>
    </row>
    <row r="699" spans="1:22">
      <c r="A699" s="1" t="s">
        <v>719</v>
      </c>
      <c r="B699">
        <f>HYPERLINK("https://www.suredividend.com/sure-analysis-STOR/","Store Capital Corp")</f>
        <v>0</v>
      </c>
      <c r="C699">
        <v>33.79</v>
      </c>
      <c r="D699">
        <v>30</v>
      </c>
      <c r="E699">
        <v>1.126333333333333</v>
      </c>
      <c r="F699">
        <v>0.04557561408700799</v>
      </c>
      <c r="G699">
        <v>-0.02351267014924252</v>
      </c>
      <c r="H699">
        <v>0.04</v>
      </c>
      <c r="I699">
        <v>0.06106975100563417</v>
      </c>
      <c r="J699" t="s">
        <v>782</v>
      </c>
      <c r="K699" t="s">
        <v>350</v>
      </c>
      <c r="L699">
        <v>1.99</v>
      </c>
      <c r="M699">
        <v>1.54</v>
      </c>
      <c r="N699">
        <v>0.7738693467336684</v>
      </c>
      <c r="O699">
        <v>8</v>
      </c>
      <c r="P699">
        <v>0.05048317528676538</v>
      </c>
      <c r="Q699">
        <v>0.082589500259513</v>
      </c>
      <c r="R699" t="s">
        <v>786</v>
      </c>
      <c r="S699" t="s">
        <v>798</v>
      </c>
      <c r="T699">
        <v>9213.664766</v>
      </c>
      <c r="U699" s="2">
        <v>44530</v>
      </c>
      <c r="V699" t="s">
        <v>806</v>
      </c>
    </row>
    <row r="700" spans="1:22">
      <c r="A700" s="1" t="s">
        <v>720</v>
      </c>
      <c r="B700">
        <f>HYPERLINK("https://www.suredividend.com/sure-analysis-ARI/","Apollo Commercial Real Estate Finance Inc")</f>
        <v>0</v>
      </c>
      <c r="C700">
        <v>13.43</v>
      </c>
      <c r="D700">
        <v>11</v>
      </c>
      <c r="E700">
        <v>1.220909090909091</v>
      </c>
      <c r="F700">
        <v>0.1042442293373045</v>
      </c>
      <c r="G700">
        <v>-0.0391328755245639</v>
      </c>
      <c r="H700">
        <v>0.003</v>
      </c>
      <c r="I700">
        <v>0.0587070810487158</v>
      </c>
      <c r="J700" t="s">
        <v>782</v>
      </c>
      <c r="K700" t="s">
        <v>350</v>
      </c>
      <c r="L700">
        <v>1.38</v>
      </c>
      <c r="M700">
        <v>1.4</v>
      </c>
      <c r="N700">
        <v>1.014492753623188</v>
      </c>
      <c r="O700">
        <v>0</v>
      </c>
      <c r="P700">
        <v>-0.01471229526229867</v>
      </c>
      <c r="Q700">
        <v>0.312957382694791</v>
      </c>
      <c r="R700" t="s">
        <v>786</v>
      </c>
      <c r="S700" t="s">
        <v>798</v>
      </c>
      <c r="T700">
        <v>1877.378285</v>
      </c>
      <c r="U700" s="2">
        <v>44503</v>
      </c>
      <c r="V700" t="s">
        <v>808</v>
      </c>
    </row>
    <row r="701" spans="1:22">
      <c r="A701" s="1" t="s">
        <v>721</v>
      </c>
      <c r="B701">
        <f>HYPERLINK("https://www.suredividend.com/sure-analysis-PBA/","Pembina Pipeline Corporation")</f>
        <v>0</v>
      </c>
      <c r="C701">
        <v>29.52</v>
      </c>
      <c r="D701">
        <v>24</v>
      </c>
      <c r="E701">
        <v>1.23</v>
      </c>
      <c r="F701">
        <v>0.06775067750677508</v>
      </c>
      <c r="G701">
        <v>-0.04055744387400284</v>
      </c>
      <c r="H701">
        <v>0.04</v>
      </c>
      <c r="I701">
        <v>0.0583594959834921</v>
      </c>
      <c r="J701" t="s">
        <v>782</v>
      </c>
      <c r="K701" t="s">
        <v>350</v>
      </c>
      <c r="L701">
        <v>2</v>
      </c>
      <c r="M701">
        <v>2</v>
      </c>
      <c r="N701">
        <v>1</v>
      </c>
      <c r="O701">
        <v>5</v>
      </c>
      <c r="P701">
        <v>0</v>
      </c>
      <c r="Q701">
        <v>0.164823283838866</v>
      </c>
      <c r="R701" t="s">
        <v>784</v>
      </c>
      <c r="S701" t="s">
        <v>797</v>
      </c>
      <c r="T701">
        <v>16243.527128</v>
      </c>
      <c r="U701" s="2">
        <v>44512</v>
      </c>
      <c r="V701" t="s">
        <v>807</v>
      </c>
    </row>
    <row r="702" spans="1:22">
      <c r="A702" s="1" t="s">
        <v>722</v>
      </c>
      <c r="B702">
        <f>HYPERLINK("https://www.suredividend.com/sure-analysis-DX/","Dynex Capital, Inc.")</f>
        <v>0</v>
      </c>
      <c r="C702">
        <v>17.08</v>
      </c>
      <c r="D702">
        <v>15.6</v>
      </c>
      <c r="E702">
        <v>1.094871794871795</v>
      </c>
      <c r="F702">
        <v>0.09133489461358316</v>
      </c>
      <c r="G702">
        <v>-0.01796414082312625</v>
      </c>
      <c r="H702">
        <v>-0.0016</v>
      </c>
      <c r="I702">
        <v>0.05821067656742995</v>
      </c>
      <c r="J702" t="s">
        <v>782</v>
      </c>
      <c r="K702" t="s">
        <v>350</v>
      </c>
      <c r="L702">
        <v>1.95</v>
      </c>
      <c r="M702">
        <v>1.56</v>
      </c>
      <c r="N702">
        <v>0.8</v>
      </c>
      <c r="O702">
        <v>0</v>
      </c>
      <c r="P702">
        <v>-0.02706716144586752</v>
      </c>
      <c r="Q702">
        <v>0.027702231100628</v>
      </c>
      <c r="R702" t="s">
        <v>786</v>
      </c>
      <c r="S702" t="s">
        <v>798</v>
      </c>
      <c r="T702">
        <v>626.251949</v>
      </c>
      <c r="U702" s="2">
        <v>44503</v>
      </c>
      <c r="V702" t="s">
        <v>808</v>
      </c>
    </row>
    <row r="703" spans="1:22">
      <c r="A703" s="1" t="s">
        <v>723</v>
      </c>
      <c r="B703">
        <f>HYPERLINK("https://www.suredividend.com/sure-analysis-MAIN/","Main Street Capital Corporation")</f>
        <v>0</v>
      </c>
      <c r="C703">
        <v>43.91</v>
      </c>
      <c r="D703">
        <v>40</v>
      </c>
      <c r="E703">
        <v>1.09775</v>
      </c>
      <c r="F703">
        <v>0.05739011614666364</v>
      </c>
      <c r="G703">
        <v>-0.01847964428995019</v>
      </c>
      <c r="H703">
        <v>0.025</v>
      </c>
      <c r="I703">
        <v>0.05812535998515367</v>
      </c>
      <c r="J703" t="s">
        <v>782</v>
      </c>
      <c r="K703" t="s">
        <v>350</v>
      </c>
      <c r="L703">
        <v>2.55</v>
      </c>
      <c r="M703">
        <v>2.52</v>
      </c>
      <c r="N703">
        <v>0.9882352941176471</v>
      </c>
      <c r="O703">
        <v>6</v>
      </c>
      <c r="P703">
        <v>0.01011092110060052</v>
      </c>
      <c r="Q703">
        <v>0.4898482668765771</v>
      </c>
      <c r="R703" t="s">
        <v>787</v>
      </c>
      <c r="S703" t="s">
        <v>793</v>
      </c>
      <c r="T703">
        <v>3055.397917</v>
      </c>
      <c r="U703" s="2">
        <v>44511</v>
      </c>
      <c r="V703" t="s">
        <v>805</v>
      </c>
    </row>
    <row r="704" spans="1:22">
      <c r="A704" s="1" t="s">
        <v>724</v>
      </c>
      <c r="B704">
        <f>HYPERLINK("https://www.suredividend.com/sure-analysis-NSA/","National Storage Affiliates Trust")</f>
        <v>0</v>
      </c>
      <c r="C704">
        <v>63.3</v>
      </c>
      <c r="D704">
        <v>49</v>
      </c>
      <c r="E704">
        <v>1.291836734693877</v>
      </c>
      <c r="F704">
        <v>0.02843601895734597</v>
      </c>
      <c r="G704">
        <v>-0.04992372316730964</v>
      </c>
      <c r="H704">
        <v>0.08</v>
      </c>
      <c r="I704">
        <v>0.05583978185330207</v>
      </c>
      <c r="J704" t="s">
        <v>782</v>
      </c>
      <c r="K704" t="s">
        <v>526</v>
      </c>
      <c r="L704">
        <v>2.21</v>
      </c>
      <c r="M704">
        <v>1.8</v>
      </c>
      <c r="N704">
        <v>0.8144796380090498</v>
      </c>
      <c r="O704">
        <v>6</v>
      </c>
      <c r="P704">
        <v>0.06961037572506878</v>
      </c>
      <c r="Q704">
        <v>0.9081035620947541</v>
      </c>
      <c r="R704" t="s">
        <v>786</v>
      </c>
      <c r="S704" t="s">
        <v>798</v>
      </c>
      <c r="T704">
        <v>5638.040544</v>
      </c>
      <c r="U704" s="2">
        <v>44505</v>
      </c>
      <c r="V704" t="s">
        <v>799</v>
      </c>
    </row>
    <row r="705" spans="1:22">
      <c r="A705" s="1" t="s">
        <v>725</v>
      </c>
      <c r="B705">
        <f>HYPERLINK("https://www.suredividend.com/sure-analysis-XRX/","Xerox Holdings Corp")</f>
        <v>0</v>
      </c>
      <c r="C705">
        <v>21.15</v>
      </c>
      <c r="D705">
        <v>16</v>
      </c>
      <c r="E705">
        <v>1.321875</v>
      </c>
      <c r="F705">
        <v>0.04728132387706856</v>
      </c>
      <c r="G705">
        <v>-0.05428141841052492</v>
      </c>
      <c r="H705">
        <v>0.07000000000000001</v>
      </c>
      <c r="I705">
        <v>0.05345834317351494</v>
      </c>
      <c r="J705" t="s">
        <v>782</v>
      </c>
      <c r="K705" t="s">
        <v>350</v>
      </c>
      <c r="L705">
        <v>1.6</v>
      </c>
      <c r="M705">
        <v>1</v>
      </c>
      <c r="N705">
        <v>0.625</v>
      </c>
      <c r="O705">
        <v>0</v>
      </c>
      <c r="P705">
        <v>0</v>
      </c>
      <c r="Q705">
        <v>-0.029135126946894</v>
      </c>
      <c r="R705" t="s">
        <v>784</v>
      </c>
      <c r="S705" t="s">
        <v>791</v>
      </c>
      <c r="T705">
        <v>3775.529984</v>
      </c>
      <c r="U705" s="2">
        <v>44512</v>
      </c>
      <c r="V705" t="s">
        <v>804</v>
      </c>
    </row>
    <row r="706" spans="1:22">
      <c r="A706" s="1" t="s">
        <v>726</v>
      </c>
      <c r="B706">
        <f>HYPERLINK("https://www.suredividend.com/sure-analysis-GOOD/","Gladstone Commercial Corp")</f>
        <v>0</v>
      </c>
      <c r="C706">
        <v>22.86</v>
      </c>
      <c r="D706">
        <v>19</v>
      </c>
      <c r="E706">
        <v>1.203157894736842</v>
      </c>
      <c r="F706">
        <v>0.06561679790026247</v>
      </c>
      <c r="G706">
        <v>-0.03631416601137116</v>
      </c>
      <c r="H706">
        <v>0.03</v>
      </c>
      <c r="I706">
        <v>0.05251013868921195</v>
      </c>
      <c r="J706" t="s">
        <v>782</v>
      </c>
      <c r="K706" t="s">
        <v>350</v>
      </c>
      <c r="L706">
        <v>1.56</v>
      </c>
      <c r="M706">
        <v>1.5</v>
      </c>
      <c r="N706">
        <v>0.9615384615384615</v>
      </c>
      <c r="O706">
        <v>0</v>
      </c>
      <c r="P706">
        <v>0</v>
      </c>
      <c r="Q706">
        <v>0.345782508359628</v>
      </c>
      <c r="R706" t="s">
        <v>786</v>
      </c>
      <c r="S706" t="s">
        <v>798</v>
      </c>
      <c r="T706">
        <v>851.95599</v>
      </c>
      <c r="U706" s="2">
        <v>44526</v>
      </c>
      <c r="V706" t="s">
        <v>804</v>
      </c>
    </row>
    <row r="707" spans="1:22">
      <c r="A707" s="1" t="s">
        <v>727</v>
      </c>
      <c r="B707">
        <f>HYPERLINK("https://www.suredividend.com/sure-analysis-SCM/","Stellus Capital Investment Corp")</f>
        <v>0</v>
      </c>
      <c r="C707">
        <v>13.31</v>
      </c>
      <c r="D707">
        <v>11</v>
      </c>
      <c r="E707">
        <v>1.21</v>
      </c>
      <c r="F707">
        <v>0.08414725770097671</v>
      </c>
      <c r="G707">
        <v>-0.03740649734383228</v>
      </c>
      <c r="H707">
        <v>0.01</v>
      </c>
      <c r="I707">
        <v>0.05213984227230206</v>
      </c>
      <c r="J707" t="s">
        <v>782</v>
      </c>
      <c r="K707" t="s">
        <v>350</v>
      </c>
      <c r="L707">
        <v>1.08</v>
      </c>
      <c r="M707">
        <v>1.12</v>
      </c>
      <c r="N707">
        <v>1.037037037037037</v>
      </c>
      <c r="O707">
        <v>0</v>
      </c>
      <c r="P707">
        <v>0</v>
      </c>
      <c r="Q707">
        <v>0.212910986367281</v>
      </c>
      <c r="R707" t="s">
        <v>787</v>
      </c>
      <c r="S707" t="s">
        <v>793</v>
      </c>
      <c r="T707">
        <v>259.3587</v>
      </c>
      <c r="U707" s="2">
        <v>44522</v>
      </c>
      <c r="V707" t="s">
        <v>804</v>
      </c>
    </row>
    <row r="708" spans="1:22">
      <c r="A708" s="1" t="s">
        <v>728</v>
      </c>
      <c r="B708">
        <f>HYPERLINK("https://www.suredividend.com/sure-analysis-ARCC/","Ares Capital Corp")</f>
        <v>0</v>
      </c>
      <c r="C708">
        <v>20.75</v>
      </c>
      <c r="D708">
        <v>16.4</v>
      </c>
      <c r="E708">
        <v>1.265243902439025</v>
      </c>
      <c r="F708">
        <v>0.07903614457831325</v>
      </c>
      <c r="G708">
        <v>-0.04596315088138214</v>
      </c>
      <c r="H708">
        <v>0.019</v>
      </c>
      <c r="I708">
        <v>0.05211660285613129</v>
      </c>
      <c r="J708" t="s">
        <v>782</v>
      </c>
      <c r="K708" t="s">
        <v>350</v>
      </c>
      <c r="L708">
        <v>1.82</v>
      </c>
      <c r="M708">
        <v>1.64</v>
      </c>
      <c r="N708">
        <v>0.901098901098901</v>
      </c>
      <c r="O708">
        <v>4</v>
      </c>
      <c r="P708">
        <v>0.02104646949148603</v>
      </c>
      <c r="Q708">
        <v>0.330989935791762</v>
      </c>
      <c r="R708" t="s">
        <v>787</v>
      </c>
      <c r="S708" t="s">
        <v>793</v>
      </c>
      <c r="T708">
        <v>9560.644233999999</v>
      </c>
      <c r="U708" s="2">
        <v>44496</v>
      </c>
      <c r="V708" t="s">
        <v>808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133.8</v>
      </c>
      <c r="D709">
        <v>92</v>
      </c>
      <c r="E709">
        <v>1.454347826086957</v>
      </c>
      <c r="F709">
        <v>0.03258594917787743</v>
      </c>
      <c r="G709">
        <v>-0.07217441784890444</v>
      </c>
      <c r="H709">
        <v>0.1</v>
      </c>
      <c r="I709">
        <v>0.0515081466718621</v>
      </c>
      <c r="J709" t="s">
        <v>782</v>
      </c>
      <c r="K709" t="s">
        <v>526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1.174185046221744</v>
      </c>
      <c r="R709" t="s">
        <v>784</v>
      </c>
      <c r="S709" t="s">
        <v>793</v>
      </c>
      <c r="T709">
        <v>91903.448579</v>
      </c>
      <c r="U709" s="2">
        <v>44494</v>
      </c>
      <c r="V709" t="s">
        <v>799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30.1</v>
      </c>
      <c r="D710">
        <v>25</v>
      </c>
      <c r="E710">
        <v>1.204</v>
      </c>
      <c r="F710">
        <v>0.06312292358803986</v>
      </c>
      <c r="G710">
        <v>-0.0364490085442325</v>
      </c>
      <c r="H710">
        <v>0.03</v>
      </c>
      <c r="I710">
        <v>0.05035932048631953</v>
      </c>
      <c r="J710" t="s">
        <v>782</v>
      </c>
      <c r="K710" t="s">
        <v>526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0.08784069587097701</v>
      </c>
      <c r="R710" t="s">
        <v>784</v>
      </c>
      <c r="S710" t="s">
        <v>795</v>
      </c>
      <c r="T710">
        <v>1952.747992</v>
      </c>
      <c r="U710" s="2">
        <v>44511</v>
      </c>
      <c r="V710" t="s">
        <v>801</v>
      </c>
    </row>
    <row r="711" spans="1:22">
      <c r="A711" s="1" t="s">
        <v>731</v>
      </c>
      <c r="B711">
        <f>HYPERLINK("https://www.suredividend.com/sure-analysis-CIM/","Chimera Investment Corp")</f>
        <v>0</v>
      </c>
      <c r="C711">
        <v>15.96</v>
      </c>
      <c r="D711">
        <v>12</v>
      </c>
      <c r="E711">
        <v>1.33</v>
      </c>
      <c r="F711">
        <v>0.08270676691729323</v>
      </c>
      <c r="G711">
        <v>-0.05543973558309512</v>
      </c>
      <c r="H711">
        <v>0.02</v>
      </c>
      <c r="I711">
        <v>0.04890357843056581</v>
      </c>
      <c r="J711" t="s">
        <v>782</v>
      </c>
      <c r="K711" t="s">
        <v>350</v>
      </c>
      <c r="L711">
        <v>1.5</v>
      </c>
      <c r="M711">
        <v>1.32</v>
      </c>
      <c r="N711">
        <v>0.88</v>
      </c>
      <c r="O711">
        <v>1</v>
      </c>
      <c r="P711">
        <v>0.02036554426441151</v>
      </c>
      <c r="Q711">
        <v>0.670334276432987</v>
      </c>
      <c r="R711" t="s">
        <v>784</v>
      </c>
      <c r="S711" t="s">
        <v>798</v>
      </c>
      <c r="T711">
        <v>3775.942261</v>
      </c>
      <c r="U711" s="2">
        <v>44515</v>
      </c>
      <c r="V711" t="s">
        <v>807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33.8</v>
      </c>
      <c r="D712">
        <v>31</v>
      </c>
      <c r="E712">
        <v>1.090322580645161</v>
      </c>
      <c r="F712">
        <v>0.03816568047337279</v>
      </c>
      <c r="G712">
        <v>-0.01714602438576052</v>
      </c>
      <c r="H712">
        <v>0.03</v>
      </c>
      <c r="I712">
        <v>0.04778148586581099</v>
      </c>
      <c r="J712" t="s">
        <v>782</v>
      </c>
      <c r="K712" t="s">
        <v>526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0.351383778595424</v>
      </c>
      <c r="R712" t="s">
        <v>786</v>
      </c>
      <c r="S712" t="s">
        <v>798</v>
      </c>
      <c r="T712">
        <v>7462.119467</v>
      </c>
      <c r="U712" s="2">
        <v>44526</v>
      </c>
      <c r="V712" t="s">
        <v>802</v>
      </c>
    </row>
    <row r="713" spans="1:22">
      <c r="A713" s="1" t="s">
        <v>733</v>
      </c>
      <c r="B713">
        <f>HYPERLINK("https://www.suredividend.com/sure-analysis-APTS/","Preferred Apartment Communities Inc")</f>
        <v>0</v>
      </c>
      <c r="C713">
        <v>14.01</v>
      </c>
      <c r="D713">
        <v>12.3</v>
      </c>
      <c r="E713">
        <v>1.139024390243902</v>
      </c>
      <c r="F713">
        <v>0.04996431120628123</v>
      </c>
      <c r="G713">
        <v>-0.025698446032416</v>
      </c>
      <c r="H713">
        <v>0.02</v>
      </c>
      <c r="I713">
        <v>0.04739635275421361</v>
      </c>
      <c r="J713" t="s">
        <v>782</v>
      </c>
      <c r="K713" t="s">
        <v>350</v>
      </c>
      <c r="L713">
        <v>1.04</v>
      </c>
      <c r="M713">
        <v>0.7</v>
      </c>
      <c r="N713">
        <v>0.673076923076923</v>
      </c>
      <c r="O713">
        <v>0</v>
      </c>
      <c r="P713">
        <v>0.05154749679728043</v>
      </c>
      <c r="Q713">
        <v>0.883517873239247</v>
      </c>
      <c r="R713" t="s">
        <v>786</v>
      </c>
      <c r="S713" t="s">
        <v>798</v>
      </c>
      <c r="T713">
        <v>741.246142</v>
      </c>
      <c r="U713" s="2">
        <v>44515</v>
      </c>
      <c r="V713" t="s">
        <v>807</v>
      </c>
    </row>
    <row r="714" spans="1:22">
      <c r="A714" s="1" t="s">
        <v>734</v>
      </c>
      <c r="B714">
        <f>HYPERLINK("https://www.suredividend.com/sure-analysis-HTGC/","Hercules Capital Inc")</f>
        <v>0</v>
      </c>
      <c r="C714">
        <v>16.55</v>
      </c>
      <c r="D714">
        <v>13.7</v>
      </c>
      <c r="E714">
        <v>1.208029197080292</v>
      </c>
      <c r="F714">
        <v>0.07975830815709969</v>
      </c>
      <c r="G714">
        <v>-0.03709262325444695</v>
      </c>
      <c r="H714">
        <v>0.001</v>
      </c>
      <c r="I714">
        <v>0.04630844569012349</v>
      </c>
      <c r="J714" t="s">
        <v>782</v>
      </c>
      <c r="K714" t="s">
        <v>350</v>
      </c>
      <c r="L714">
        <v>1.28</v>
      </c>
      <c r="M714">
        <v>1.32</v>
      </c>
      <c r="N714">
        <v>1.03125</v>
      </c>
      <c r="O714">
        <v>0</v>
      </c>
      <c r="P714">
        <v>0.01896393794917839</v>
      </c>
      <c r="Q714">
        <v>0.268393623543838</v>
      </c>
      <c r="R714" t="s">
        <v>787</v>
      </c>
      <c r="S714" t="s">
        <v>793</v>
      </c>
      <c r="T714">
        <v>1918.135434</v>
      </c>
      <c r="U714" s="2">
        <v>44506</v>
      </c>
      <c r="V714" t="s">
        <v>808</v>
      </c>
    </row>
    <row r="715" spans="1:22">
      <c r="A715" s="1" t="s">
        <v>735</v>
      </c>
      <c r="B715">
        <f>HYPERLINK("https://www.suredividend.com/sure-analysis-GWRS/","Global Water Resources Inc")</f>
        <v>0</v>
      </c>
      <c r="C715">
        <v>17.25</v>
      </c>
      <c r="D715">
        <v>15</v>
      </c>
      <c r="E715">
        <v>1.15</v>
      </c>
      <c r="F715">
        <v>0.01681159420289855</v>
      </c>
      <c r="G715">
        <v>-0.02756533520359794</v>
      </c>
      <c r="H715">
        <v>0.06</v>
      </c>
      <c r="I715">
        <v>0.04612115846271259</v>
      </c>
      <c r="J715" t="s">
        <v>782</v>
      </c>
      <c r="K715" t="s">
        <v>782</v>
      </c>
      <c r="L715">
        <v>0.4</v>
      </c>
      <c r="M715">
        <v>0.29</v>
      </c>
      <c r="N715">
        <v>0.7249999999999999</v>
      </c>
      <c r="O715">
        <v>6</v>
      </c>
      <c r="P715">
        <v>0.01988310171094443</v>
      </c>
      <c r="Q715">
        <v>0.208127017922301</v>
      </c>
      <c r="R715" t="s">
        <v>784</v>
      </c>
      <c r="S715" t="s">
        <v>796</v>
      </c>
      <c r="T715">
        <v>390.698459</v>
      </c>
      <c r="U715" s="2">
        <v>44513</v>
      </c>
      <c r="V715" t="s">
        <v>799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6.23</v>
      </c>
      <c r="D716">
        <v>4.8</v>
      </c>
      <c r="E716">
        <v>1.297916666666667</v>
      </c>
      <c r="F716">
        <v>0.09630818619582664</v>
      </c>
      <c r="G716">
        <v>-0.05081549893936277</v>
      </c>
      <c r="H716">
        <v>0</v>
      </c>
      <c r="I716">
        <v>0.04597501610356214</v>
      </c>
      <c r="J716" t="s">
        <v>782</v>
      </c>
      <c r="K716" t="s">
        <v>350</v>
      </c>
      <c r="L716">
        <v>0.6</v>
      </c>
      <c r="M716">
        <v>0.6</v>
      </c>
      <c r="N716">
        <v>1</v>
      </c>
      <c r="O716">
        <v>1</v>
      </c>
      <c r="P716">
        <v>0</v>
      </c>
      <c r="Q716">
        <v>1.272312798628588</v>
      </c>
      <c r="R716" t="s">
        <v>784</v>
      </c>
      <c r="S716" t="s">
        <v>797</v>
      </c>
      <c r="T716">
        <v>290.372799</v>
      </c>
      <c r="U716" s="2">
        <v>44519</v>
      </c>
      <c r="V716" t="s">
        <v>807</v>
      </c>
    </row>
    <row r="717" spans="1:22">
      <c r="A717" s="1" t="s">
        <v>737</v>
      </c>
      <c r="B717">
        <f>HYPERLINK("https://www.suredividend.com/sure-analysis-OXSQ/","Oxford Square Capital Corp")</f>
        <v>0</v>
      </c>
      <c r="C717">
        <v>4.15</v>
      </c>
      <c r="D717">
        <v>3.4</v>
      </c>
      <c r="E717">
        <v>1.220588235294118</v>
      </c>
      <c r="F717">
        <v>0.1012048192771084</v>
      </c>
      <c r="G717">
        <v>-0.03908236427248346</v>
      </c>
      <c r="H717">
        <v>0</v>
      </c>
      <c r="I717">
        <v>0.04439327853070374</v>
      </c>
      <c r="J717" t="s">
        <v>782</v>
      </c>
      <c r="K717" t="s">
        <v>350</v>
      </c>
      <c r="L717">
        <v>0.34</v>
      </c>
      <c r="M717">
        <v>0.42</v>
      </c>
      <c r="N717">
        <v>1.235294117647059</v>
      </c>
      <c r="O717">
        <v>0</v>
      </c>
      <c r="P717">
        <v>-0.05892880441130122</v>
      </c>
      <c r="Q717">
        <v>0.4214275928209341</v>
      </c>
      <c r="R717" t="s">
        <v>787</v>
      </c>
      <c r="S717" t="s">
        <v>793</v>
      </c>
      <c r="T717">
        <v>206.069391</v>
      </c>
      <c r="U717" s="2">
        <v>44502</v>
      </c>
      <c r="V717" t="s">
        <v>799</v>
      </c>
    </row>
    <row r="718" spans="1:22">
      <c r="A718" s="1" t="s">
        <v>738</v>
      </c>
      <c r="B718">
        <f>HYPERLINK("https://www.suredividend.com/sure-analysis-MNR/","Monmouth Real Estate Investment Corp.")</f>
        <v>0</v>
      </c>
      <c r="C718">
        <v>20.91</v>
      </c>
      <c r="D718">
        <v>19.11</v>
      </c>
      <c r="E718">
        <v>1.094191522762951</v>
      </c>
      <c r="F718">
        <v>0.03443328550932568</v>
      </c>
      <c r="G718">
        <v>-0.01784206246323639</v>
      </c>
      <c r="H718">
        <v>0.03</v>
      </c>
      <c r="I718">
        <v>0.044224580391929</v>
      </c>
      <c r="J718" t="s">
        <v>782</v>
      </c>
      <c r="K718" t="s">
        <v>526</v>
      </c>
      <c r="L718">
        <v>0.91</v>
      </c>
      <c r="M718">
        <v>0.72</v>
      </c>
      <c r="N718">
        <v>0.7912087912087912</v>
      </c>
      <c r="O718">
        <v>1</v>
      </c>
      <c r="P718">
        <v>0.01872958559274807</v>
      </c>
      <c r="Q718">
        <v>0.417204359377541</v>
      </c>
      <c r="R718" t="s">
        <v>786</v>
      </c>
      <c r="S718" t="s">
        <v>798</v>
      </c>
      <c r="T718">
        <v>2056.277189</v>
      </c>
      <c r="U718" s="2">
        <v>44520</v>
      </c>
      <c r="V718" t="s">
        <v>799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30.45</v>
      </c>
      <c r="D719">
        <v>24.3</v>
      </c>
      <c r="E719">
        <v>1.253086419753086</v>
      </c>
      <c r="F719">
        <v>0.08144499178981937</v>
      </c>
      <c r="G719">
        <v>-0.04411907465028275</v>
      </c>
      <c r="H719">
        <v>0.004</v>
      </c>
      <c r="I719">
        <v>0.040800641163935</v>
      </c>
      <c r="J719" t="s">
        <v>782</v>
      </c>
      <c r="K719" t="s">
        <v>350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0.174206041529245</v>
      </c>
      <c r="R719" t="s">
        <v>786</v>
      </c>
      <c r="S719" t="s">
        <v>798</v>
      </c>
      <c r="T719">
        <v>5094.981815</v>
      </c>
      <c r="U719" s="2">
        <v>44503</v>
      </c>
      <c r="V719" t="s">
        <v>808</v>
      </c>
    </row>
    <row r="720" spans="1:22">
      <c r="A720" s="1" t="s">
        <v>740</v>
      </c>
      <c r="B720">
        <f>HYPERLINK("https://www.suredividend.com/sure-analysis-PRT/","PermRock Royalty Trust")</f>
        <v>0</v>
      </c>
      <c r="C720">
        <v>7.02</v>
      </c>
      <c r="D720">
        <v>4.13</v>
      </c>
      <c r="E720">
        <v>1.699757869249395</v>
      </c>
      <c r="F720">
        <v>0.07834757834757836</v>
      </c>
      <c r="G720">
        <v>-0.1006627377679001</v>
      </c>
      <c r="H720">
        <v>0.05</v>
      </c>
      <c r="I720">
        <v>0.03793847020263152</v>
      </c>
      <c r="J720" t="s">
        <v>782</v>
      </c>
      <c r="K720" t="s">
        <v>350</v>
      </c>
      <c r="L720">
        <v>0.55</v>
      </c>
      <c r="M720">
        <v>0.55</v>
      </c>
      <c r="N720">
        <v>1</v>
      </c>
      <c r="O720">
        <v>0</v>
      </c>
      <c r="P720">
        <v>0.04941452284458392</v>
      </c>
      <c r="Q720">
        <v>1.601252454885685</v>
      </c>
      <c r="R720" t="s">
        <v>784</v>
      </c>
      <c r="S720" t="s">
        <v>797</v>
      </c>
      <c r="T720">
        <v>85.40343900000001</v>
      </c>
      <c r="U720" s="2">
        <v>44516</v>
      </c>
      <c r="V720" t="s">
        <v>805</v>
      </c>
    </row>
    <row r="721" spans="1:22">
      <c r="A721" s="1" t="s">
        <v>741</v>
      </c>
      <c r="B721">
        <f>HYPERLINK("https://www.suredividend.com/sure-analysis-SBR/","Sabine Royalty Trust")</f>
        <v>0</v>
      </c>
      <c r="C721">
        <v>42.44</v>
      </c>
      <c r="D721">
        <v>32</v>
      </c>
      <c r="E721">
        <v>1.32625</v>
      </c>
      <c r="F721">
        <v>0.07422243166823751</v>
      </c>
      <c r="G721">
        <v>-0.05490618585591678</v>
      </c>
      <c r="H721">
        <v>0.01</v>
      </c>
      <c r="I721">
        <v>0.03274690098262378</v>
      </c>
      <c r="J721" t="s">
        <v>782</v>
      </c>
      <c r="K721" t="s">
        <v>350</v>
      </c>
      <c r="L721">
        <v>3.15</v>
      </c>
      <c r="M721">
        <v>3.15</v>
      </c>
      <c r="N721">
        <v>1</v>
      </c>
      <c r="O721">
        <v>0</v>
      </c>
      <c r="P721">
        <v>0.009958405478199817</v>
      </c>
      <c r="Q721">
        <v>0.46651278188214</v>
      </c>
      <c r="R721" t="s">
        <v>784</v>
      </c>
      <c r="S721" t="s">
        <v>797</v>
      </c>
      <c r="T721">
        <v>618.747402</v>
      </c>
      <c r="U721" s="2">
        <v>44519</v>
      </c>
      <c r="V721" t="s">
        <v>807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51.71</v>
      </c>
      <c r="D722">
        <v>40</v>
      </c>
      <c r="E722">
        <v>1.29275</v>
      </c>
      <c r="F722">
        <v>0.05434152001547089</v>
      </c>
      <c r="G722">
        <v>-0.05005799769726604</v>
      </c>
      <c r="H722">
        <v>0.03</v>
      </c>
      <c r="I722">
        <v>0.03234057859164241</v>
      </c>
      <c r="J722" t="s">
        <v>782</v>
      </c>
      <c r="K722" t="s">
        <v>526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0.193898876534229</v>
      </c>
      <c r="R722" t="s">
        <v>784</v>
      </c>
      <c r="S722" t="s">
        <v>788</v>
      </c>
      <c r="T722">
        <v>46987.530627</v>
      </c>
      <c r="U722" s="2">
        <v>44517</v>
      </c>
      <c r="V722" t="s">
        <v>809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8.460000000000001</v>
      </c>
      <c r="D723">
        <v>6.3</v>
      </c>
      <c r="E723">
        <v>1.342857142857143</v>
      </c>
      <c r="F723">
        <v>0.08510638297872339</v>
      </c>
      <c r="G723">
        <v>-0.05725543512706488</v>
      </c>
      <c r="H723">
        <v>0</v>
      </c>
      <c r="I723">
        <v>0.03193648198855303</v>
      </c>
      <c r="J723" t="s">
        <v>782</v>
      </c>
      <c r="K723" t="s">
        <v>350</v>
      </c>
      <c r="L723">
        <v>0.74</v>
      </c>
      <c r="M723">
        <v>0.72</v>
      </c>
      <c r="N723">
        <v>0.9729729729729729</v>
      </c>
      <c r="O723">
        <v>0</v>
      </c>
      <c r="P723">
        <v>0</v>
      </c>
      <c r="Q723">
        <v>0.69767021852989</v>
      </c>
      <c r="R723" t="s">
        <v>787</v>
      </c>
      <c r="S723" t="s">
        <v>793</v>
      </c>
      <c r="T723">
        <v>3298.27059</v>
      </c>
      <c r="U723" s="2">
        <v>44541</v>
      </c>
      <c r="V723" t="s">
        <v>804</v>
      </c>
    </row>
    <row r="724" spans="1:22">
      <c r="A724" s="1" t="s">
        <v>744</v>
      </c>
      <c r="B724">
        <f>HYPERLINK("https://www.suredividend.com/sure-analysis-ACC/","American Campus Communities Inc.")</f>
        <v>0</v>
      </c>
      <c r="C724">
        <v>54.44</v>
      </c>
      <c r="D724">
        <v>40</v>
      </c>
      <c r="E724">
        <v>1.361</v>
      </c>
      <c r="F724">
        <v>0.03453343130051433</v>
      </c>
      <c r="G724">
        <v>-0.05978240337345597</v>
      </c>
      <c r="H724">
        <v>0.06</v>
      </c>
      <c r="I724">
        <v>0.03180737652700594</v>
      </c>
      <c r="J724" t="s">
        <v>782</v>
      </c>
      <c r="K724" t="s">
        <v>526</v>
      </c>
      <c r="L724">
        <v>2.1</v>
      </c>
      <c r="M724">
        <v>1.88</v>
      </c>
      <c r="N724">
        <v>0.8952380952380952</v>
      </c>
      <c r="O724">
        <v>8</v>
      </c>
      <c r="P724">
        <v>0.02528440313403202</v>
      </c>
      <c r="Q724">
        <v>0.317439186736052</v>
      </c>
      <c r="R724" t="s">
        <v>786</v>
      </c>
      <c r="S724" t="s">
        <v>798</v>
      </c>
      <c r="T724">
        <v>7574.297603</v>
      </c>
      <c r="U724" s="2">
        <v>44498</v>
      </c>
      <c r="V724" t="s">
        <v>799</v>
      </c>
    </row>
    <row r="725" spans="1:22">
      <c r="A725" s="1" t="s">
        <v>745</v>
      </c>
      <c r="B725">
        <f>HYPERLINK("https://www.suredividend.com/sure-analysis-LADR/","Ladder Capital Corp")</f>
        <v>0</v>
      </c>
      <c r="C725">
        <v>11.59</v>
      </c>
      <c r="D725">
        <v>8.5</v>
      </c>
      <c r="E725">
        <v>1.363529411764706</v>
      </c>
      <c r="F725">
        <v>0.06902502157031924</v>
      </c>
      <c r="G725">
        <v>-0.06013149215204583</v>
      </c>
      <c r="H725">
        <v>0.02</v>
      </c>
      <c r="I725">
        <v>0.03103924276293801</v>
      </c>
      <c r="J725" t="s">
        <v>782</v>
      </c>
      <c r="K725" t="s">
        <v>526</v>
      </c>
      <c r="L725">
        <v>0.4</v>
      </c>
      <c r="M725">
        <v>0.8</v>
      </c>
      <c r="N725">
        <v>2</v>
      </c>
      <c r="O725">
        <v>0</v>
      </c>
      <c r="P725">
        <v>0.009805797673485328</v>
      </c>
      <c r="Q725">
        <v>0.30879114674496</v>
      </c>
      <c r="R725" t="s">
        <v>786</v>
      </c>
      <c r="S725" t="s">
        <v>798</v>
      </c>
      <c r="T725">
        <v>1454.093778</v>
      </c>
      <c r="U725" s="2">
        <v>44513</v>
      </c>
      <c r="V725" t="s">
        <v>805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24.49</v>
      </c>
      <c r="D726">
        <v>18.7</v>
      </c>
      <c r="E726">
        <v>1.309625668449198</v>
      </c>
      <c r="F726">
        <v>0.01959983666802777</v>
      </c>
      <c r="G726">
        <v>-0.05251888101878066</v>
      </c>
      <c r="H726">
        <v>0.059</v>
      </c>
      <c r="I726">
        <v>0.02862704695451934</v>
      </c>
      <c r="J726" t="s">
        <v>782</v>
      </c>
      <c r="K726" t="s">
        <v>782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0.906830798937967</v>
      </c>
      <c r="R726" t="s">
        <v>786</v>
      </c>
      <c r="S726" t="s">
        <v>798</v>
      </c>
      <c r="T726">
        <v>2574.191484</v>
      </c>
      <c r="U726" s="2">
        <v>44503</v>
      </c>
      <c r="V726" t="s">
        <v>808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33.93</v>
      </c>
      <c r="D727">
        <v>25</v>
      </c>
      <c r="E727">
        <v>1.3572</v>
      </c>
      <c r="F727">
        <v>0.05305039787798409</v>
      </c>
      <c r="G727">
        <v>-0.05925649235393238</v>
      </c>
      <c r="H727">
        <v>0.03</v>
      </c>
      <c r="I727">
        <v>0.02425886811049938</v>
      </c>
      <c r="J727" t="s">
        <v>782</v>
      </c>
      <c r="K727" t="s">
        <v>526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0.7334484537925891</v>
      </c>
      <c r="R727" t="s">
        <v>786</v>
      </c>
      <c r="S727" t="s">
        <v>798</v>
      </c>
      <c r="T727">
        <v>709.516439</v>
      </c>
      <c r="U727" s="2">
        <v>44513</v>
      </c>
      <c r="V727" t="s">
        <v>805</v>
      </c>
    </row>
    <row r="728" spans="1:22">
      <c r="A728" s="1" t="s">
        <v>748</v>
      </c>
      <c r="B728">
        <f>HYPERLINK("https://www.suredividend.com/sure-analysis-LSI/","Life Storage Inc")</f>
        <v>0</v>
      </c>
      <c r="C728">
        <v>140.06</v>
      </c>
      <c r="D728">
        <v>88</v>
      </c>
      <c r="E728">
        <v>1.591590909090909</v>
      </c>
      <c r="F728">
        <v>0.02456090247036984</v>
      </c>
      <c r="G728">
        <v>-0.08875803891231704</v>
      </c>
      <c r="H728">
        <v>0.09</v>
      </c>
      <c r="I728">
        <v>0.02171804086919238</v>
      </c>
      <c r="J728" t="s">
        <v>782</v>
      </c>
      <c r="K728" t="s">
        <v>782</v>
      </c>
      <c r="L728">
        <v>4.85</v>
      </c>
      <c r="M728">
        <v>3.44</v>
      </c>
      <c r="N728">
        <v>0.709278350515464</v>
      </c>
      <c r="O728">
        <v>3</v>
      </c>
      <c r="P728">
        <v>0.05983895403096029</v>
      </c>
      <c r="Q728">
        <v>0.8946946925280901</v>
      </c>
      <c r="R728" t="s">
        <v>786</v>
      </c>
      <c r="S728" t="s">
        <v>798</v>
      </c>
      <c r="T728">
        <v>11487.200597</v>
      </c>
      <c r="U728" s="2">
        <v>44518</v>
      </c>
      <c r="V728" t="s">
        <v>807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71.11</v>
      </c>
      <c r="D729">
        <v>45</v>
      </c>
      <c r="E729">
        <v>1.580222222222222</v>
      </c>
      <c r="F729">
        <v>0.04725073829278582</v>
      </c>
      <c r="G729">
        <v>-0.08745063542560372</v>
      </c>
      <c r="H729">
        <v>0.055</v>
      </c>
      <c r="I729">
        <v>0.02100875494147147</v>
      </c>
      <c r="J729" t="s">
        <v>782</v>
      </c>
      <c r="K729" t="s">
        <v>526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0.6486880060846091</v>
      </c>
      <c r="R729" t="s">
        <v>784</v>
      </c>
      <c r="S729" t="s">
        <v>794</v>
      </c>
      <c r="T729">
        <v>4338.730394</v>
      </c>
      <c r="U729" s="2">
        <v>44512</v>
      </c>
      <c r="V729" t="s">
        <v>805</v>
      </c>
    </row>
    <row r="730" spans="1:22">
      <c r="A730" s="1" t="s">
        <v>750</v>
      </c>
      <c r="B730">
        <f>HYPERLINK("https://www.suredividend.com/sure-analysis-IRM/","Iron Mountain Inc.")</f>
        <v>0</v>
      </c>
      <c r="C730">
        <v>48.42</v>
      </c>
      <c r="D730">
        <v>37</v>
      </c>
      <c r="E730">
        <v>1.308648648648649</v>
      </c>
      <c r="F730">
        <v>0.05101197852127221</v>
      </c>
      <c r="G730">
        <v>-0.0523774478709107</v>
      </c>
      <c r="H730">
        <v>0.02</v>
      </c>
      <c r="I730">
        <v>0.02049075723904048</v>
      </c>
      <c r="J730" t="s">
        <v>782</v>
      </c>
      <c r="K730" t="s">
        <v>350</v>
      </c>
      <c r="L730">
        <v>3.39</v>
      </c>
      <c r="M730">
        <v>2.47</v>
      </c>
      <c r="N730">
        <v>0.728613569321534</v>
      </c>
      <c r="O730">
        <v>10</v>
      </c>
      <c r="P730">
        <v>0.01031145931793609</v>
      </c>
      <c r="Q730">
        <v>0.699263371784928</v>
      </c>
      <c r="R730" t="s">
        <v>786</v>
      </c>
      <c r="S730" t="s">
        <v>798</v>
      </c>
      <c r="T730">
        <v>14019.986693</v>
      </c>
      <c r="U730" s="2">
        <v>44511</v>
      </c>
      <c r="V730" t="s">
        <v>803</v>
      </c>
    </row>
    <row r="731" spans="1:22">
      <c r="A731" s="1" t="s">
        <v>751</v>
      </c>
      <c r="B731">
        <f>HYPERLINK("https://www.suredividend.com/sure-analysis-EQR/","Equity Residential Properties Trust")</f>
        <v>0</v>
      </c>
      <c r="C731">
        <v>86.87</v>
      </c>
      <c r="D731">
        <v>65</v>
      </c>
      <c r="E731">
        <v>1.336461538461539</v>
      </c>
      <c r="F731">
        <v>0.02785771842983769</v>
      </c>
      <c r="G731">
        <v>-0.05635486108462107</v>
      </c>
      <c r="H731">
        <v>0.048</v>
      </c>
      <c r="I731">
        <v>0.02010616232684681</v>
      </c>
      <c r="J731" t="s">
        <v>782</v>
      </c>
      <c r="K731" t="s">
        <v>782</v>
      </c>
      <c r="L731">
        <v>2.95</v>
      </c>
      <c r="M731">
        <v>2.42</v>
      </c>
      <c r="N731">
        <v>0.8203389830508474</v>
      </c>
      <c r="O731">
        <v>1</v>
      </c>
      <c r="P731">
        <v>0.04390548076893097</v>
      </c>
      <c r="Q731">
        <v>0.5242152993593241</v>
      </c>
      <c r="R731" t="s">
        <v>786</v>
      </c>
      <c r="S731" t="s">
        <v>798</v>
      </c>
      <c r="T731">
        <v>32573.909043</v>
      </c>
      <c r="U731" s="2">
        <v>44496</v>
      </c>
      <c r="V731" t="s">
        <v>808</v>
      </c>
    </row>
    <row r="732" spans="1:22">
      <c r="A732" s="1" t="s">
        <v>752</v>
      </c>
      <c r="B732">
        <f>HYPERLINK("https://www.suredividend.com/sure-analysis-PEAK/","Healthpeak Properties Inc")</f>
        <v>0</v>
      </c>
      <c r="C732">
        <v>33.79</v>
      </c>
      <c r="D732">
        <v>24</v>
      </c>
      <c r="E732">
        <v>1.407916666666667</v>
      </c>
      <c r="F732">
        <v>0.03551346552234389</v>
      </c>
      <c r="G732">
        <v>-0.06613390108392969</v>
      </c>
      <c r="H732">
        <v>0.05</v>
      </c>
      <c r="I732">
        <v>0.01951582823581655</v>
      </c>
      <c r="J732" t="s">
        <v>782</v>
      </c>
      <c r="K732" t="s">
        <v>526</v>
      </c>
      <c r="L732">
        <v>1.6</v>
      </c>
      <c r="M732">
        <v>1.2</v>
      </c>
      <c r="N732">
        <v>0.7499999999999999</v>
      </c>
      <c r="O732">
        <v>0</v>
      </c>
      <c r="P732">
        <v>0.03131030647754507</v>
      </c>
      <c r="Q732">
        <v>0.194060441579735</v>
      </c>
      <c r="R732" t="s">
        <v>786</v>
      </c>
      <c r="S732" t="s">
        <v>798</v>
      </c>
      <c r="T732">
        <v>18215.250415</v>
      </c>
      <c r="U732" s="2">
        <v>44515</v>
      </c>
      <c r="V732" t="s">
        <v>807</v>
      </c>
    </row>
    <row r="733" spans="1:22">
      <c r="A733" s="1" t="s">
        <v>753</v>
      </c>
      <c r="B733">
        <f>HYPERLINK("https://www.suredividend.com/sure-analysis-SJR/","Shaw Communications Inc.")</f>
        <v>0</v>
      </c>
      <c r="C733">
        <v>29.52</v>
      </c>
      <c r="D733">
        <v>22</v>
      </c>
      <c r="E733">
        <v>1.341818181818182</v>
      </c>
      <c r="F733">
        <v>0.03252032520325203</v>
      </c>
      <c r="G733">
        <v>-0.05710948813270655</v>
      </c>
      <c r="H733">
        <v>0.045</v>
      </c>
      <c r="I733">
        <v>0.01894357127542712</v>
      </c>
      <c r="J733" t="s">
        <v>782</v>
      </c>
      <c r="K733" t="s">
        <v>526</v>
      </c>
      <c r="L733">
        <v>1.26</v>
      </c>
      <c r="M733">
        <v>0.96</v>
      </c>
      <c r="N733">
        <v>0.7619047619047619</v>
      </c>
      <c r="O733">
        <v>0</v>
      </c>
      <c r="P733">
        <v>0.01417569496143978</v>
      </c>
      <c r="Q733">
        <v>0.682118375091884</v>
      </c>
      <c r="R733" t="s">
        <v>784</v>
      </c>
      <c r="S733" t="s">
        <v>788</v>
      </c>
      <c r="T733">
        <v>14069.476868</v>
      </c>
      <c r="U733" s="2">
        <v>44514</v>
      </c>
      <c r="V733" t="s">
        <v>805</v>
      </c>
    </row>
    <row r="734" spans="1:22">
      <c r="A734" s="1" t="s">
        <v>754</v>
      </c>
      <c r="B734">
        <f>HYPERLINK("https://www.suredividend.com/sure-analysis-PLYM/","Plymouth Industrial Reit Inc")</f>
        <v>0</v>
      </c>
      <c r="C734">
        <v>29.63</v>
      </c>
      <c r="D734">
        <v>20</v>
      </c>
      <c r="E734">
        <v>1.4815</v>
      </c>
      <c r="F734">
        <v>0.02834964562942963</v>
      </c>
      <c r="G734">
        <v>-0.07560057037716572</v>
      </c>
      <c r="H734">
        <v>0.07000000000000001</v>
      </c>
      <c r="I734">
        <v>0.01784814293593517</v>
      </c>
      <c r="J734" t="s">
        <v>782</v>
      </c>
      <c r="K734" t="s">
        <v>526</v>
      </c>
      <c r="L734">
        <v>1.39</v>
      </c>
      <c r="M734">
        <v>0.84</v>
      </c>
      <c r="N734">
        <v>0.6043165467625899</v>
      </c>
      <c r="O734">
        <v>0</v>
      </c>
      <c r="P734">
        <v>0.009347419909568888</v>
      </c>
      <c r="Q734">
        <v>1.330483478972165</v>
      </c>
      <c r="R734" t="s">
        <v>786</v>
      </c>
      <c r="S734" t="s">
        <v>798</v>
      </c>
      <c r="T734">
        <v>1025.35975</v>
      </c>
      <c r="U734" s="2">
        <v>44513</v>
      </c>
      <c r="V734" t="s">
        <v>805</v>
      </c>
    </row>
    <row r="735" spans="1:22">
      <c r="A735" s="1" t="s">
        <v>755</v>
      </c>
      <c r="B735">
        <f>HYPERLINK("https://www.suredividend.com/sure-analysis-EGP/","Eastgroup Properties, Inc.")</f>
        <v>0</v>
      </c>
      <c r="C735">
        <v>214.05</v>
      </c>
      <c r="D735">
        <v>145</v>
      </c>
      <c r="E735">
        <v>1.476206896551724</v>
      </c>
      <c r="F735">
        <v>0.0205559448726933</v>
      </c>
      <c r="G735">
        <v>-0.07493861178509309</v>
      </c>
      <c r="H735">
        <v>0.075</v>
      </c>
      <c r="I735">
        <v>0.01630640243955739</v>
      </c>
      <c r="J735" t="s">
        <v>782</v>
      </c>
      <c r="K735" t="s">
        <v>782</v>
      </c>
      <c r="L735">
        <v>6.05</v>
      </c>
      <c r="M735">
        <v>4.4</v>
      </c>
      <c r="N735">
        <v>0.7272727272727274</v>
      </c>
      <c r="O735">
        <v>11</v>
      </c>
      <c r="P735">
        <v>0.02793993925053573</v>
      </c>
      <c r="Q735">
        <v>0.6496822257607541</v>
      </c>
      <c r="R735" t="s">
        <v>786</v>
      </c>
      <c r="S735" t="s">
        <v>798</v>
      </c>
      <c r="T735">
        <v>8708.061793000001</v>
      </c>
      <c r="U735" s="2">
        <v>44500</v>
      </c>
      <c r="V735" t="s">
        <v>799</v>
      </c>
    </row>
    <row r="736" spans="1:22">
      <c r="A736" s="1" t="s">
        <v>756</v>
      </c>
      <c r="B736">
        <f>HYPERLINK("https://www.suredividend.com/sure-analysis-BKR/","Baker Hughes Co")</f>
        <v>0</v>
      </c>
      <c r="C736">
        <v>25.44</v>
      </c>
      <c r="D736">
        <v>13</v>
      </c>
      <c r="E736">
        <v>1.956923076923077</v>
      </c>
      <c r="F736">
        <v>0.02830188679245283</v>
      </c>
      <c r="G736">
        <v>-0.1256501314844007</v>
      </c>
      <c r="H736">
        <v>0.13</v>
      </c>
      <c r="I736">
        <v>0.01607583843939309</v>
      </c>
      <c r="J736" t="s">
        <v>782</v>
      </c>
      <c r="K736" t="s">
        <v>782</v>
      </c>
      <c r="L736">
        <v>0.75</v>
      </c>
      <c r="M736">
        <v>0.72</v>
      </c>
      <c r="N736">
        <v>0.96</v>
      </c>
      <c r="O736">
        <v>0</v>
      </c>
      <c r="P736">
        <v>0</v>
      </c>
      <c r="Q736">
        <v>0.157510624163944</v>
      </c>
      <c r="R736" t="s">
        <v>784</v>
      </c>
      <c r="S736" t="s">
        <v>797</v>
      </c>
      <c r="T736">
        <v>26336.5056</v>
      </c>
      <c r="U736" s="2">
        <v>44491</v>
      </c>
      <c r="V736" t="s">
        <v>807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16.58</v>
      </c>
      <c r="D737">
        <v>11</v>
      </c>
      <c r="E737">
        <v>1.507272727272727</v>
      </c>
      <c r="F737">
        <v>0.05428226779252111</v>
      </c>
      <c r="G737">
        <v>-0.07878366177078799</v>
      </c>
      <c r="H737">
        <v>0.03</v>
      </c>
      <c r="I737">
        <v>0.01107389089228006</v>
      </c>
      <c r="J737" t="s">
        <v>782</v>
      </c>
      <c r="K737" t="s">
        <v>526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0.759580587305124</v>
      </c>
      <c r="R737" t="s">
        <v>787</v>
      </c>
      <c r="S737" t="s">
        <v>793</v>
      </c>
      <c r="T737">
        <v>550.539281</v>
      </c>
      <c r="U737" s="2">
        <v>44512</v>
      </c>
      <c r="V737" t="s">
        <v>803</v>
      </c>
    </row>
    <row r="738" spans="1:22">
      <c r="A738" s="1" t="s">
        <v>758</v>
      </c>
      <c r="B738">
        <f>HYPERLINK("https://www.suredividend.com/sure-analysis-STAG/","STAG Industrial Inc")</f>
        <v>0</v>
      </c>
      <c r="C738">
        <v>44.52</v>
      </c>
      <c r="D738">
        <v>31</v>
      </c>
      <c r="E738">
        <v>1.436129032258065</v>
      </c>
      <c r="F738">
        <v>0.0325696316262354</v>
      </c>
      <c r="G738">
        <v>-0.0698321864024134</v>
      </c>
      <c r="H738">
        <v>0.05</v>
      </c>
      <c r="I738">
        <v>0.01074610867134584</v>
      </c>
      <c r="J738" t="s">
        <v>782</v>
      </c>
      <c r="K738" t="s">
        <v>526</v>
      </c>
      <c r="L738">
        <v>2.04</v>
      </c>
      <c r="M738">
        <v>1.45</v>
      </c>
      <c r="N738">
        <v>0.7107843137254901</v>
      </c>
      <c r="O738">
        <v>10</v>
      </c>
      <c r="P738">
        <v>0.006803348678863008</v>
      </c>
      <c r="Q738">
        <v>0.5246209851133701</v>
      </c>
      <c r="R738" t="s">
        <v>786</v>
      </c>
      <c r="S738" t="s">
        <v>798</v>
      </c>
      <c r="T738">
        <v>7558.216629</v>
      </c>
      <c r="U738" s="2">
        <v>44516</v>
      </c>
      <c r="V738" t="s">
        <v>807</v>
      </c>
    </row>
    <row r="739" spans="1:22">
      <c r="A739" s="1" t="s">
        <v>759</v>
      </c>
      <c r="B739">
        <f>HYPERLINK("https://www.suredividend.com/sure-analysis-ABR/","Arbor Realty Trust Inc.")</f>
        <v>0</v>
      </c>
      <c r="C739">
        <v>18.17</v>
      </c>
      <c r="D739">
        <v>11.5</v>
      </c>
      <c r="E739">
        <v>1.58</v>
      </c>
      <c r="F739">
        <v>0.07925151348376444</v>
      </c>
      <c r="G739">
        <v>-0.08742496740788264</v>
      </c>
      <c r="H739">
        <v>0.008</v>
      </c>
      <c r="I739">
        <v>0.009471789495249849</v>
      </c>
      <c r="J739" t="s">
        <v>782</v>
      </c>
      <c r="K739" t="s">
        <v>350</v>
      </c>
      <c r="L739">
        <v>1.6</v>
      </c>
      <c r="M739">
        <v>1.44</v>
      </c>
      <c r="N739">
        <v>0.8999999999999999</v>
      </c>
      <c r="O739">
        <v>9</v>
      </c>
      <c r="P739">
        <v>-0.005618333193698977</v>
      </c>
      <c r="Q739">
        <v>0.405833901034247</v>
      </c>
      <c r="R739" t="s">
        <v>786</v>
      </c>
      <c r="S739" t="s">
        <v>798</v>
      </c>
      <c r="T739">
        <v>2597.000927</v>
      </c>
      <c r="U739" s="2">
        <v>44506</v>
      </c>
      <c r="V739" t="s">
        <v>808</v>
      </c>
    </row>
    <row r="740" spans="1:22">
      <c r="A740" s="1" t="s">
        <v>760</v>
      </c>
      <c r="B740">
        <f>HYPERLINK("https://www.suredividend.com/sure-analysis-DREUF/","Dream Industrial Real Estate Investment Trust")</f>
        <v>0</v>
      </c>
      <c r="C740">
        <v>13.02</v>
      </c>
      <c r="D740">
        <v>9</v>
      </c>
      <c r="E740">
        <v>1.446666666666667</v>
      </c>
      <c r="F740">
        <v>0.0445468509984639</v>
      </c>
      <c r="G740">
        <v>-0.07119123514275438</v>
      </c>
      <c r="H740">
        <v>0.035</v>
      </c>
      <c r="I740">
        <v>0.009038038086793598</v>
      </c>
      <c r="J740" t="s">
        <v>782</v>
      </c>
      <c r="K740" t="s">
        <v>526</v>
      </c>
      <c r="L740">
        <v>0.65</v>
      </c>
      <c r="M740">
        <v>0.58</v>
      </c>
      <c r="N740">
        <v>0.8923076923076922</v>
      </c>
      <c r="O740">
        <v>0</v>
      </c>
      <c r="P740">
        <v>0.003424737731033467</v>
      </c>
      <c r="Q740">
        <v>0.28705726515159</v>
      </c>
      <c r="R740" t="s">
        <v>786</v>
      </c>
      <c r="S740" t="s">
        <v>793</v>
      </c>
      <c r="T740">
        <v>2991.052076</v>
      </c>
      <c r="U740" s="2">
        <v>44513</v>
      </c>
      <c r="V740" t="s">
        <v>805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58.38</v>
      </c>
      <c r="D741">
        <v>40</v>
      </c>
      <c r="E741">
        <v>1.4595</v>
      </c>
      <c r="F741">
        <v>0.02483727303871188</v>
      </c>
      <c r="G741">
        <v>-0.07283040730893708</v>
      </c>
      <c r="H741">
        <v>0.055</v>
      </c>
      <c r="I741">
        <v>0.007789519544185275</v>
      </c>
      <c r="J741" t="s">
        <v>782</v>
      </c>
      <c r="K741" t="s">
        <v>782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0.5798788705408611</v>
      </c>
      <c r="R741" t="s">
        <v>786</v>
      </c>
      <c r="S741" t="s">
        <v>798</v>
      </c>
      <c r="T741">
        <v>18050.300806</v>
      </c>
      <c r="U741" s="2">
        <v>44512</v>
      </c>
      <c r="V741" t="s">
        <v>805</v>
      </c>
    </row>
    <row r="742" spans="1:22">
      <c r="A742" s="1" t="s">
        <v>762</v>
      </c>
      <c r="B742">
        <f>HYPERLINK("https://www.suredividend.com/sure-analysis-UBA/","Urstadt Biddle Properties, Inc.")</f>
        <v>0</v>
      </c>
      <c r="C742">
        <v>19.66</v>
      </c>
      <c r="D742">
        <v>14</v>
      </c>
      <c r="E742">
        <v>1.404285714285714</v>
      </c>
      <c r="F742">
        <v>0.04679552390640895</v>
      </c>
      <c r="G742">
        <v>-0.06565147478330402</v>
      </c>
      <c r="H742">
        <v>0.018</v>
      </c>
      <c r="I742">
        <v>0.007746054574934158</v>
      </c>
      <c r="J742" t="s">
        <v>782</v>
      </c>
      <c r="K742" t="s">
        <v>350</v>
      </c>
      <c r="L742">
        <v>1.37</v>
      </c>
      <c r="M742">
        <v>0.92</v>
      </c>
      <c r="N742">
        <v>0.6715328467153284</v>
      </c>
      <c r="O742">
        <v>0</v>
      </c>
      <c r="P742">
        <v>0.03638464900130689</v>
      </c>
      <c r="Q742">
        <v>0.421609035822233</v>
      </c>
      <c r="R742" t="s">
        <v>786</v>
      </c>
      <c r="S742" t="s">
        <v>798</v>
      </c>
      <c r="T742">
        <v>762.631811</v>
      </c>
      <c r="U742" s="2">
        <v>44452</v>
      </c>
      <c r="V742" t="s">
        <v>808</v>
      </c>
    </row>
    <row r="743" spans="1:22">
      <c r="A743" s="1" t="s">
        <v>763</v>
      </c>
      <c r="B743">
        <f>HYPERLINK("https://www.suredividend.com/sure-analysis-GLAD/","Gladstone Capital Corp.")</f>
        <v>0</v>
      </c>
      <c r="C743">
        <v>11.51</v>
      </c>
      <c r="D743">
        <v>8</v>
      </c>
      <c r="E743">
        <v>1.43875</v>
      </c>
      <c r="F743">
        <v>0.06776715899218072</v>
      </c>
      <c r="G743">
        <v>-0.07017133055589408</v>
      </c>
      <c r="H743">
        <v>0</v>
      </c>
      <c r="I743">
        <v>0.006686692242305003</v>
      </c>
      <c r="J743" t="s">
        <v>782</v>
      </c>
      <c r="K743" t="s">
        <v>350</v>
      </c>
      <c r="L743">
        <v>0.8</v>
      </c>
      <c r="M743">
        <v>0.78</v>
      </c>
      <c r="N743">
        <v>0.975</v>
      </c>
      <c r="O743">
        <v>0</v>
      </c>
      <c r="P743">
        <v>0</v>
      </c>
      <c r="Q743">
        <v>0.4350547340597961</v>
      </c>
      <c r="R743" t="s">
        <v>784</v>
      </c>
      <c r="S743" t="s">
        <v>793</v>
      </c>
      <c r="T743">
        <v>394.84331</v>
      </c>
      <c r="U743" s="2">
        <v>44520</v>
      </c>
      <c r="V743" t="s">
        <v>804</v>
      </c>
    </row>
    <row r="744" spans="1:22">
      <c r="A744" s="1" t="s">
        <v>764</v>
      </c>
      <c r="B744">
        <f>HYPERLINK("https://www.suredividend.com/sure-analysis-LXP/","Lexington Realty Trust")</f>
        <v>0</v>
      </c>
      <c r="C744">
        <v>15.24</v>
      </c>
      <c r="D744">
        <v>11</v>
      </c>
      <c r="E744">
        <v>1.385454545454545</v>
      </c>
      <c r="F744">
        <v>0.03149606299212598</v>
      </c>
      <c r="G744">
        <v>-0.06312522987794666</v>
      </c>
      <c r="H744">
        <v>0.035</v>
      </c>
      <c r="I744">
        <v>0.003702440127001605</v>
      </c>
      <c r="J744" t="s">
        <v>782</v>
      </c>
      <c r="K744" t="s">
        <v>526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0.486118830997864</v>
      </c>
      <c r="R744" t="s">
        <v>786</v>
      </c>
      <c r="S744" t="s">
        <v>798</v>
      </c>
      <c r="T744">
        <v>4310.137664</v>
      </c>
      <c r="U744" s="2">
        <v>44513</v>
      </c>
      <c r="V744" t="s">
        <v>805</v>
      </c>
    </row>
    <row r="745" spans="1:22">
      <c r="A745" s="1" t="s">
        <v>765</v>
      </c>
      <c r="B745">
        <f>HYPERLINK("https://www.suredividend.com/sure-analysis-PPRQF/","Choice Properties Real Estate Investment Trust")</f>
        <v>0</v>
      </c>
      <c r="C745">
        <v>11.3545</v>
      </c>
      <c r="D745">
        <v>6.7</v>
      </c>
      <c r="E745">
        <v>1.694701492537313</v>
      </c>
      <c r="F745">
        <v>0.05196177726892421</v>
      </c>
      <c r="G745">
        <v>-0.1001267176369836</v>
      </c>
      <c r="H745">
        <v>0.049</v>
      </c>
      <c r="I745">
        <v>0.0008031232821084089</v>
      </c>
      <c r="J745" t="s">
        <v>782</v>
      </c>
      <c r="K745" t="s">
        <v>526</v>
      </c>
      <c r="L745">
        <v>0.67</v>
      </c>
      <c r="M745">
        <v>0.59</v>
      </c>
      <c r="N745">
        <v>0.880597014925373</v>
      </c>
      <c r="O745">
        <v>1</v>
      </c>
      <c r="P745">
        <v>-0.006873503878979115</v>
      </c>
      <c r="Q745">
        <v>0.079345614935645</v>
      </c>
      <c r="R745" t="s">
        <v>786</v>
      </c>
      <c r="S745" t="s">
        <v>793</v>
      </c>
      <c r="T745">
        <v>3718.777231</v>
      </c>
      <c r="U745" s="2">
        <v>44509</v>
      </c>
      <c r="V745" t="s">
        <v>808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63.69</v>
      </c>
      <c r="D746">
        <v>49</v>
      </c>
      <c r="E746">
        <v>1.299795918367347</v>
      </c>
      <c r="F746">
        <v>0.03642644057151829</v>
      </c>
      <c r="G746">
        <v>-0.05109012498553944</v>
      </c>
      <c r="H746">
        <v>0.01</v>
      </c>
      <c r="I746">
        <v>-0.0007325156741274652</v>
      </c>
      <c r="J746" t="s">
        <v>782</v>
      </c>
      <c r="K746" t="s">
        <v>526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0.526825526202234</v>
      </c>
      <c r="R746" t="s">
        <v>784</v>
      </c>
      <c r="S746" t="s">
        <v>797</v>
      </c>
      <c r="T746">
        <v>39206.779403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HYPERLINK("https://www.suredividend.com/sure-analysis-HP/","Helmerich &amp; Payne, Inc.")</f>
        <v>0</v>
      </c>
      <c r="C747">
        <v>24.88</v>
      </c>
      <c r="D747">
        <v>9</v>
      </c>
      <c r="E747">
        <v>2.764444444444444</v>
      </c>
      <c r="F747">
        <v>0.04019292604501608</v>
      </c>
      <c r="G747">
        <v>-0.1840220431988204</v>
      </c>
      <c r="H747">
        <v>0.17</v>
      </c>
      <c r="I747">
        <v>-0.001192290518974959</v>
      </c>
      <c r="J747" t="s">
        <v>782</v>
      </c>
      <c r="K747" t="s">
        <v>526</v>
      </c>
      <c r="L747">
        <v>0.55</v>
      </c>
      <c r="M747">
        <v>1</v>
      </c>
      <c r="N747">
        <v>1.818181818181818</v>
      </c>
      <c r="O747">
        <v>0</v>
      </c>
      <c r="P747">
        <v>0</v>
      </c>
      <c r="Q747">
        <v>0.019667654764394</v>
      </c>
      <c r="R747" t="s">
        <v>784</v>
      </c>
      <c r="S747" t="s">
        <v>797</v>
      </c>
      <c r="T747">
        <v>2686.016281</v>
      </c>
      <c r="U747" s="2">
        <v>44524</v>
      </c>
      <c r="V747" t="s">
        <v>807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17.9</v>
      </c>
      <c r="D748">
        <v>11.2</v>
      </c>
      <c r="E748">
        <v>1.598214285714286</v>
      </c>
      <c r="F748">
        <v>0.0452513966480447</v>
      </c>
      <c r="G748">
        <v>-0.08951457434303911</v>
      </c>
      <c r="H748">
        <v>0.039</v>
      </c>
      <c r="I748">
        <v>-0.003589060340203454</v>
      </c>
      <c r="J748" t="s">
        <v>782</v>
      </c>
      <c r="K748" t="s">
        <v>350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0.056265305520313</v>
      </c>
      <c r="R748" t="s">
        <v>784</v>
      </c>
      <c r="S748" t="s">
        <v>793</v>
      </c>
      <c r="T748">
        <v>889.643067</v>
      </c>
      <c r="U748" s="2">
        <v>44509</v>
      </c>
      <c r="V748" t="s">
        <v>808</v>
      </c>
    </row>
    <row r="749" spans="1:22">
      <c r="A749" s="1" t="s">
        <v>769</v>
      </c>
      <c r="B749">
        <f>HYPERLINK("https://www.suredividend.com/sure-analysis-WELL/","Welltower Inc")</f>
        <v>0</v>
      </c>
      <c r="C749">
        <v>82.70999999999999</v>
      </c>
      <c r="D749">
        <v>56</v>
      </c>
      <c r="E749">
        <v>1.476964285714286</v>
      </c>
      <c r="F749">
        <v>0.02950066497400556</v>
      </c>
      <c r="G749">
        <v>-0.07503350578287393</v>
      </c>
      <c r="H749">
        <v>0.012</v>
      </c>
      <c r="I749">
        <v>-0.02310427344845201</v>
      </c>
      <c r="J749" t="s">
        <v>782</v>
      </c>
      <c r="K749" t="s">
        <v>526</v>
      </c>
      <c r="L749">
        <v>3.19</v>
      </c>
      <c r="M749">
        <v>2.44</v>
      </c>
      <c r="N749">
        <v>0.7648902821316614</v>
      </c>
      <c r="O749">
        <v>0</v>
      </c>
      <c r="P749">
        <v>0.04972154879615531</v>
      </c>
      <c r="Q749">
        <v>0.328567986507107</v>
      </c>
      <c r="R749" t="s">
        <v>786</v>
      </c>
      <c r="S749" t="s">
        <v>798</v>
      </c>
      <c r="T749">
        <v>36001.556211</v>
      </c>
      <c r="U749" s="2">
        <v>44505</v>
      </c>
      <c r="V749" t="s">
        <v>809</v>
      </c>
    </row>
    <row r="750" spans="1:22">
      <c r="A750" s="1" t="s">
        <v>770</v>
      </c>
      <c r="B750">
        <f>HYPERLINK("https://www.suredividend.com/sure-analysis-LAMR/","Lamar Advertising Co")</f>
        <v>0</v>
      </c>
      <c r="C750">
        <v>116.14</v>
      </c>
      <c r="D750">
        <v>78</v>
      </c>
      <c r="E750">
        <v>1.488974358974359</v>
      </c>
      <c r="F750">
        <v>0.03444119166523162</v>
      </c>
      <c r="G750">
        <v>-0.07653050021528374</v>
      </c>
      <c r="H750">
        <v>0.001</v>
      </c>
      <c r="I750">
        <v>-0.03262576317608112</v>
      </c>
      <c r="J750" t="s">
        <v>782</v>
      </c>
      <c r="K750" t="s">
        <v>526</v>
      </c>
      <c r="L750">
        <v>6.48</v>
      </c>
      <c r="M750">
        <v>4</v>
      </c>
      <c r="N750">
        <v>0.6172839506172839</v>
      </c>
      <c r="O750">
        <v>1</v>
      </c>
      <c r="P750">
        <v>0</v>
      </c>
      <c r="Q750">
        <v>0.520614844783115</v>
      </c>
      <c r="R750" t="s">
        <v>786</v>
      </c>
      <c r="S750" t="s">
        <v>798</v>
      </c>
      <c r="T750">
        <v>10083.204535</v>
      </c>
      <c r="U750" s="2">
        <v>44509</v>
      </c>
      <c r="V750" t="s">
        <v>808</v>
      </c>
    </row>
    <row r="751" spans="1:22">
      <c r="A751" s="1" t="s">
        <v>771</v>
      </c>
      <c r="B751">
        <f>HYPERLINK("https://www.suredividend.com/sure-analysis-AB/","AllianceBernstein Holding Lp")</f>
        <v>0</v>
      </c>
      <c r="C751">
        <v>50.95</v>
      </c>
      <c r="D751">
        <v>35.5</v>
      </c>
      <c r="E751">
        <v>1.435211267605634</v>
      </c>
      <c r="F751">
        <v>0.07026496565260058</v>
      </c>
      <c r="G751">
        <v>-0.06971325521985494</v>
      </c>
      <c r="H751">
        <v>-0.053</v>
      </c>
      <c r="I751">
        <v>-0.03265385369617912</v>
      </c>
      <c r="J751" t="s">
        <v>782</v>
      </c>
      <c r="K751" t="s">
        <v>350</v>
      </c>
      <c r="L751">
        <v>3.55</v>
      </c>
      <c r="M751">
        <v>3.58</v>
      </c>
      <c r="N751">
        <v>1.008450704225352</v>
      </c>
      <c r="O751">
        <v>0</v>
      </c>
      <c r="P751">
        <v>-0.0347325852957544</v>
      </c>
      <c r="Q751">
        <v>0.714718505427922</v>
      </c>
      <c r="R751" t="s">
        <v>784</v>
      </c>
      <c r="S751" t="s">
        <v>793</v>
      </c>
      <c r="T751">
        <v>5030.536299</v>
      </c>
      <c r="U751" s="2">
        <v>44504</v>
      </c>
      <c r="V751" t="s">
        <v>808</v>
      </c>
    </row>
    <row r="752" spans="1:22">
      <c r="A752" s="1" t="s">
        <v>772</v>
      </c>
      <c r="B752">
        <f>HYPERLINK("https://www.suredividend.com/sure-analysis-GROW/","U.S. Global Investors, Inc.")</f>
        <v>0</v>
      </c>
      <c r="C752">
        <v>4.99</v>
      </c>
      <c r="D752">
        <v>3.1</v>
      </c>
      <c r="E752">
        <v>1.609677419354839</v>
      </c>
      <c r="F752">
        <v>0.01202404809619238</v>
      </c>
      <c r="G752">
        <v>-0.09081506772917491</v>
      </c>
      <c r="H752">
        <v>0.026</v>
      </c>
      <c r="I752">
        <v>-0.04896677077271061</v>
      </c>
      <c r="J752" t="s">
        <v>782</v>
      </c>
      <c r="K752" t="s">
        <v>782</v>
      </c>
      <c r="L752">
        <v>0.06</v>
      </c>
      <c r="M752">
        <v>0.06</v>
      </c>
      <c r="N752">
        <v>1</v>
      </c>
      <c r="O752">
        <v>0</v>
      </c>
      <c r="P752">
        <v>0.05922384104881218</v>
      </c>
      <c r="Q752">
        <v>0.257560483870967</v>
      </c>
      <c r="R752" t="s">
        <v>784</v>
      </c>
      <c r="S752" t="s">
        <v>793</v>
      </c>
      <c r="T752">
        <v>64.634776</v>
      </c>
      <c r="U752" s="2">
        <v>44336</v>
      </c>
      <c r="V752" t="s">
        <v>808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30.65</v>
      </c>
      <c r="D753">
        <v>15</v>
      </c>
      <c r="E753">
        <v>2.043333333333333</v>
      </c>
      <c r="F753">
        <v>0.01761827079934747</v>
      </c>
      <c r="G753">
        <v>-0.1331735474053589</v>
      </c>
      <c r="H753">
        <v>0.06</v>
      </c>
      <c r="I753">
        <v>-0.05549939016094751</v>
      </c>
      <c r="J753" t="s">
        <v>782</v>
      </c>
      <c r="K753" t="s">
        <v>782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1.121474303512718</v>
      </c>
      <c r="R753" t="s">
        <v>786</v>
      </c>
      <c r="S753" t="s">
        <v>798</v>
      </c>
      <c r="T753">
        <v>1048.536898</v>
      </c>
      <c r="U753" s="2">
        <v>44527</v>
      </c>
      <c r="V753" t="s">
        <v>804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9.42</v>
      </c>
      <c r="D754">
        <v>2.7</v>
      </c>
      <c r="E754">
        <v>3.488888888888888</v>
      </c>
      <c r="F754">
        <v>0.02229299363057325</v>
      </c>
      <c r="G754">
        <v>-0.2211343113932889</v>
      </c>
      <c r="H754">
        <v>0.13</v>
      </c>
      <c r="I754">
        <v>-0.07094098410252458</v>
      </c>
      <c r="J754" t="s">
        <v>782</v>
      </c>
      <c r="K754" t="s">
        <v>782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1.956036024727774</v>
      </c>
      <c r="R754" t="s">
        <v>784</v>
      </c>
      <c r="S754" t="s">
        <v>797</v>
      </c>
      <c r="T754">
        <v>439.054858</v>
      </c>
      <c r="U754" s="2">
        <v>44519</v>
      </c>
      <c r="V754" t="s">
        <v>807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28.73</v>
      </c>
      <c r="D755">
        <v>11</v>
      </c>
      <c r="E755">
        <v>2.611818181818182</v>
      </c>
      <c r="F755">
        <v>0.05777932474765054</v>
      </c>
      <c r="G755">
        <v>-0.1747008233643161</v>
      </c>
      <c r="H755">
        <v>0.02</v>
      </c>
      <c r="I755">
        <v>-0.09396111915364336</v>
      </c>
      <c r="J755" t="s">
        <v>782</v>
      </c>
      <c r="K755" t="s">
        <v>350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0.08346406806251101</v>
      </c>
      <c r="R755" t="s">
        <v>784</v>
      </c>
      <c r="S755" t="s">
        <v>796</v>
      </c>
      <c r="T755">
        <v>22110.775352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792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9.06</v>
      </c>
      <c r="D757">
        <v>5.95</v>
      </c>
      <c r="E757">
        <v>1.522689075630252</v>
      </c>
      <c r="F757">
        <v>0.008830022075055188</v>
      </c>
      <c r="G757">
        <v>-0.08065661903616483</v>
      </c>
      <c r="H757">
        <v>-0.1</v>
      </c>
      <c r="I757">
        <v>-0.1545546250997161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0.646374704706523</v>
      </c>
      <c r="R757" t="s">
        <v>784</v>
      </c>
      <c r="S757" t="s">
        <v>797</v>
      </c>
      <c r="T757">
        <v>1948.916496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41.41</v>
      </c>
      <c r="D758">
        <v>12</v>
      </c>
      <c r="E758">
        <v>3.450833333333333</v>
      </c>
      <c r="F758">
        <v>0.0002414875633904854</v>
      </c>
      <c r="G758">
        <v>-0.2194239838149865</v>
      </c>
      <c r="H758">
        <v>0.06</v>
      </c>
      <c r="I758">
        <v>-0.1689894506124549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0.37242814720543</v>
      </c>
      <c r="R758" t="s">
        <v>784</v>
      </c>
      <c r="S758" t="s">
        <v>790</v>
      </c>
      <c r="T758">
        <v>19419.627099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33.12</v>
      </c>
      <c r="D759">
        <v>39</v>
      </c>
      <c r="E759">
        <v>0.8492307692307691</v>
      </c>
      <c r="F759">
        <v>0</v>
      </c>
      <c r="G759">
        <v>0.03322488087450171</v>
      </c>
      <c r="H759">
        <v>0.03</v>
      </c>
      <c r="I759">
        <v>0.08329783214614128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0.215956165349472</v>
      </c>
      <c r="R759" t="s">
        <v>784</v>
      </c>
      <c r="S759" t="s">
        <v>797</v>
      </c>
      <c r="T759">
        <v>5380.250341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790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792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703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737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375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688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651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684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591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560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691</v>
      </c>
      <c r="B342">
        <v>43760</v>
      </c>
    </row>
    <row r="343" spans="1:2">
      <c r="A343" s="1" t="s">
        <v>649</v>
      </c>
      <c r="B343">
        <v>43854</v>
      </c>
    </row>
    <row r="344" spans="1:2">
      <c r="A344" s="1" t="s">
        <v>630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359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189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540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722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671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685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701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702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711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720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694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670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731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612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594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727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654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370</v>
      </c>
      <c r="B483">
        <v>43832</v>
      </c>
    </row>
    <row r="484" spans="1:2">
      <c r="A484" s="1" t="s">
        <v>347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704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548</v>
      </c>
      <c r="B561">
        <v>43845</v>
      </c>
    </row>
    <row r="562" spans="1:2">
      <c r="A562" s="1" t="s">
        <v>728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673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566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771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675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681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759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665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754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763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733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750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740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745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700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354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396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217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692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698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709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343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669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648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564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726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718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531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199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767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366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656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514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650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453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676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638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717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582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647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753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210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598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539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689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376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723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508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580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263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600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254</v>
      </c>
      <c r="B1556">
        <v>43864</v>
      </c>
    </row>
    <row r="1557" spans="1:2">
      <c r="A1557" s="1" t="s">
        <v>349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353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430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176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360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492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75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403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712</v>
      </c>
      <c r="B1646">
        <v>43847</v>
      </c>
    </row>
    <row r="1647" spans="1:2">
      <c r="A1647" s="1" t="s">
        <v>561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663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643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535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571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606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523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250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587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401</v>
      </c>
      <c r="B1777">
        <v>43783</v>
      </c>
    </row>
    <row r="1778" spans="1:2">
      <c r="A1778" s="1" t="s">
        <v>620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721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389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618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202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533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242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502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642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572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758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519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449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762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687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432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573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387</v>
      </c>
      <c r="B2047">
        <v>43819</v>
      </c>
    </row>
    <row r="2048" spans="1:2">
      <c r="A2048" s="1" t="s">
        <v>769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667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627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558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683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770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690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499</v>
      </c>
      <c r="B2124" t="s">
        <v>783</v>
      </c>
    </row>
    <row r="2125" spans="1:2">
      <c r="A2125" s="1" t="s">
        <v>597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512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645</v>
      </c>
      <c r="B2147">
        <v>43861</v>
      </c>
    </row>
    <row r="2148" spans="1:2">
      <c r="A2148" s="1" t="s">
        <v>659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565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581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418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399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384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538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192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435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237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710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610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579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744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695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724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219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536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529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386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206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267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666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229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507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599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431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274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570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639</v>
      </c>
      <c r="B2444">
        <v>43823</v>
      </c>
    </row>
    <row r="2445" spans="1:2">
      <c r="A2445" s="1" t="s">
        <v>715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383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416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265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543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218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506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632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395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748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719</v>
      </c>
      <c r="B2525">
        <v>43845</v>
      </c>
    </row>
    <row r="2526" spans="1:2">
      <c r="A2526" s="1" t="s">
        <v>334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682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38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708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410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86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505</v>
      </c>
      <c r="B2584">
        <v>43846</v>
      </c>
    </row>
    <row r="2585" spans="1:2">
      <c r="A2585" s="1" t="s">
        <v>447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411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603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357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281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741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413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138</v>
      </c>
      <c r="B2652">
        <v>43832</v>
      </c>
    </row>
    <row r="2653" spans="1:2">
      <c r="A2653" s="1" t="s">
        <v>501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553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341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408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367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679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241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231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223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592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693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272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356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53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255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253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559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46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117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240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426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313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81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554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35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494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123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213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586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259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542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332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278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279</v>
      </c>
      <c r="B3062">
        <v>43801</v>
      </c>
    </row>
    <row r="3063" spans="1:2">
      <c r="A3063" s="1" t="s">
        <v>44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658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706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461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260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372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520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575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515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379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624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258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585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397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76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516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427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530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445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552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402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220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578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385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551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583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339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248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751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577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294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84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100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424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498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608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107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271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58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208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634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69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82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277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425</v>
      </c>
      <c r="B3529">
        <v>43801</v>
      </c>
    </row>
    <row r="3530" spans="1:2">
      <c r="A3530" s="1" t="s">
        <v>55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547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714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510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239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350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400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282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429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228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459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423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609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235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207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450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236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251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127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305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269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244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139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772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491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568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500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32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735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755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59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114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346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268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421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306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131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47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173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300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230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212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104</v>
      </c>
      <c r="B4207">
        <v>43879</v>
      </c>
    </row>
    <row r="4208" spans="1:2">
      <c r="A4208" s="1" t="s">
        <v>232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678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304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662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291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95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377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74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358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680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102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462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471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365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293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135</v>
      </c>
      <c r="B4409">
        <v>43840</v>
      </c>
    </row>
    <row r="4410" spans="1:2">
      <c r="A4410" s="1" t="s">
        <v>407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134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70</v>
      </c>
      <c r="B4446">
        <v>43801</v>
      </c>
    </row>
    <row r="4447" spans="1:2">
      <c r="A4447" s="1" t="s">
        <v>78</v>
      </c>
      <c r="B4447">
        <v>43815</v>
      </c>
    </row>
    <row r="4448" spans="1:2">
      <c r="A4448" s="1" t="s">
        <v>140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66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98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527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266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97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290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252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99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79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337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124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273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562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463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489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146</v>
      </c>
      <c r="B4652">
        <v>43814</v>
      </c>
    </row>
    <row r="4653" spans="1:2">
      <c r="A4653" s="1" t="s">
        <v>83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312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301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61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224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150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45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469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211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148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62</v>
      </c>
      <c r="B4809">
        <v>43816</v>
      </c>
    </row>
    <row r="4810" spans="1:2">
      <c r="A4810" s="1" t="s">
        <v>596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302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444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205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171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513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391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436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563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275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380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247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162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112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36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574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243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110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33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484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567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128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707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132</v>
      </c>
      <c r="B5274">
        <v>43801</v>
      </c>
    </row>
    <row r="5275" spans="1:2">
      <c r="A5275" s="1" t="s">
        <v>351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156</v>
      </c>
      <c r="B5286">
        <v>43809</v>
      </c>
    </row>
    <row r="5287" spans="1:2">
      <c r="A5287" s="1" t="s">
        <v>153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475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276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133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129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216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646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233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324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382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261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485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409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166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111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299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71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310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464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187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168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60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143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264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164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374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590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122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655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474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201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734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125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68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623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363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486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89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288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72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495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361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417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576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525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155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595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415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405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473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549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465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215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537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345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550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2021-12-13T07:13:32Z</dcterms:created>
  <dcterms:modified xsi:type="dcterms:W3CDTF">2021-12-13T07:13:32Z</dcterms:modified>
</cp:coreProperties>
</file>