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<sst xmlns="http://schemas.openxmlformats.org/spreadsheetml/2006/main" count="20801" uniqueCount="10145">
  <si>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</si>
  <si>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</si>
  <si>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</si>
  <si>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</si>
  <si>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</si>
  <si>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</si>
  <si>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</si>
  <si>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</si>
  <si>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</si>
  <si>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</si>
  <si>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</si>
  <si>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</si>
  <si>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</si>
  <si>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</si>
  <si>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</si>
  <si>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</si>
  <si>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</si>
  <si>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</si>
  <si>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</si>
  <si>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</si>
  <si>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</si>
  <si>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</si>
  <si>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</si>
  <si>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</si>
  <si>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</si>
  <si>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</si>
  <si>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WBA</t>
  </si>
  <si>
    <t>FDX</t>
  </si>
  <si>
    <t>ABM</t>
  </si>
  <si>
    <t>RGLD</t>
  </si>
  <si>
    <t>NOC</t>
  </si>
  <si>
    <t>SLGN</t>
  </si>
  <si>
    <t>ATO</t>
  </si>
  <si>
    <t>UNM</t>
  </si>
  <si>
    <t>PII</t>
  </si>
  <si>
    <t>BDX</t>
  </si>
  <si>
    <t>ADM</t>
  </si>
  <si>
    <t>SYK</t>
  </si>
  <si>
    <t>CAH</t>
  </si>
  <si>
    <t>BANF</t>
  </si>
  <si>
    <t>MCK</t>
  </si>
  <si>
    <t>MDU</t>
  </si>
  <si>
    <t>JNJ</t>
  </si>
  <si>
    <t>LEG</t>
  </si>
  <si>
    <t>EFSI</t>
  </si>
  <si>
    <t>CHRW</t>
  </si>
  <si>
    <t>JW.A</t>
  </si>
  <si>
    <t>UGI</t>
  </si>
  <si>
    <t>V</t>
  </si>
  <si>
    <t>BRC</t>
  </si>
  <si>
    <t>PH</t>
  </si>
  <si>
    <t>ABBV</t>
  </si>
  <si>
    <t>SWK</t>
  </si>
  <si>
    <t>MMM</t>
  </si>
  <si>
    <t>LHX</t>
  </si>
  <si>
    <t>TNC</t>
  </si>
  <si>
    <t>CINF</t>
  </si>
  <si>
    <t>BBY</t>
  </si>
  <si>
    <t>BKH</t>
  </si>
  <si>
    <t>ANTM</t>
  </si>
  <si>
    <t>NIDB</t>
  </si>
  <si>
    <t>MET</t>
  </si>
  <si>
    <t>AFL</t>
  </si>
  <si>
    <t>CTBI</t>
  </si>
  <si>
    <t>ABC</t>
  </si>
  <si>
    <t>INTU</t>
  </si>
  <si>
    <t>KO</t>
  </si>
  <si>
    <t>CP</t>
  </si>
  <si>
    <t>TMO</t>
  </si>
  <si>
    <t>ROP</t>
  </si>
  <si>
    <t>NWN</t>
  </si>
  <si>
    <t>EMR</t>
  </si>
  <si>
    <t>SYY</t>
  </si>
  <si>
    <t>SEIC</t>
  </si>
  <si>
    <t>MATW</t>
  </si>
  <si>
    <t>SKM</t>
  </si>
  <si>
    <t>WMT</t>
  </si>
  <si>
    <t>LANC</t>
  </si>
  <si>
    <t>WHR</t>
  </si>
  <si>
    <t>CPKF</t>
  </si>
  <si>
    <t>EXPD</t>
  </si>
  <si>
    <t>NFG</t>
  </si>
  <si>
    <t>EBTC</t>
  </si>
  <si>
    <t>FMCB</t>
  </si>
  <si>
    <t>RNR</t>
  </si>
  <si>
    <t>AIZ</t>
  </si>
  <si>
    <t>QCOM</t>
  </si>
  <si>
    <t>CL</t>
  </si>
  <si>
    <t>BEN</t>
  </si>
  <si>
    <t>ADP</t>
  </si>
  <si>
    <t>LOW</t>
  </si>
  <si>
    <t>FFMR</t>
  </si>
  <si>
    <t>DG</t>
  </si>
  <si>
    <t>SON</t>
  </si>
  <si>
    <t>TRV</t>
  </si>
  <si>
    <t>AMP</t>
  </si>
  <si>
    <t>GD</t>
  </si>
  <si>
    <t>MKC</t>
  </si>
  <si>
    <t>JKHY</t>
  </si>
  <si>
    <t>VFC</t>
  </si>
  <si>
    <t>MDT</t>
  </si>
  <si>
    <t>PPG</t>
  </si>
  <si>
    <t>ORCL</t>
  </si>
  <si>
    <t>GPC</t>
  </si>
  <si>
    <t>SCL</t>
  </si>
  <si>
    <t>TXT</t>
  </si>
  <si>
    <t>PSBQ</t>
  </si>
  <si>
    <t>HRL</t>
  </si>
  <si>
    <t>KR</t>
  </si>
  <si>
    <t>CAT</t>
  </si>
  <si>
    <t>WSM</t>
  </si>
  <si>
    <t>CBSH</t>
  </si>
  <si>
    <t>CSX</t>
  </si>
  <si>
    <t>PNR</t>
  </si>
  <si>
    <t>AROW</t>
  </si>
  <si>
    <t>LECO</t>
  </si>
  <si>
    <t>TGT</t>
  </si>
  <si>
    <t>SPGI</t>
  </si>
  <si>
    <t>BRO</t>
  </si>
  <si>
    <t>CHD</t>
  </si>
  <si>
    <t>CSL</t>
  </si>
  <si>
    <t>THFF</t>
  </si>
  <si>
    <t>MCO</t>
  </si>
  <si>
    <t>AXP</t>
  </si>
  <si>
    <t>FUL</t>
  </si>
  <si>
    <t>RE</t>
  </si>
  <si>
    <t>DOV</t>
  </si>
  <si>
    <t>CSVI</t>
  </si>
  <si>
    <t>PG</t>
  </si>
  <si>
    <t>OZK</t>
  </si>
  <si>
    <t>MCD</t>
  </si>
  <si>
    <t>CB</t>
  </si>
  <si>
    <t>RPM</t>
  </si>
  <si>
    <t>GRC</t>
  </si>
  <si>
    <t>ABT</t>
  </si>
  <si>
    <t>TROW</t>
  </si>
  <si>
    <t>SRCE</t>
  </si>
  <si>
    <t>COST</t>
  </si>
  <si>
    <t>ITW</t>
  </si>
  <si>
    <t>TR</t>
  </si>
  <si>
    <t>SJW</t>
  </si>
  <si>
    <t>NKE</t>
  </si>
  <si>
    <t>FELE</t>
  </si>
  <si>
    <t>GWW</t>
  </si>
  <si>
    <t>LIN</t>
  </si>
  <si>
    <t>UBSI</t>
  </si>
  <si>
    <t>TSCO</t>
  </si>
  <si>
    <t>AOS</t>
  </si>
  <si>
    <t>AAPL</t>
  </si>
  <si>
    <t>MSFT</t>
  </si>
  <si>
    <t>AMAT</t>
  </si>
  <si>
    <t>MGEE</t>
  </si>
  <si>
    <t>ATR</t>
  </si>
  <si>
    <t>ECL</t>
  </si>
  <si>
    <t>TMP</t>
  </si>
  <si>
    <t>SHW</t>
  </si>
  <si>
    <t>CTAS</t>
  </si>
  <si>
    <t>CWT</t>
  </si>
  <si>
    <t>MSA</t>
  </si>
  <si>
    <t>BF.B</t>
  </si>
  <si>
    <t>EBAY</t>
  </si>
  <si>
    <t>NDSN</t>
  </si>
  <si>
    <t>MORN</t>
  </si>
  <si>
    <t>AWR</t>
  </si>
  <si>
    <t>ZTS</t>
  </si>
  <si>
    <t>WST</t>
  </si>
  <si>
    <t>RLI</t>
  </si>
  <si>
    <t>NUE</t>
  </si>
  <si>
    <t>BAM</t>
  </si>
  <si>
    <t>BMI</t>
  </si>
  <si>
    <t>MSEX</t>
  </si>
  <si>
    <t>ALB</t>
  </si>
  <si>
    <t>CI</t>
  </si>
  <si>
    <t>T</t>
  </si>
  <si>
    <t>LAD</t>
  </si>
  <si>
    <t>CMCSA</t>
  </si>
  <si>
    <t>AMGN</t>
  </si>
  <si>
    <t>VZ</t>
  </si>
  <si>
    <t>LAZ</t>
  </si>
  <si>
    <t>NC</t>
  </si>
  <si>
    <t>SAP</t>
  </si>
  <si>
    <t>IPG</t>
  </si>
  <si>
    <t>WU</t>
  </si>
  <si>
    <t>PNGAY</t>
  </si>
  <si>
    <t>OGN</t>
  </si>
  <si>
    <t>INTC</t>
  </si>
  <si>
    <t>OMC</t>
  </si>
  <si>
    <t>SRE</t>
  </si>
  <si>
    <t>SR</t>
  </si>
  <si>
    <t>MO</t>
  </si>
  <si>
    <t>MURGF</t>
  </si>
  <si>
    <t>NVS</t>
  </si>
  <si>
    <t>ENB</t>
  </si>
  <si>
    <t>YUM</t>
  </si>
  <si>
    <t>EPD</t>
  </si>
  <si>
    <t>FLIC</t>
  </si>
  <si>
    <t>RDEIY</t>
  </si>
  <si>
    <t>FNV</t>
  </si>
  <si>
    <t>TDS</t>
  </si>
  <si>
    <t>SWX</t>
  </si>
  <si>
    <t>SUN</t>
  </si>
  <si>
    <t>EVRG</t>
  </si>
  <si>
    <t>BIP</t>
  </si>
  <si>
    <t>LMT</t>
  </si>
  <si>
    <t>HII</t>
  </si>
  <si>
    <t>HBI</t>
  </si>
  <si>
    <t>BR</t>
  </si>
  <si>
    <t>FTS</t>
  </si>
  <si>
    <t>FMS</t>
  </si>
  <si>
    <t>BLK</t>
  </si>
  <si>
    <t>CIO</t>
  </si>
  <si>
    <t>NJR</t>
  </si>
  <si>
    <t>KDP</t>
  </si>
  <si>
    <t>GILD</t>
  </si>
  <si>
    <t>SLF</t>
  </si>
  <si>
    <t>BNS</t>
  </si>
  <si>
    <t>CDUAF</t>
  </si>
  <si>
    <t>MSM</t>
  </si>
  <si>
    <t>MDLZ</t>
  </si>
  <si>
    <t>IBM</t>
  </si>
  <si>
    <t>MRK</t>
  </si>
  <si>
    <t>HRB</t>
  </si>
  <si>
    <t>UNH</t>
  </si>
  <si>
    <t>EMN</t>
  </si>
  <si>
    <t>IMO</t>
  </si>
  <si>
    <t>CMI</t>
  </si>
  <si>
    <t>RY</t>
  </si>
  <si>
    <t>RBGLY</t>
  </si>
  <si>
    <t>SNA</t>
  </si>
  <si>
    <t>CM</t>
  </si>
  <si>
    <t>FOXA</t>
  </si>
  <si>
    <t>BMO</t>
  </si>
  <si>
    <t>TD</t>
  </si>
  <si>
    <t>UVV</t>
  </si>
  <si>
    <t>NTIOF</t>
  </si>
  <si>
    <t>ORI</t>
  </si>
  <si>
    <t>PB</t>
  </si>
  <si>
    <t>BAH</t>
  </si>
  <si>
    <t>TTC</t>
  </si>
  <si>
    <t>LNT</t>
  </si>
  <si>
    <t>UHT</t>
  </si>
  <si>
    <t>CSCO</t>
  </si>
  <si>
    <t>EQIX</t>
  </si>
  <si>
    <t>TXN</t>
  </si>
  <si>
    <t>AMX</t>
  </si>
  <si>
    <t>PBCT</t>
  </si>
  <si>
    <t>AXS</t>
  </si>
  <si>
    <t>XOM</t>
  </si>
  <si>
    <t>EIX</t>
  </si>
  <si>
    <t>RELX</t>
  </si>
  <si>
    <t>YORW</t>
  </si>
  <si>
    <t>DTE</t>
  </si>
  <si>
    <t>K</t>
  </si>
  <si>
    <t>CVS</t>
  </si>
  <si>
    <t>ICE</t>
  </si>
  <si>
    <t>TSN</t>
  </si>
  <si>
    <t>RBA</t>
  </si>
  <si>
    <t>HD</t>
  </si>
  <si>
    <t>KMB</t>
  </si>
  <si>
    <t>SBUX</t>
  </si>
  <si>
    <t>UPS</t>
  </si>
  <si>
    <t>CVX</t>
  </si>
  <si>
    <t>DPZ</t>
  </si>
  <si>
    <t>SIEGY</t>
  </si>
  <si>
    <t>CTSH</t>
  </si>
  <si>
    <t>SPTN</t>
  </si>
  <si>
    <t>ARTNA</t>
  </si>
  <si>
    <t>SJM</t>
  </si>
  <si>
    <t>WABC</t>
  </si>
  <si>
    <t>ETR</t>
  </si>
  <si>
    <t>CONE</t>
  </si>
  <si>
    <t>AAP</t>
  </si>
  <si>
    <t>RSG</t>
  </si>
  <si>
    <t>WEYS</t>
  </si>
  <si>
    <t>RTX</t>
  </si>
  <si>
    <t>NEP</t>
  </si>
  <si>
    <t>LRLCF</t>
  </si>
  <si>
    <t>OTTR</t>
  </si>
  <si>
    <t>ED</t>
  </si>
  <si>
    <t>DE</t>
  </si>
  <si>
    <t>AMT</t>
  </si>
  <si>
    <t>SBAC</t>
  </si>
  <si>
    <t>CLX</t>
  </si>
  <si>
    <t>NSC</t>
  </si>
  <si>
    <t>PRGO</t>
  </si>
  <si>
    <t>PEG</t>
  </si>
  <si>
    <t>PEP</t>
  </si>
  <si>
    <t>MTB</t>
  </si>
  <si>
    <t>XEL</t>
  </si>
  <si>
    <t>RHHBY</t>
  </si>
  <si>
    <t>GEF</t>
  </si>
  <si>
    <t>SBSI</t>
  </si>
  <si>
    <t>HON</t>
  </si>
  <si>
    <t>AJG</t>
  </si>
  <si>
    <t>HSY</t>
  </si>
  <si>
    <t>NEE</t>
  </si>
  <si>
    <t>AWK</t>
  </si>
  <si>
    <t>RMD</t>
  </si>
  <si>
    <t>INGR</t>
  </si>
  <si>
    <t>MWA</t>
  </si>
  <si>
    <t>MGRC</t>
  </si>
  <si>
    <t>UNP</t>
  </si>
  <si>
    <t>IFF</t>
  </si>
  <si>
    <t>APD</t>
  </si>
  <si>
    <t>CARR</t>
  </si>
  <si>
    <t>NVO</t>
  </si>
  <si>
    <t>WTRG</t>
  </si>
  <si>
    <t>CNI</t>
  </si>
  <si>
    <t>ROK</t>
  </si>
  <si>
    <t>OTIS</t>
  </si>
  <si>
    <t>FRT</t>
  </si>
  <si>
    <t>UNF</t>
  </si>
  <si>
    <t>UMBF</t>
  </si>
  <si>
    <t>ERIE</t>
  </si>
  <si>
    <t>TT</t>
  </si>
  <si>
    <t>ESS</t>
  </si>
  <si>
    <t>CFR</t>
  </si>
  <si>
    <t>DDS</t>
  </si>
  <si>
    <t>WM</t>
  </si>
  <si>
    <t>CBU</t>
  </si>
  <si>
    <t>LLY</t>
  </si>
  <si>
    <t>XYL</t>
  </si>
  <si>
    <t>HMLP</t>
  </si>
  <si>
    <t>JACK</t>
  </si>
  <si>
    <t>VTRS</t>
  </si>
  <si>
    <t>MFGP</t>
  </si>
  <si>
    <t>FL</t>
  </si>
  <si>
    <t>MDC</t>
  </si>
  <si>
    <t>GPS</t>
  </si>
  <si>
    <t>TRTN</t>
  </si>
  <si>
    <t>TX</t>
  </si>
  <si>
    <t>MMP</t>
  </si>
  <si>
    <t>LYB</t>
  </si>
  <si>
    <t>DKS</t>
  </si>
  <si>
    <t>BTI</t>
  </si>
  <si>
    <t>DHI</t>
  </si>
  <si>
    <t>ALLY</t>
  </si>
  <si>
    <t>TTE</t>
  </si>
  <si>
    <t>THO</t>
  </si>
  <si>
    <t>MCHP</t>
  </si>
  <si>
    <t>SNY</t>
  </si>
  <si>
    <t>PNW</t>
  </si>
  <si>
    <t>OGS</t>
  </si>
  <si>
    <t>EQNR</t>
  </si>
  <si>
    <t>DGX</t>
  </si>
  <si>
    <t>GWLIF</t>
  </si>
  <si>
    <t>JBL</t>
  </si>
  <si>
    <t>ALL</t>
  </si>
  <si>
    <t>FNF</t>
  </si>
  <si>
    <t>HPE</t>
  </si>
  <si>
    <t>AEG</t>
  </si>
  <si>
    <t>SJI</t>
  </si>
  <si>
    <t>PHM</t>
  </si>
  <si>
    <t>NHI</t>
  </si>
  <si>
    <t>OGE</t>
  </si>
  <si>
    <t>UL</t>
  </si>
  <si>
    <t>BASFY</t>
  </si>
  <si>
    <t>DFS</t>
  </si>
  <si>
    <t>SVC</t>
  </si>
  <si>
    <t>LNC</t>
  </si>
  <si>
    <t>SMG</t>
  </si>
  <si>
    <t>SYF</t>
  </si>
  <si>
    <t>PM</t>
  </si>
  <si>
    <t>TYCB</t>
  </si>
  <si>
    <t>LRCX</t>
  </si>
  <si>
    <t>CC</t>
  </si>
  <si>
    <t>STN</t>
  </si>
  <si>
    <t>C</t>
  </si>
  <si>
    <t>POR</t>
  </si>
  <si>
    <t>MPLX</t>
  </si>
  <si>
    <t>ROST</t>
  </si>
  <si>
    <t>FAF</t>
  </si>
  <si>
    <t>IVZ</t>
  </si>
  <si>
    <t>ALE</t>
  </si>
  <si>
    <t>CE</t>
  </si>
  <si>
    <t>NAVI</t>
  </si>
  <si>
    <t>RCI</t>
  </si>
  <si>
    <t>PRU</t>
  </si>
  <si>
    <t>KSS</t>
  </si>
  <si>
    <t>PFG</t>
  </si>
  <si>
    <t>SAXPY</t>
  </si>
  <si>
    <t>CPB</t>
  </si>
  <si>
    <t>TM</t>
  </si>
  <si>
    <t>ITUB</t>
  </si>
  <si>
    <t>HUN</t>
  </si>
  <si>
    <t>GEO</t>
  </si>
  <si>
    <t>GLOP</t>
  </si>
  <si>
    <t>HPQ</t>
  </si>
  <si>
    <t>AEP</t>
  </si>
  <si>
    <t>COLD</t>
  </si>
  <si>
    <t>APLE</t>
  </si>
  <si>
    <t>NLSN</t>
  </si>
  <si>
    <t>GIS</t>
  </si>
  <si>
    <t>VIAC</t>
  </si>
  <si>
    <t>FLO</t>
  </si>
  <si>
    <t>SO</t>
  </si>
  <si>
    <t>WRK</t>
  </si>
  <si>
    <t>MA</t>
  </si>
  <si>
    <t>DDAIF</t>
  </si>
  <si>
    <t>MGA</t>
  </si>
  <si>
    <t>KLAC</t>
  </si>
  <si>
    <t>O</t>
  </si>
  <si>
    <t>PKX</t>
  </si>
  <si>
    <t>OKE</t>
  </si>
  <si>
    <t>ASML</t>
  </si>
  <si>
    <t>BMWYY</t>
  </si>
  <si>
    <t>BK</t>
  </si>
  <si>
    <t>WFC</t>
  </si>
  <si>
    <t>AON</t>
  </si>
  <si>
    <t>M</t>
  </si>
  <si>
    <t>PDCO</t>
  </si>
  <si>
    <t>R</t>
  </si>
  <si>
    <t>CUBE</t>
  </si>
  <si>
    <t>HAL</t>
  </si>
  <si>
    <t>KEY</t>
  </si>
  <si>
    <t>BUD</t>
  </si>
  <si>
    <t>JPM</t>
  </si>
  <si>
    <t>WEC</t>
  </si>
  <si>
    <t>GE</t>
  </si>
  <si>
    <t>CFG</t>
  </si>
  <si>
    <t>PSB</t>
  </si>
  <si>
    <t>PNC</t>
  </si>
  <si>
    <t>WY</t>
  </si>
  <si>
    <t>WPC</t>
  </si>
  <si>
    <t>BWA</t>
  </si>
  <si>
    <t>DUK</t>
  </si>
  <si>
    <t>GOLD</t>
  </si>
  <si>
    <t>ESRT</t>
  </si>
  <si>
    <t>AGM</t>
  </si>
  <si>
    <t>MMC</t>
  </si>
  <si>
    <t>HOG</t>
  </si>
  <si>
    <t>NNN</t>
  </si>
  <si>
    <t>BAC</t>
  </si>
  <si>
    <t>GNTX</t>
  </si>
  <si>
    <t>GS</t>
  </si>
  <si>
    <t>STZ</t>
  </si>
  <si>
    <t>FITB</t>
  </si>
  <si>
    <t>OSK</t>
  </si>
  <si>
    <t>LOGI</t>
  </si>
  <si>
    <t>PAYX</t>
  </si>
  <si>
    <t>CMA</t>
  </si>
  <si>
    <t>PACW</t>
  </si>
  <si>
    <t>EAF</t>
  </si>
  <si>
    <t>PSA</t>
  </si>
  <si>
    <t>NSRGY</t>
  </si>
  <si>
    <t>ABB</t>
  </si>
  <si>
    <t>DLR</t>
  </si>
  <si>
    <t>MRVL</t>
  </si>
  <si>
    <t>DEO</t>
  </si>
  <si>
    <t>AUY</t>
  </si>
  <si>
    <t>KLIC</t>
  </si>
  <si>
    <t>MT</t>
  </si>
  <si>
    <t>OLN</t>
  </si>
  <si>
    <t>FAST</t>
  </si>
  <si>
    <t>AVB</t>
  </si>
  <si>
    <t>OXY</t>
  </si>
  <si>
    <t>FCX</t>
  </si>
  <si>
    <t>INFY</t>
  </si>
  <si>
    <t>HNI</t>
  </si>
  <si>
    <t>TER</t>
  </si>
  <si>
    <t>STLD</t>
  </si>
  <si>
    <t>KSU</t>
  </si>
  <si>
    <t>RACE</t>
  </si>
  <si>
    <t>KKR</t>
  </si>
  <si>
    <t>SONY</t>
  </si>
  <si>
    <t>APA</t>
  </si>
  <si>
    <t>TRI</t>
  </si>
  <si>
    <t>DHC</t>
  </si>
  <si>
    <t>VMC</t>
  </si>
  <si>
    <t>NVDA</t>
  </si>
  <si>
    <t>ERF</t>
  </si>
  <si>
    <t>SHLX</t>
  </si>
  <si>
    <t>PBR</t>
  </si>
  <si>
    <t>SNP</t>
  </si>
  <si>
    <t>SPH</t>
  </si>
  <si>
    <t>ARLP</t>
  </si>
  <si>
    <t>HEP</t>
  </si>
  <si>
    <t>PAA</t>
  </si>
  <si>
    <t>AVAL</t>
  </si>
  <si>
    <t>ERIC</t>
  </si>
  <si>
    <t>EOG</t>
  </si>
  <si>
    <t>AZN</t>
  </si>
  <si>
    <t>PHG</t>
  </si>
  <si>
    <t>TPR</t>
  </si>
  <si>
    <t>PGR</t>
  </si>
  <si>
    <t>PSX</t>
  </si>
  <si>
    <t>KRC</t>
  </si>
  <si>
    <t>BAYRY</t>
  </si>
  <si>
    <t>NTR</t>
  </si>
  <si>
    <t>ET</t>
  </si>
  <si>
    <t>PTR</t>
  </si>
  <si>
    <t>HAS</t>
  </si>
  <si>
    <t>MS</t>
  </si>
  <si>
    <t>SLG</t>
  </si>
  <si>
    <t>UNIT</t>
  </si>
  <si>
    <t>MKTX</t>
  </si>
  <si>
    <t>TGP</t>
  </si>
  <si>
    <t>HSBC</t>
  </si>
  <si>
    <t>MGP</t>
  </si>
  <si>
    <t>OPI</t>
  </si>
  <si>
    <t>GORO</t>
  </si>
  <si>
    <t>MFC</t>
  </si>
  <si>
    <t>TS</t>
  </si>
  <si>
    <t>WEN</t>
  </si>
  <si>
    <t>LUMN</t>
  </si>
  <si>
    <t>NYCB</t>
  </si>
  <si>
    <t>TFC</t>
  </si>
  <si>
    <t>VALE</t>
  </si>
  <si>
    <t>TAP</t>
  </si>
  <si>
    <t>DRI</t>
  </si>
  <si>
    <t>IMBBY</t>
  </si>
  <si>
    <t>BP</t>
  </si>
  <si>
    <t>SAFE</t>
  </si>
  <si>
    <t>DOW</t>
  </si>
  <si>
    <t>WSBC</t>
  </si>
  <si>
    <t>D</t>
  </si>
  <si>
    <t>RDS.B</t>
  </si>
  <si>
    <t>DD</t>
  </si>
  <si>
    <t>TRST</t>
  </si>
  <si>
    <t>CAG</t>
  </si>
  <si>
    <t>PGRE</t>
  </si>
  <si>
    <t>PFE</t>
  </si>
  <si>
    <t>MED</t>
  </si>
  <si>
    <t>AMCR</t>
  </si>
  <si>
    <t>SBS</t>
  </si>
  <si>
    <t>BHP</t>
  </si>
  <si>
    <t>RIO</t>
  </si>
  <si>
    <t>KMI</t>
  </si>
  <si>
    <t>WASH</t>
  </si>
  <si>
    <t>IP</t>
  </si>
  <si>
    <t>PETS</t>
  </si>
  <si>
    <t>RF</t>
  </si>
  <si>
    <t>WMB</t>
  </si>
  <si>
    <t>NGG</t>
  </si>
  <si>
    <t>EMRAF</t>
  </si>
  <si>
    <t>FE</t>
  </si>
  <si>
    <t>HIW</t>
  </si>
  <si>
    <t>CNA</t>
  </si>
  <si>
    <t>PDM</t>
  </si>
  <si>
    <t>REG</t>
  </si>
  <si>
    <t>SPG</t>
  </si>
  <si>
    <t>CNP</t>
  </si>
  <si>
    <t>WSR</t>
  </si>
  <si>
    <t>DTEGY</t>
  </si>
  <si>
    <t>FRFHF</t>
  </si>
  <si>
    <t>SUUIF</t>
  </si>
  <si>
    <t>INVH</t>
  </si>
  <si>
    <t>HASI</t>
  </si>
  <si>
    <t>SMFG</t>
  </si>
  <si>
    <t>LMRK</t>
  </si>
  <si>
    <t>PCAR</t>
  </si>
  <si>
    <t>NWL</t>
  </si>
  <si>
    <t>KHC</t>
  </si>
  <si>
    <t>DEA</t>
  </si>
  <si>
    <t>MPW</t>
  </si>
  <si>
    <t>ADC</t>
  </si>
  <si>
    <t>ING</t>
  </si>
  <si>
    <t>MCY</t>
  </si>
  <si>
    <t>DEI</t>
  </si>
  <si>
    <t>AGNC</t>
  </si>
  <si>
    <t>GEL</t>
  </si>
  <si>
    <t>NTAP</t>
  </si>
  <si>
    <t>ALV</t>
  </si>
  <si>
    <t>CAJ</t>
  </si>
  <si>
    <t>KRG</t>
  </si>
  <si>
    <t>UE</t>
  </si>
  <si>
    <t>WPP</t>
  </si>
  <si>
    <t>GRMN</t>
  </si>
  <si>
    <t>JNPR</t>
  </si>
  <si>
    <t>GLW</t>
  </si>
  <si>
    <t>HBAN</t>
  </si>
  <si>
    <t>BXP</t>
  </si>
  <si>
    <t>BBD</t>
  </si>
  <si>
    <t>AVGO</t>
  </si>
  <si>
    <t>COP</t>
  </si>
  <si>
    <t>CCI</t>
  </si>
  <si>
    <t>USB</t>
  </si>
  <si>
    <t>AES</t>
  </si>
  <si>
    <t>NSP</t>
  </si>
  <si>
    <t>HMC</t>
  </si>
  <si>
    <t>APO</t>
  </si>
  <si>
    <t>TJX</t>
  </si>
  <si>
    <t>DOC</t>
  </si>
  <si>
    <t>TU</t>
  </si>
  <si>
    <t>STX</t>
  </si>
  <si>
    <t>CODI</t>
  </si>
  <si>
    <t>KTB</t>
  </si>
  <si>
    <t>TSM</t>
  </si>
  <si>
    <t>UBS</t>
  </si>
  <si>
    <t>PSO</t>
  </si>
  <si>
    <t>RGA</t>
  </si>
  <si>
    <t>EGP</t>
  </si>
  <si>
    <t>MPWR</t>
  </si>
  <si>
    <t>PLD</t>
  </si>
  <si>
    <t>SKT</t>
  </si>
  <si>
    <t>BRX</t>
  </si>
  <si>
    <t>CNQ</t>
  </si>
  <si>
    <t>MAC</t>
  </si>
  <si>
    <t>ARE</t>
  </si>
  <si>
    <t>DRE</t>
  </si>
  <si>
    <t>SLB</t>
  </si>
  <si>
    <t>ELS</t>
  </si>
  <si>
    <t>JCI</t>
  </si>
  <si>
    <t>EXPO</t>
  </si>
  <si>
    <t>OGZPY</t>
  </si>
  <si>
    <t>COR</t>
  </si>
  <si>
    <t>TRSWF</t>
  </si>
  <si>
    <t>FR</t>
  </si>
  <si>
    <t>EXC</t>
  </si>
  <si>
    <t>CF</t>
  </si>
  <si>
    <t>WPM</t>
  </si>
  <si>
    <t>TRGP</t>
  </si>
  <si>
    <t>AMH</t>
  </si>
  <si>
    <t>ACN</t>
  </si>
  <si>
    <t>MAA</t>
  </si>
  <si>
    <t>CWEN</t>
  </si>
  <si>
    <t>CMP</t>
  </si>
  <si>
    <t>CME</t>
  </si>
  <si>
    <t>ETN</t>
  </si>
  <si>
    <t>CPT</t>
  </si>
  <si>
    <t>KIM</t>
  </si>
  <si>
    <t>SCHL</t>
  </si>
  <si>
    <t>TEF</t>
  </si>
  <si>
    <t>SCCO</t>
  </si>
  <si>
    <t>ORAN</t>
  </si>
  <si>
    <t>IIPR</t>
  </si>
  <si>
    <t>OHI</t>
  </si>
  <si>
    <t>PSXP</t>
  </si>
  <si>
    <t>IEP</t>
  </si>
  <si>
    <t>DHT</t>
  </si>
  <si>
    <t>APAM</t>
  </si>
  <si>
    <t>GECC</t>
  </si>
  <si>
    <t>PINE</t>
  </si>
  <si>
    <t>CLPR</t>
  </si>
  <si>
    <t>VICI</t>
  </si>
  <si>
    <t>NEWT</t>
  </si>
  <si>
    <t>LTC</t>
  </si>
  <si>
    <t>SBRA</t>
  </si>
  <si>
    <t>SU</t>
  </si>
  <si>
    <t>TWO</t>
  </si>
  <si>
    <t>EIFZF</t>
  </si>
  <si>
    <t>USAC</t>
  </si>
  <si>
    <t>QSR</t>
  </si>
  <si>
    <t>CTRE</t>
  </si>
  <si>
    <t>SFL</t>
  </si>
  <si>
    <t>EFC</t>
  </si>
  <si>
    <t>VGR</t>
  </si>
  <si>
    <t>TRP</t>
  </si>
  <si>
    <t>KNOP</t>
  </si>
  <si>
    <t>CTO</t>
  </si>
  <si>
    <t>CQP</t>
  </si>
  <si>
    <t>NYMT</t>
  </si>
  <si>
    <t>SRC</t>
  </si>
  <si>
    <t>AFIN</t>
  </si>
  <si>
    <t>ORCC</t>
  </si>
  <si>
    <t>AQN</t>
  </si>
  <si>
    <t>ORC</t>
  </si>
  <si>
    <t>GNL</t>
  </si>
  <si>
    <t>GSBD</t>
  </si>
  <si>
    <t>FCPT</t>
  </si>
  <si>
    <t>UMH</t>
  </si>
  <si>
    <t>VST</t>
  </si>
  <si>
    <t>EPRT</t>
  </si>
  <si>
    <t>EPR</t>
  </si>
  <si>
    <t>CWCO</t>
  </si>
  <si>
    <t>AAT</t>
  </si>
  <si>
    <t>WSO</t>
  </si>
  <si>
    <t>NTST</t>
  </si>
  <si>
    <t>ILPT</t>
  </si>
  <si>
    <t>MRCC</t>
  </si>
  <si>
    <t>HR</t>
  </si>
  <si>
    <t>KREF</t>
  </si>
  <si>
    <t>VOD</t>
  </si>
  <si>
    <t>SSREY</t>
  </si>
  <si>
    <t>NRZ</t>
  </si>
  <si>
    <t>PMT</t>
  </si>
  <si>
    <t>CHCT</t>
  </si>
  <si>
    <t>NLY</t>
  </si>
  <si>
    <t>CBRL</t>
  </si>
  <si>
    <t>EXR</t>
  </si>
  <si>
    <t>E</t>
  </si>
  <si>
    <t>ACRE</t>
  </si>
  <si>
    <t>NMFC</t>
  </si>
  <si>
    <t>CORR</t>
  </si>
  <si>
    <t>GBDC</t>
  </si>
  <si>
    <t>GSK</t>
  </si>
  <si>
    <t>EIC</t>
  </si>
  <si>
    <t>NEM</t>
  </si>
  <si>
    <t>SACH</t>
  </si>
  <si>
    <t>IDEXY</t>
  </si>
  <si>
    <t>ARR</t>
  </si>
  <si>
    <t>VTR</t>
  </si>
  <si>
    <t>PFLT</t>
  </si>
  <si>
    <t>HRZN</t>
  </si>
  <si>
    <t>BEP</t>
  </si>
  <si>
    <t>VNO</t>
  </si>
  <si>
    <t>XRX</t>
  </si>
  <si>
    <t>BRMK</t>
  </si>
  <si>
    <t>TSLX</t>
  </si>
  <si>
    <t>CSWC</t>
  </si>
  <si>
    <t>LWSCF</t>
  </si>
  <si>
    <t>GLPI</t>
  </si>
  <si>
    <t>VLO</t>
  </si>
  <si>
    <t>FDUS</t>
  </si>
  <si>
    <t>GMRE</t>
  </si>
  <si>
    <t>STWD</t>
  </si>
  <si>
    <t>NSA</t>
  </si>
  <si>
    <t>DX</t>
  </si>
  <si>
    <t>ARCC</t>
  </si>
  <si>
    <t>STOR</t>
  </si>
  <si>
    <t>DANOY</t>
  </si>
  <si>
    <t>VIA</t>
  </si>
  <si>
    <t>TPVG</t>
  </si>
  <si>
    <t>AM</t>
  </si>
  <si>
    <t>ABEV</t>
  </si>
  <si>
    <t>BGS</t>
  </si>
  <si>
    <t>ARI</t>
  </si>
  <si>
    <t>GOOD</t>
  </si>
  <si>
    <t>MAIN</t>
  </si>
  <si>
    <t>PBA</t>
  </si>
  <si>
    <t>SUNS</t>
  </si>
  <si>
    <t>MNR</t>
  </si>
  <si>
    <t>HTGC</t>
  </si>
  <si>
    <t>OXSQ</t>
  </si>
  <si>
    <t>APTS</t>
  </si>
  <si>
    <t>HTA</t>
  </si>
  <si>
    <t>CRT</t>
  </si>
  <si>
    <t>SCM</t>
  </si>
  <si>
    <t>CIM</t>
  </si>
  <si>
    <t>PRT</t>
  </si>
  <si>
    <t>ACC</t>
  </si>
  <si>
    <t>BCE</t>
  </si>
  <si>
    <t>BXMT</t>
  </si>
  <si>
    <t>BX</t>
  </si>
  <si>
    <t>LSI</t>
  </si>
  <si>
    <t>SBR</t>
  </si>
  <si>
    <t>BKR</t>
  </si>
  <si>
    <t>GWRS</t>
  </si>
  <si>
    <t>IRM</t>
  </si>
  <si>
    <t>LADR</t>
  </si>
  <si>
    <t>EVA</t>
  </si>
  <si>
    <t>SJR</t>
  </si>
  <si>
    <t>PSEC</t>
  </si>
  <si>
    <t>EQR</t>
  </si>
  <si>
    <t>IRT</t>
  </si>
  <si>
    <t>OLP</t>
  </si>
  <si>
    <t>STAG</t>
  </si>
  <si>
    <t>PEAK</t>
  </si>
  <si>
    <t>PLYM</t>
  </si>
  <si>
    <t>UDR</t>
  </si>
  <si>
    <t>SJT</t>
  </si>
  <si>
    <t>ABR</t>
  </si>
  <si>
    <t>GAIN</t>
  </si>
  <si>
    <t>DREUF</t>
  </si>
  <si>
    <t>LXP</t>
  </si>
  <si>
    <t>UBA</t>
  </si>
  <si>
    <t>MPC</t>
  </si>
  <si>
    <t>GLAD</t>
  </si>
  <si>
    <t>HP</t>
  </si>
  <si>
    <t>PPRQF</t>
  </si>
  <si>
    <t>DRETF</t>
  </si>
  <si>
    <t>LAMR</t>
  </si>
  <si>
    <t>WELL</t>
  </si>
  <si>
    <t>AB</t>
  </si>
  <si>
    <t>LAND</t>
  </si>
  <si>
    <t>PBT</t>
  </si>
  <si>
    <t>GROW</t>
  </si>
  <si>
    <t>PPL</t>
  </si>
  <si>
    <t>CVA</t>
  </si>
  <si>
    <t>PTEN</t>
  </si>
  <si>
    <t>MGM</t>
  </si>
  <si>
    <t>NGL</t>
  </si>
  <si>
    <t>HFC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</si>
  <si>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</si>
  <si>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</si>
  <si>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</si>
  <si>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</si>
  <si>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</si>
  <si>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</si>
  <si>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</si>
  <si>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</si>
  <si>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</si>
  <si>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</si>
  <si>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</si>
  <si>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</si>
  <si>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</si>
  <si>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</si>
  <si>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</si>
  <si>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</si>
  <si>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Utilities</t>
  </si>
  <si>
    <t>Financial Services</t>
  </si>
  <si>
    <t>Consumer Cyclical</t>
  </si>
  <si>
    <t>Consumer Defensive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</si>
  <si>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</si>
  <si>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</si>
  <si>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</si>
  <si>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</si>
  <si>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</si>
  <si>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</si>
  <si>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</si>
  <si>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</si>
  <si>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Quinn Mohammed</t>
  </si>
  <si>
    <t>Prakash Kolli</t>
  </si>
  <si>
    <t>Samuel Smith</t>
  </si>
  <si>
    <t>Aristofanis Papadatos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</si>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</sst>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59.99</v>
      </c>
      <c r="D2">
        <v>70</v>
      </c>
      <c r="E2">
        <v>0.857</v>
      </c>
      <c r="F2">
        <v>0.004500750125020837</v>
      </c>
      <c r="G2">
        <v>0.03134468692588221</v>
      </c>
      <c r="H2">
        <v>0.15</v>
      </c>
      <c r="I2">
        <v>0.19011362818837</v>
      </c>
      <c r="J2" t="s">
        <v>776</v>
      </c>
      <c r="K2" t="s">
        <v>367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-0.20847077450851</v>
      </c>
      <c r="R2" t="s">
        <v>780</v>
      </c>
      <c r="S2" t="s">
        <v>784</v>
      </c>
      <c r="T2">
        <v>575679.409378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56.81</v>
      </c>
      <c r="D3">
        <v>101</v>
      </c>
      <c r="E3">
        <v>0.5624752475247525</v>
      </c>
      <c r="F3">
        <v>0.03450096813941207</v>
      </c>
      <c r="G3">
        <v>0.1219650198996118</v>
      </c>
      <c r="H3">
        <v>0.03</v>
      </c>
      <c r="I3">
        <v>0.1772391198818475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-0.07292117137332001</v>
      </c>
      <c r="R3" t="s">
        <v>780</v>
      </c>
      <c r="S3" t="s">
        <v>785</v>
      </c>
      <c r="T3">
        <v>126098.028757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157.04</v>
      </c>
      <c r="D4">
        <v>174</v>
      </c>
      <c r="E4">
        <v>0.9025287356321838</v>
      </c>
      <c r="F4">
        <v>0.01426388181355069</v>
      </c>
      <c r="G4">
        <v>0.02072274494220006</v>
      </c>
      <c r="H4">
        <v>0.1</v>
      </c>
      <c r="I4">
        <v>0.1342747889393783</v>
      </c>
      <c r="J4" t="s">
        <v>776</v>
      </c>
      <c r="K4" t="s">
        <v>367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0.144919347489291</v>
      </c>
      <c r="R4" t="s">
        <v>780</v>
      </c>
      <c r="S4" t="s">
        <v>786</v>
      </c>
      <c r="T4">
        <v>25934.359964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60.48</v>
      </c>
      <c r="D5">
        <v>64</v>
      </c>
      <c r="E5">
        <v>0.945</v>
      </c>
      <c r="F5">
        <v>0.01455026455026455</v>
      </c>
      <c r="G5">
        <v>0.01137831645760157</v>
      </c>
      <c r="H5">
        <v>0.09</v>
      </c>
      <c r="I5">
        <v>0.1145952363026128</v>
      </c>
      <c r="J5" t="s">
        <v>776</v>
      </c>
      <c r="K5" t="s">
        <v>777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0.118076494327351</v>
      </c>
      <c r="R5" t="s">
        <v>780</v>
      </c>
      <c r="S5" t="s">
        <v>787</v>
      </c>
      <c r="T5">
        <v>7500.177055</v>
      </c>
      <c r="U5" s="2">
        <v>44444</v>
      </c>
      <c r="V5" t="s">
        <v>798</v>
      </c>
    </row>
    <row r="6" spans="1:22">
      <c r="A6" s="1" t="s">
        <v>26</v>
      </c>
      <c r="B6">
        <f>HYPERLINK("https://www.suredividend.com/sure-analysis-WBA/","Walgreens Boots Alliance Inc")</f>
        <v>0</v>
      </c>
      <c r="C6">
        <v>46.62</v>
      </c>
      <c r="D6">
        <v>54</v>
      </c>
      <c r="E6">
        <v>0.8633333333333333</v>
      </c>
      <c r="F6">
        <v>0.04096954096954097</v>
      </c>
      <c r="G6">
        <v>0.02982705728092871</v>
      </c>
      <c r="H6">
        <v>0.05</v>
      </c>
      <c r="I6">
        <v>0.114067520800657</v>
      </c>
      <c r="J6" t="s">
        <v>776</v>
      </c>
      <c r="K6" t="s">
        <v>776</v>
      </c>
      <c r="L6">
        <v>5.35</v>
      </c>
      <c r="M6">
        <v>1.91</v>
      </c>
      <c r="N6">
        <v>0.3570093457943925</v>
      </c>
      <c r="O6">
        <v>46</v>
      </c>
      <c r="P6">
        <v>0.0501982537579746</v>
      </c>
      <c r="Q6">
        <v>0.256451373822582</v>
      </c>
      <c r="R6" t="s">
        <v>780</v>
      </c>
      <c r="S6" t="s">
        <v>785</v>
      </c>
      <c r="T6">
        <v>40354.84813</v>
      </c>
      <c r="U6" s="2">
        <v>44483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243.57</v>
      </c>
      <c r="D7">
        <v>296</v>
      </c>
      <c r="E7">
        <v>0.8228716216216216</v>
      </c>
      <c r="F7">
        <v>0.01231678778174652</v>
      </c>
      <c r="G7">
        <v>0.03976114214072379</v>
      </c>
      <c r="H7">
        <v>0.06</v>
      </c>
      <c r="I7">
        <v>0.1119394083042102</v>
      </c>
      <c r="J7" t="s">
        <v>776</v>
      </c>
      <c r="K7" t="s">
        <v>367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-0.15643539667312</v>
      </c>
      <c r="R7" t="s">
        <v>780</v>
      </c>
      <c r="S7" t="s">
        <v>787</v>
      </c>
      <c r="T7">
        <v>64704.38414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HYPERLINK("https://www.suredividend.com/sure-analysis-ABM/","ABM Industries Inc.")</f>
        <v>0</v>
      </c>
      <c r="C8">
        <v>48.29</v>
      </c>
      <c r="D8">
        <v>61</v>
      </c>
      <c r="E8">
        <v>0.7916393442622951</v>
      </c>
      <c r="F8">
        <v>0.01573824808448954</v>
      </c>
      <c r="G8">
        <v>0.04783892111302035</v>
      </c>
      <c r="H8">
        <v>0.05</v>
      </c>
      <c r="I8">
        <v>0.1117261826478317</v>
      </c>
      <c r="J8" t="s">
        <v>776</v>
      </c>
      <c r="K8" t="s">
        <v>777</v>
      </c>
      <c r="L8">
        <v>3.5</v>
      </c>
      <c r="M8">
        <v>0.76</v>
      </c>
      <c r="N8">
        <v>0.2171428571428571</v>
      </c>
      <c r="O8">
        <v>53</v>
      </c>
      <c r="P8">
        <v>0.02975477857041309</v>
      </c>
      <c r="Q8">
        <v>0.194844526701521</v>
      </c>
      <c r="R8" t="s">
        <v>780</v>
      </c>
      <c r="S8" t="s">
        <v>787</v>
      </c>
      <c r="T8">
        <v>3247.074457</v>
      </c>
      <c r="U8" s="2">
        <v>44453</v>
      </c>
      <c r="V8" t="s">
        <v>800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101.31</v>
      </c>
      <c r="D9">
        <v>128</v>
      </c>
      <c r="E9">
        <v>0.791484375</v>
      </c>
      <c r="F9">
        <v>0.0138189714736946</v>
      </c>
      <c r="G9">
        <v>0.04787995037744697</v>
      </c>
      <c r="H9">
        <v>0.045</v>
      </c>
      <c r="I9">
        <v>0.1072815133277458</v>
      </c>
      <c r="J9" t="s">
        <v>776</v>
      </c>
      <c r="K9" t="s">
        <v>367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-0.046886127776152</v>
      </c>
      <c r="R9" t="s">
        <v>780</v>
      </c>
      <c r="S9" t="s">
        <v>788</v>
      </c>
      <c r="T9">
        <v>6649.713951</v>
      </c>
      <c r="U9" s="2">
        <v>44508</v>
      </c>
      <c r="V9" t="s">
        <v>801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361.37</v>
      </c>
      <c r="D10">
        <v>381</v>
      </c>
      <c r="E10">
        <v>0.9484776902887139</v>
      </c>
      <c r="F10">
        <v>0.01737831031906356</v>
      </c>
      <c r="G10">
        <v>0.01063556193185455</v>
      </c>
      <c r="H10">
        <v>0.08</v>
      </c>
      <c r="I10">
        <v>0.1065816490023124</v>
      </c>
      <c r="J10" t="s">
        <v>776</v>
      </c>
      <c r="K10" t="s">
        <v>777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0.181454270589219</v>
      </c>
      <c r="R10" t="s">
        <v>780</v>
      </c>
      <c r="S10" t="s">
        <v>787</v>
      </c>
      <c r="T10">
        <v>57290.748051</v>
      </c>
      <c r="U10" s="2">
        <v>44504</v>
      </c>
      <c r="V10" t="s">
        <v>802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42.27</v>
      </c>
      <c r="D11">
        <v>43</v>
      </c>
      <c r="E11">
        <v>0.9830232558139536</v>
      </c>
      <c r="F11">
        <v>0.01324816654837947</v>
      </c>
      <c r="G11">
        <v>0.003430370522896409</v>
      </c>
      <c r="H11">
        <v>0.09</v>
      </c>
      <c r="I11">
        <v>0.1058839464581627</v>
      </c>
      <c r="J11" t="s">
        <v>776</v>
      </c>
      <c r="K11" t="s">
        <v>367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0.238122576185399</v>
      </c>
      <c r="R11" t="s">
        <v>780</v>
      </c>
      <c r="S11" t="s">
        <v>788</v>
      </c>
      <c r="T11">
        <v>4667.04038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95</v>
      </c>
      <c r="D12">
        <v>104</v>
      </c>
      <c r="E12">
        <v>0.9134615384615384</v>
      </c>
      <c r="F12">
        <v>0.02863157894736842</v>
      </c>
      <c r="G12">
        <v>0.0182676504595598</v>
      </c>
      <c r="H12">
        <v>0.06</v>
      </c>
      <c r="I12">
        <v>0.1048743892370911</v>
      </c>
      <c r="J12" t="s">
        <v>776</v>
      </c>
      <c r="K12" t="s">
        <v>776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-0.034068898340327</v>
      </c>
      <c r="R12" t="s">
        <v>780</v>
      </c>
      <c r="S12" t="s">
        <v>789</v>
      </c>
      <c r="T12">
        <v>12580.452615</v>
      </c>
      <c r="U12" s="2">
        <v>44524</v>
      </c>
      <c r="V12" t="s">
        <v>798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25.5</v>
      </c>
      <c r="D13">
        <v>32</v>
      </c>
      <c r="E13">
        <v>0.796875</v>
      </c>
      <c r="F13">
        <v>0.04705882352941176</v>
      </c>
      <c r="G13">
        <v>0.04645837861673296</v>
      </c>
      <c r="H13">
        <v>0.02</v>
      </c>
      <c r="I13">
        <v>0.1032908915505075</v>
      </c>
      <c r="J13" t="s">
        <v>776</v>
      </c>
      <c r="K13" t="s">
        <v>776</v>
      </c>
      <c r="L13">
        <v>4.6</v>
      </c>
      <c r="M13">
        <v>1.2</v>
      </c>
      <c r="N13">
        <v>0.2608695652173913</v>
      </c>
      <c r="O13">
        <v>13</v>
      </c>
      <c r="P13">
        <v>0.01924487649145656</v>
      </c>
      <c r="Q13">
        <v>0.122907758632078</v>
      </c>
      <c r="R13" t="s">
        <v>780</v>
      </c>
      <c r="S13" t="s">
        <v>790</v>
      </c>
      <c r="T13">
        <v>5213.559329</v>
      </c>
      <c r="U13" s="2">
        <v>44503</v>
      </c>
      <c r="V13" t="s">
        <v>799</v>
      </c>
    </row>
    <row r="14" spans="1:22">
      <c r="A14" s="1" t="s">
        <v>34</v>
      </c>
      <c r="B14">
        <f>HYPERLINK("https://www.suredividend.com/sure-analysis-PII/","Polaris Inc")</f>
        <v>0</v>
      </c>
      <c r="C14">
        <v>122.38</v>
      </c>
      <c r="D14">
        <v>144</v>
      </c>
      <c r="E14">
        <v>0.8498611111111111</v>
      </c>
      <c r="F14">
        <v>0.02059159993462984</v>
      </c>
      <c r="G14">
        <v>0.03307156682943768</v>
      </c>
      <c r="H14">
        <v>0.05</v>
      </c>
      <c r="I14">
        <v>0.1021832100993054</v>
      </c>
      <c r="J14" t="s">
        <v>776</v>
      </c>
      <c r="K14" t="s">
        <v>777</v>
      </c>
      <c r="L14">
        <v>9</v>
      </c>
      <c r="M14">
        <v>2.52</v>
      </c>
      <c r="N14">
        <v>0.28</v>
      </c>
      <c r="O14">
        <v>26</v>
      </c>
      <c r="P14">
        <v>0.06483841633998533</v>
      </c>
      <c r="Q14">
        <v>0.311792411369868</v>
      </c>
      <c r="R14" t="s">
        <v>780</v>
      </c>
      <c r="S14" t="s">
        <v>791</v>
      </c>
      <c r="T14">
        <v>7426.233911</v>
      </c>
      <c r="U14" s="2">
        <v>44496</v>
      </c>
      <c r="V14" t="s">
        <v>799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244.46</v>
      </c>
      <c r="D15">
        <v>231</v>
      </c>
      <c r="E15">
        <v>1.058268398268398</v>
      </c>
      <c r="F15">
        <v>0.01423545774359813</v>
      </c>
      <c r="G15">
        <v>-0.01126289051192908</v>
      </c>
      <c r="H15">
        <v>0.1</v>
      </c>
      <c r="I15">
        <v>0.1009375575195162</v>
      </c>
      <c r="J15" t="s">
        <v>776</v>
      </c>
      <c r="K15" t="s">
        <v>777</v>
      </c>
      <c r="L15">
        <v>12.4</v>
      </c>
      <c r="M15">
        <v>3.48</v>
      </c>
      <c r="N15">
        <v>0.2806451612903226</v>
      </c>
      <c r="O15">
        <v>50</v>
      </c>
      <c r="P15">
        <v>0.09982036375468772</v>
      </c>
      <c r="Q15">
        <v>0.080688712492418</v>
      </c>
      <c r="R15" t="s">
        <v>780</v>
      </c>
      <c r="S15" t="s">
        <v>785</v>
      </c>
      <c r="T15">
        <v>70206.511403</v>
      </c>
      <c r="U15" s="2">
        <v>44507</v>
      </c>
      <c r="V15" t="s">
        <v>796</v>
      </c>
    </row>
    <row r="16" spans="1:22">
      <c r="A16" s="1" t="s">
        <v>36</v>
      </c>
      <c r="B16">
        <f>HYPERLINK("https://www.suredividend.com/sure-analysis-ADM/","Archer Daniels Midland Co.")</f>
        <v>0</v>
      </c>
      <c r="C16">
        <v>66.31999999999999</v>
      </c>
      <c r="D16">
        <v>74</v>
      </c>
      <c r="E16">
        <v>0.8962162162162162</v>
      </c>
      <c r="F16">
        <v>0.02231604342581424</v>
      </c>
      <c r="G16">
        <v>0.02215660763495153</v>
      </c>
      <c r="H16">
        <v>0.06</v>
      </c>
      <c r="I16">
        <v>0.1006691155897108</v>
      </c>
      <c r="J16" t="s">
        <v>776</v>
      </c>
      <c r="K16" t="s">
        <v>777</v>
      </c>
      <c r="L16">
        <v>4.9</v>
      </c>
      <c r="M16">
        <v>1.48</v>
      </c>
      <c r="N16">
        <v>0.3020408163265306</v>
      </c>
      <c r="O16">
        <v>46</v>
      </c>
      <c r="P16">
        <v>0.03051269507716325</v>
      </c>
      <c r="Q16">
        <v>0.3434538025698211</v>
      </c>
      <c r="R16" t="s">
        <v>780</v>
      </c>
      <c r="S16" t="s">
        <v>792</v>
      </c>
      <c r="T16">
        <v>37102.144363</v>
      </c>
      <c r="U16" s="2">
        <v>44507</v>
      </c>
      <c r="V16" t="s">
        <v>797</v>
      </c>
    </row>
    <row r="17" spans="1:22">
      <c r="A17" s="1" t="s">
        <v>37</v>
      </c>
      <c r="B17">
        <f>HYPERLINK("https://www.suredividend.com/sure-analysis-SYK/","Stryker Corp.")</f>
        <v>0</v>
      </c>
      <c r="C17">
        <v>255.15</v>
      </c>
      <c r="D17">
        <v>223</v>
      </c>
      <c r="E17">
        <v>1.144170403587444</v>
      </c>
      <c r="F17">
        <v>0.009876543209876543</v>
      </c>
      <c r="G17">
        <v>-0.02657642944413408</v>
      </c>
      <c r="H17">
        <v>0.12</v>
      </c>
      <c r="I17">
        <v>0.1000042710225981</v>
      </c>
      <c r="J17" t="s">
        <v>776</v>
      </c>
      <c r="K17" t="s">
        <v>367</v>
      </c>
      <c r="L17">
        <v>9.119999999999999</v>
      </c>
      <c r="M17">
        <v>2.52</v>
      </c>
      <c r="N17">
        <v>0.2763157894736842</v>
      </c>
      <c r="O17">
        <v>27</v>
      </c>
      <c r="P17">
        <v>0.1199444602155453</v>
      </c>
      <c r="Q17">
        <v>0.072427864882915</v>
      </c>
      <c r="R17" t="s">
        <v>780</v>
      </c>
      <c r="S17" t="s">
        <v>785</v>
      </c>
      <c r="T17">
        <v>96216.113801</v>
      </c>
      <c r="U17" s="2">
        <v>44500</v>
      </c>
      <c r="V17" t="s">
        <v>796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48.78</v>
      </c>
      <c r="D18">
        <v>58</v>
      </c>
      <c r="E18">
        <v>0.8410344827586207</v>
      </c>
      <c r="F18">
        <v>0.04018040180401804</v>
      </c>
      <c r="G18">
        <v>0.03523093098262819</v>
      </c>
      <c r="H18">
        <v>0.03</v>
      </c>
      <c r="I18">
        <v>0.09917158043886842</v>
      </c>
      <c r="J18" t="s">
        <v>776</v>
      </c>
      <c r="K18" t="s">
        <v>776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-0.06387274196241201</v>
      </c>
      <c r="R18" t="s">
        <v>780</v>
      </c>
      <c r="S18" t="s">
        <v>785</v>
      </c>
      <c r="T18">
        <v>13745.618738</v>
      </c>
      <c r="U18" s="2">
        <v>44511</v>
      </c>
      <c r="V18" t="s">
        <v>799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67.84</v>
      </c>
      <c r="D19">
        <v>74</v>
      </c>
      <c r="E19">
        <v>0.9167567567567568</v>
      </c>
      <c r="F19">
        <v>0.02122641509433962</v>
      </c>
      <c r="G19">
        <v>0.0175345772821569</v>
      </c>
      <c r="H19">
        <v>0.06</v>
      </c>
      <c r="I19">
        <v>0.0967273620349729</v>
      </c>
      <c r="J19" t="s">
        <v>776</v>
      </c>
      <c r="K19" t="s">
        <v>777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0.204547593301834</v>
      </c>
      <c r="R19" t="s">
        <v>780</v>
      </c>
      <c r="S19" t="s">
        <v>790</v>
      </c>
      <c r="T19">
        <v>2209.699201</v>
      </c>
      <c r="U19" s="2">
        <v>44492</v>
      </c>
      <c r="V19" t="s">
        <v>797</v>
      </c>
    </row>
    <row r="20" spans="1:22">
      <c r="A20" s="1" t="s">
        <v>40</v>
      </c>
      <c r="B20">
        <f>HYPERLINK("https://www.suredividend.com/sure-analysis-MCK/","Mckesson Corporation")</f>
        <v>0</v>
      </c>
      <c r="C20">
        <v>226.02</v>
      </c>
      <c r="D20">
        <v>269</v>
      </c>
      <c r="E20">
        <v>0.8402230483271376</v>
      </c>
      <c r="F20">
        <v>0.008317847978055038</v>
      </c>
      <c r="G20">
        <v>0.03543080593616343</v>
      </c>
      <c r="H20">
        <v>0.05</v>
      </c>
      <c r="I20">
        <v>0.0944376549418291</v>
      </c>
      <c r="J20" t="s">
        <v>776</v>
      </c>
      <c r="K20" t="s">
        <v>367</v>
      </c>
      <c r="L20">
        <v>22.45</v>
      </c>
      <c r="M20">
        <v>1.88</v>
      </c>
      <c r="N20">
        <v>0.08374164810690422</v>
      </c>
      <c r="O20">
        <v>14</v>
      </c>
      <c r="P20">
        <v>0.0702598056972048</v>
      </c>
      <c r="Q20">
        <v>0.269186321403663</v>
      </c>
      <c r="R20" t="s">
        <v>780</v>
      </c>
      <c r="S20" t="s">
        <v>785</v>
      </c>
      <c r="T20">
        <v>34509.223159</v>
      </c>
      <c r="U20" s="2">
        <v>44524</v>
      </c>
      <c r="V20" t="s">
        <v>798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29.3</v>
      </c>
      <c r="D21">
        <v>32</v>
      </c>
      <c r="E21">
        <v>0.915625</v>
      </c>
      <c r="F21">
        <v>0.02969283276450512</v>
      </c>
      <c r="G21">
        <v>0.01778599738992148</v>
      </c>
      <c r="H21">
        <v>0.05</v>
      </c>
      <c r="I21">
        <v>0.09209107997133748</v>
      </c>
      <c r="J21" t="s">
        <v>776</v>
      </c>
      <c r="K21" t="s">
        <v>776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0.161094995799451</v>
      </c>
      <c r="R21" t="s">
        <v>780</v>
      </c>
      <c r="S21" t="s">
        <v>788</v>
      </c>
      <c r="T21">
        <v>5931.226249</v>
      </c>
      <c r="U21" s="2">
        <v>44524</v>
      </c>
      <c r="V21" t="s">
        <v>798</v>
      </c>
    </row>
    <row r="22" spans="1:22">
      <c r="A22" s="1" t="s">
        <v>42</v>
      </c>
      <c r="B22">
        <f>HYPERLINK("https://www.suredividend.com/sure-analysis-JNJ/","Johnson &amp; Johnson")</f>
        <v>0</v>
      </c>
      <c r="C22">
        <v>160.24</v>
      </c>
      <c r="D22">
        <v>167</v>
      </c>
      <c r="E22">
        <v>0.9595209580838324</v>
      </c>
      <c r="F22">
        <v>0.02646030953569645</v>
      </c>
      <c r="G22">
        <v>0.008298467178267765</v>
      </c>
      <c r="H22">
        <v>0.06</v>
      </c>
      <c r="I22">
        <v>0.09198976494264932</v>
      </c>
      <c r="J22" t="s">
        <v>776</v>
      </c>
      <c r="K22" t="s">
        <v>776</v>
      </c>
      <c r="L22">
        <v>9.800000000000001</v>
      </c>
      <c r="M22">
        <v>4.24</v>
      </c>
      <c r="N22">
        <v>0.4326530612244898</v>
      </c>
      <c r="O22">
        <v>59</v>
      </c>
      <c r="P22">
        <v>0.05984764821935884</v>
      </c>
      <c r="Q22">
        <v>0.14185300281544</v>
      </c>
      <c r="R22" t="s">
        <v>780</v>
      </c>
      <c r="S22" t="s">
        <v>785</v>
      </c>
      <c r="T22">
        <v>421847.338313</v>
      </c>
      <c r="U22" s="2">
        <v>44489</v>
      </c>
      <c r="V22" t="s">
        <v>796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42.33</v>
      </c>
      <c r="D23">
        <v>44</v>
      </c>
      <c r="E23">
        <v>0.9620454545454545</v>
      </c>
      <c r="F23">
        <v>0.03968816442239546</v>
      </c>
      <c r="G23">
        <v>0.007768737130815717</v>
      </c>
      <c r="H23">
        <v>0.05</v>
      </c>
      <c r="I23">
        <v>0.0915969156928127</v>
      </c>
      <c r="J23" t="s">
        <v>776</v>
      </c>
      <c r="K23" t="s">
        <v>776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-0.015615734334848</v>
      </c>
      <c r="R23" t="s">
        <v>780</v>
      </c>
      <c r="S23" t="s">
        <v>791</v>
      </c>
      <c r="T23">
        <v>5645.856791</v>
      </c>
      <c r="U23" s="2">
        <v>44506</v>
      </c>
      <c r="V23" t="s">
        <v>800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35.35</v>
      </c>
      <c r="D24">
        <v>37</v>
      </c>
      <c r="E24">
        <v>0.9554054054054054</v>
      </c>
      <c r="F24">
        <v>0.03168316831683168</v>
      </c>
      <c r="G24">
        <v>0.009165653749766856</v>
      </c>
      <c r="H24">
        <v>0.055</v>
      </c>
      <c r="I24">
        <v>0.09152756580074772</v>
      </c>
      <c r="J24" t="s">
        <v>776</v>
      </c>
      <c r="K24" t="s">
        <v>776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0.31278920356217</v>
      </c>
      <c r="R24" t="s">
        <v>780</v>
      </c>
      <c r="S24" t="s">
        <v>790</v>
      </c>
      <c r="T24">
        <v>121.954637</v>
      </c>
      <c r="U24" s="2">
        <v>44505</v>
      </c>
      <c r="V24" t="s">
        <v>800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98.26000000000001</v>
      </c>
      <c r="D25">
        <v>100</v>
      </c>
      <c r="E25">
        <v>0.9826</v>
      </c>
      <c r="F25">
        <v>0.02106655811113372</v>
      </c>
      <c r="G25">
        <v>0.003516801334993991</v>
      </c>
      <c r="H25">
        <v>0.07000000000000001</v>
      </c>
      <c r="I25">
        <v>0.09105719526446543</v>
      </c>
      <c r="J25" t="s">
        <v>776</v>
      </c>
      <c r="K25" t="s">
        <v>777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0.063927697093526</v>
      </c>
      <c r="R25" t="s">
        <v>780</v>
      </c>
      <c r="S25" t="s">
        <v>787</v>
      </c>
      <c r="T25">
        <v>12772.568016</v>
      </c>
      <c r="U25" s="2">
        <v>44495</v>
      </c>
      <c r="V25" t="s">
        <v>797</v>
      </c>
    </row>
    <row r="26" spans="1:22">
      <c r="A26" s="1" t="s">
        <v>46</v>
      </c>
      <c r="B26">
        <f>HYPERLINK("https://www.suredividend.com/sure-analysis-JW.A/","John Wiley &amp; Sons Inc.")</f>
        <v>0</v>
      </c>
      <c r="C26">
        <v>54.98</v>
      </c>
      <c r="D26">
        <v>62</v>
      </c>
      <c r="E26">
        <v>0.886774193548387</v>
      </c>
      <c r="F26">
        <v>0.02510003637686431</v>
      </c>
      <c r="G26">
        <v>0.02432410001518837</v>
      </c>
      <c r="H26">
        <v>0.045</v>
      </c>
      <c r="I26">
        <v>0.09055793009504765</v>
      </c>
      <c r="J26" t="s">
        <v>776</v>
      </c>
      <c r="K26" t="s">
        <v>777</v>
      </c>
      <c r="L26">
        <v>4.12</v>
      </c>
      <c r="M26">
        <v>1.38</v>
      </c>
      <c r="N26">
        <v>0.3349514563106796</v>
      </c>
      <c r="O26">
        <v>28</v>
      </c>
      <c r="P26">
        <v>0.03002598081465924</v>
      </c>
      <c r="Q26">
        <v>0.5691445336803821</v>
      </c>
      <c r="R26" t="s">
        <v>780</v>
      </c>
      <c r="S26" t="s">
        <v>784</v>
      </c>
      <c r="T26">
        <v>3074.208838</v>
      </c>
      <c r="U26" s="2">
        <v>44453</v>
      </c>
      <c r="V26" t="s">
        <v>800</v>
      </c>
    </row>
    <row r="27" spans="1:22">
      <c r="A27" s="1" t="s">
        <v>47</v>
      </c>
      <c r="B27">
        <f>HYPERLINK("https://www.suredividend.com/sure-analysis-UGI/","UGI Corp.")</f>
        <v>0</v>
      </c>
      <c r="C27">
        <v>44.91</v>
      </c>
      <c r="D27">
        <v>49.9</v>
      </c>
      <c r="E27">
        <v>0.8999999999999999</v>
      </c>
      <c r="F27">
        <v>0.03117345802716544</v>
      </c>
      <c r="G27">
        <v>0.02129568760013512</v>
      </c>
      <c r="H27">
        <v>0.04</v>
      </c>
      <c r="I27">
        <v>0.08900979548953569</v>
      </c>
      <c r="J27" t="s">
        <v>776</v>
      </c>
      <c r="K27" t="s">
        <v>776</v>
      </c>
      <c r="L27">
        <v>3.22</v>
      </c>
      <c r="M27">
        <v>1.4</v>
      </c>
      <c r="N27">
        <v>0.4347826086956521</v>
      </c>
      <c r="O27">
        <v>34</v>
      </c>
      <c r="P27">
        <v>0.04801873431401682</v>
      </c>
      <c r="Q27">
        <v>0.218979271109566</v>
      </c>
      <c r="R27" t="s">
        <v>780</v>
      </c>
      <c r="S27" t="s">
        <v>789</v>
      </c>
      <c r="T27">
        <v>9396.146322000001</v>
      </c>
      <c r="U27" s="2">
        <v>44521</v>
      </c>
      <c r="V27" t="s">
        <v>803</v>
      </c>
    </row>
    <row r="28" spans="1:22">
      <c r="A28" s="1" t="s">
        <v>48</v>
      </c>
      <c r="B28">
        <f>HYPERLINK("https://www.suredividend.com/sure-analysis-V/","Visa Inc")</f>
        <v>0</v>
      </c>
      <c r="C28">
        <v>203.25</v>
      </c>
      <c r="D28">
        <v>178</v>
      </c>
      <c r="E28">
        <v>1.14185393258427</v>
      </c>
      <c r="F28">
        <v>0.007380073800738007</v>
      </c>
      <c r="G28">
        <v>-0.02618179404833221</v>
      </c>
      <c r="H28">
        <v>0.11</v>
      </c>
      <c r="I28">
        <v>0.08799874707722566</v>
      </c>
      <c r="J28" t="s">
        <v>776</v>
      </c>
      <c r="K28" t="s">
        <v>367</v>
      </c>
      <c r="L28">
        <v>7.1</v>
      </c>
      <c r="M28">
        <v>1.5</v>
      </c>
      <c r="N28">
        <v>0.2112676056338028</v>
      </c>
      <c r="O28">
        <v>14</v>
      </c>
      <c r="P28">
        <v>0.09487401536266371</v>
      </c>
      <c r="Q28">
        <v>-0.024711624141854</v>
      </c>
      <c r="R28" t="s">
        <v>780</v>
      </c>
      <c r="S28" t="s">
        <v>790</v>
      </c>
      <c r="T28">
        <v>447963</v>
      </c>
      <c r="U28" s="2">
        <v>44497</v>
      </c>
      <c r="V28" t="s">
        <v>799</v>
      </c>
    </row>
    <row r="29" spans="1:22">
      <c r="A29" s="1" t="s">
        <v>49</v>
      </c>
      <c r="B29">
        <f>HYPERLINK("https://www.suredividend.com/sure-analysis-BRC/","Brady Corp.")</f>
        <v>0</v>
      </c>
      <c r="C29">
        <v>50.86</v>
      </c>
      <c r="D29">
        <v>57</v>
      </c>
      <c r="E29">
        <v>0.892280701754386</v>
      </c>
      <c r="F29">
        <v>0.01769563507668109</v>
      </c>
      <c r="G29">
        <v>0.02305669070512617</v>
      </c>
      <c r="H29">
        <v>0.05</v>
      </c>
      <c r="I29">
        <v>0.08793124957914022</v>
      </c>
      <c r="J29" t="s">
        <v>776</v>
      </c>
      <c r="K29" t="s">
        <v>777</v>
      </c>
      <c r="L29">
        <v>3</v>
      </c>
      <c r="M29">
        <v>0.9</v>
      </c>
      <c r="N29">
        <v>0.3</v>
      </c>
      <c r="O29">
        <v>36</v>
      </c>
      <c r="P29">
        <v>0.01924487649145656</v>
      </c>
      <c r="Q29">
        <v>0.103048021410322</v>
      </c>
      <c r="R29" t="s">
        <v>780</v>
      </c>
      <c r="S29" t="s">
        <v>787</v>
      </c>
      <c r="T29">
        <v>2456.164738</v>
      </c>
      <c r="U29" s="2">
        <v>44519</v>
      </c>
      <c r="V29" t="s">
        <v>796</v>
      </c>
    </row>
    <row r="30" spans="1:22">
      <c r="A30" s="1" t="s">
        <v>50</v>
      </c>
      <c r="B30">
        <f>HYPERLINK("https://www.suredividend.com/sure-analysis-PH/","Parker-Hannifin Corp.")</f>
        <v>0</v>
      </c>
      <c r="C30">
        <v>325.04</v>
      </c>
      <c r="D30">
        <v>289</v>
      </c>
      <c r="E30">
        <v>1.124705882352941</v>
      </c>
      <c r="F30">
        <v>0.01267536303224218</v>
      </c>
      <c r="G30">
        <v>-0.02323023786828948</v>
      </c>
      <c r="H30">
        <v>0.1</v>
      </c>
      <c r="I30">
        <v>0.08693317634271991</v>
      </c>
      <c r="J30" t="s">
        <v>776</v>
      </c>
      <c r="K30" t="s">
        <v>777</v>
      </c>
      <c r="L30">
        <v>17.5</v>
      </c>
      <c r="M30">
        <v>4.12</v>
      </c>
      <c r="N30">
        <v>0.2354285714285714</v>
      </c>
      <c r="O30">
        <v>65</v>
      </c>
      <c r="P30">
        <v>0.10015574926841</v>
      </c>
      <c r="Q30">
        <v>0.176588977912532</v>
      </c>
      <c r="R30" t="s">
        <v>780</v>
      </c>
      <c r="S30" t="s">
        <v>787</v>
      </c>
      <c r="T30">
        <v>41772.500323</v>
      </c>
      <c r="U30" s="2">
        <v>44508</v>
      </c>
      <c r="V30" t="s">
        <v>804</v>
      </c>
    </row>
    <row r="31" spans="1:22">
      <c r="A31" s="1" t="s">
        <v>51</v>
      </c>
      <c r="B31">
        <f>HYPERLINK("https://www.suredividend.com/sure-analysis-ABBV/","Abbvie Inc")</f>
        <v>0</v>
      </c>
      <c r="C31">
        <v>118.66</v>
      </c>
      <c r="D31">
        <v>127</v>
      </c>
      <c r="E31">
        <v>0.9343307086614173</v>
      </c>
      <c r="F31">
        <v>0.04753076015506489</v>
      </c>
      <c r="G31">
        <v>0.01367766004112569</v>
      </c>
      <c r="H31">
        <v>0.03</v>
      </c>
      <c r="I31">
        <v>0.08685647621896697</v>
      </c>
      <c r="J31" t="s">
        <v>776</v>
      </c>
      <c r="K31" t="s">
        <v>776</v>
      </c>
      <c r="L31">
        <v>12.65</v>
      </c>
      <c r="M31">
        <v>5.64</v>
      </c>
      <c r="N31">
        <v>0.4458498023715415</v>
      </c>
      <c r="O31">
        <v>50</v>
      </c>
      <c r="P31">
        <v>0.05005169060192549</v>
      </c>
      <c r="Q31">
        <v>0.196147650546663</v>
      </c>
      <c r="R31" t="s">
        <v>780</v>
      </c>
      <c r="S31" t="s">
        <v>785</v>
      </c>
      <c r="T31">
        <v>209693.048627</v>
      </c>
      <c r="U31" s="2">
        <v>44504</v>
      </c>
      <c r="V31" t="s">
        <v>800</v>
      </c>
    </row>
    <row r="32" spans="1:22">
      <c r="A32" s="1" t="s">
        <v>52</v>
      </c>
      <c r="B32">
        <f>HYPERLINK("https://www.suredividend.com/sure-analysis-SWK/","Stanley Black &amp; Decker Inc")</f>
        <v>0</v>
      </c>
      <c r="C32">
        <v>189.7</v>
      </c>
      <c r="D32">
        <v>182</v>
      </c>
      <c r="E32">
        <v>1.042307692307692</v>
      </c>
      <c r="F32">
        <v>0.01665788086452293</v>
      </c>
      <c r="G32">
        <v>-0.008253191828323403</v>
      </c>
      <c r="H32">
        <v>0.08</v>
      </c>
      <c r="I32">
        <v>0.08665884143944225</v>
      </c>
      <c r="J32" t="s">
        <v>776</v>
      </c>
      <c r="K32" t="s">
        <v>777</v>
      </c>
      <c r="L32">
        <v>11</v>
      </c>
      <c r="M32">
        <v>3.16</v>
      </c>
      <c r="N32">
        <v>0.2872727272727273</v>
      </c>
      <c r="O32">
        <v>54</v>
      </c>
      <c r="P32">
        <v>0.07985683020954282</v>
      </c>
      <c r="Q32">
        <v>0.009491991913420001</v>
      </c>
      <c r="R32" t="s">
        <v>780</v>
      </c>
      <c r="S32" t="s">
        <v>787</v>
      </c>
      <c r="T32">
        <v>30927.400127</v>
      </c>
      <c r="U32" s="2">
        <v>44500</v>
      </c>
      <c r="V32" t="s">
        <v>796</v>
      </c>
    </row>
    <row r="33" spans="1:22">
      <c r="A33" s="1" t="s">
        <v>53</v>
      </c>
      <c r="B33">
        <f>HYPERLINK("https://www.suredividend.com/sure-analysis-MMM/","3M Co.")</f>
        <v>0</v>
      </c>
      <c r="C33">
        <v>177.63</v>
      </c>
      <c r="D33">
        <v>186</v>
      </c>
      <c r="E33">
        <v>0.955</v>
      </c>
      <c r="F33">
        <v>0.0333277036536621</v>
      </c>
      <c r="G33">
        <v>0.009251319039511818</v>
      </c>
      <c r="H33">
        <v>0.05</v>
      </c>
      <c r="I33">
        <v>0.08640120654969796</v>
      </c>
      <c r="J33" t="s">
        <v>776</v>
      </c>
      <c r="K33" t="s">
        <v>776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0.034946260052752</v>
      </c>
      <c r="R33" t="s">
        <v>780</v>
      </c>
      <c r="S33" t="s">
        <v>787</v>
      </c>
      <c r="T33">
        <v>102783.51288</v>
      </c>
      <c r="U33" s="2">
        <v>44496</v>
      </c>
      <c r="V33" t="s">
        <v>796</v>
      </c>
    </row>
    <row r="34" spans="1:22">
      <c r="A34" s="1" t="s">
        <v>54</v>
      </c>
      <c r="B34">
        <f>HYPERLINK("https://www.suredividend.com/sure-analysis-LHX/","L3Harris Technologies Inc")</f>
        <v>0</v>
      </c>
      <c r="C34">
        <v>218.74</v>
      </c>
      <c r="D34">
        <v>206</v>
      </c>
      <c r="E34">
        <v>1.061844660194175</v>
      </c>
      <c r="F34">
        <v>0.01865228124714273</v>
      </c>
      <c r="G34">
        <v>-0.01192979713132669</v>
      </c>
      <c r="H34">
        <v>0.08</v>
      </c>
      <c r="I34">
        <v>0.08474197559602925</v>
      </c>
      <c r="J34" t="s">
        <v>776</v>
      </c>
      <c r="K34" t="s">
        <v>777</v>
      </c>
      <c r="L34">
        <v>12.9</v>
      </c>
      <c r="M34">
        <v>4.08</v>
      </c>
      <c r="N34">
        <v>0.3162790697674419</v>
      </c>
      <c r="O34">
        <v>20</v>
      </c>
      <c r="P34">
        <v>0.07982488529298792</v>
      </c>
      <c r="Q34">
        <v>0.138460865863141</v>
      </c>
      <c r="R34" t="s">
        <v>780</v>
      </c>
      <c r="S34" t="s">
        <v>787</v>
      </c>
      <c r="T34">
        <v>42922.359089</v>
      </c>
      <c r="U34" s="2">
        <v>44509</v>
      </c>
      <c r="V34" t="s">
        <v>802</v>
      </c>
    </row>
    <row r="35" spans="1:22">
      <c r="A35" s="1" t="s">
        <v>55</v>
      </c>
      <c r="B35">
        <f>HYPERLINK("https://www.suredividend.com/sure-analysis-TNC/","Tennant Co.")</f>
        <v>0</v>
      </c>
      <c r="C35">
        <v>84.23999999999999</v>
      </c>
      <c r="D35">
        <v>82</v>
      </c>
      <c r="E35">
        <v>1.027317073170732</v>
      </c>
      <c r="F35">
        <v>0.01187084520417854</v>
      </c>
      <c r="G35">
        <v>-0.005375623458460099</v>
      </c>
      <c r="H35">
        <v>0.08</v>
      </c>
      <c r="I35">
        <v>0.08436409759680852</v>
      </c>
      <c r="J35" t="s">
        <v>776</v>
      </c>
      <c r="K35" t="s">
        <v>777</v>
      </c>
      <c r="L35">
        <v>4.3</v>
      </c>
      <c r="M35">
        <v>1</v>
      </c>
      <c r="N35">
        <v>0.2325581395348837</v>
      </c>
      <c r="O35">
        <v>49</v>
      </c>
      <c r="P35">
        <v>0.05061112176150684</v>
      </c>
      <c r="Q35">
        <v>0.210099678082457</v>
      </c>
      <c r="R35" t="s">
        <v>780</v>
      </c>
      <c r="S35" t="s">
        <v>787</v>
      </c>
      <c r="T35">
        <v>1561.490752</v>
      </c>
      <c r="U35" s="2">
        <v>44510</v>
      </c>
      <c r="V35" t="s">
        <v>800</v>
      </c>
    </row>
    <row r="36" spans="1:22">
      <c r="A36" s="1" t="s">
        <v>56</v>
      </c>
      <c r="B36">
        <f>HYPERLINK("https://www.suredividend.com/sure-analysis-CINF/","Cincinnati Financial Corp.")</f>
        <v>0</v>
      </c>
      <c r="C36">
        <v>119.82</v>
      </c>
      <c r="D36">
        <v>112.03</v>
      </c>
      <c r="E36">
        <v>1.069534945996608</v>
      </c>
      <c r="F36">
        <v>0.02103154732098148</v>
      </c>
      <c r="G36">
        <v>-0.01335480739140338</v>
      </c>
      <c r="H36">
        <v>0.08</v>
      </c>
      <c r="I36">
        <v>0.08388011998042755</v>
      </c>
      <c r="J36" t="s">
        <v>776</v>
      </c>
      <c r="K36" t="s">
        <v>777</v>
      </c>
      <c r="L36">
        <v>5.58</v>
      </c>
      <c r="M36">
        <v>2.52</v>
      </c>
      <c r="N36">
        <v>0.4516129032258064</v>
      </c>
      <c r="O36">
        <v>60</v>
      </c>
      <c r="P36">
        <v>0.05024607263868264</v>
      </c>
      <c r="Q36">
        <v>0.542513748995859</v>
      </c>
      <c r="R36" t="s">
        <v>780</v>
      </c>
      <c r="S36" t="s">
        <v>790</v>
      </c>
      <c r="T36">
        <v>19307.91438</v>
      </c>
      <c r="U36" s="2">
        <v>44499</v>
      </c>
      <c r="V36" t="s">
        <v>797</v>
      </c>
    </row>
    <row r="37" spans="1:22">
      <c r="A37" s="1" t="s">
        <v>57</v>
      </c>
      <c r="B37">
        <f>HYPERLINK("https://www.suredividend.com/sure-analysis-BBY/","Best Buy Co. Inc.")</f>
        <v>0</v>
      </c>
      <c r="C37">
        <v>116.69</v>
      </c>
      <c r="D37">
        <v>116</v>
      </c>
      <c r="E37">
        <v>1.005948275862069</v>
      </c>
      <c r="F37">
        <v>0.02399520095980804</v>
      </c>
      <c r="G37">
        <v>-0.001185427767070868</v>
      </c>
      <c r="H37">
        <v>0.06</v>
      </c>
      <c r="I37">
        <v>0.08189271873913162</v>
      </c>
      <c r="J37" t="s">
        <v>776</v>
      </c>
      <c r="K37" t="s">
        <v>777</v>
      </c>
      <c r="L37">
        <v>9.69</v>
      </c>
      <c r="M37">
        <v>2.8</v>
      </c>
      <c r="N37">
        <v>0.2889576883384933</v>
      </c>
      <c r="O37">
        <v>18</v>
      </c>
      <c r="P37">
        <v>0.07978367728709435</v>
      </c>
      <c r="Q37">
        <v>0.052894670831686</v>
      </c>
      <c r="R37" t="s">
        <v>780</v>
      </c>
      <c r="S37" t="s">
        <v>791</v>
      </c>
      <c r="T37">
        <v>28701.564832</v>
      </c>
      <c r="U37" s="2">
        <v>44452</v>
      </c>
      <c r="V37" t="s">
        <v>802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66.84</v>
      </c>
      <c r="D38">
        <v>70</v>
      </c>
      <c r="E38">
        <v>0.954857142857143</v>
      </c>
      <c r="F38">
        <v>0.03560742070616397</v>
      </c>
      <c r="G38">
        <v>0.009281516254545208</v>
      </c>
      <c r="H38">
        <v>0.04</v>
      </c>
      <c r="I38">
        <v>0.08169099586565221</v>
      </c>
      <c r="J38" t="s">
        <v>776</v>
      </c>
      <c r="K38" t="s">
        <v>776</v>
      </c>
      <c r="L38">
        <v>3.9</v>
      </c>
      <c r="M38">
        <v>2.38</v>
      </c>
      <c r="N38">
        <v>0.6102564102564102</v>
      </c>
      <c r="O38">
        <v>50</v>
      </c>
      <c r="P38">
        <v>0.05016931709648742</v>
      </c>
      <c r="Q38">
        <v>0.067938051923774</v>
      </c>
      <c r="R38" t="s">
        <v>780</v>
      </c>
      <c r="S38" t="s">
        <v>789</v>
      </c>
      <c r="T38">
        <v>4243.021247</v>
      </c>
      <c r="U38" s="2">
        <v>44418</v>
      </c>
      <c r="V38" t="s">
        <v>800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424.79</v>
      </c>
      <c r="D39">
        <v>388</v>
      </c>
      <c r="E39">
        <v>1.094819587628866</v>
      </c>
      <c r="F39">
        <v>0.0106405518020669</v>
      </c>
      <c r="G39">
        <v>-0.01795477518748256</v>
      </c>
      <c r="H39">
        <v>0.09</v>
      </c>
      <c r="I39">
        <v>0.08079594833509107</v>
      </c>
      <c r="J39" t="s">
        <v>776</v>
      </c>
      <c r="K39" t="s">
        <v>367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0.369724758809266</v>
      </c>
      <c r="R39" t="s">
        <v>780</v>
      </c>
      <c r="S39" t="s">
        <v>785</v>
      </c>
      <c r="T39">
        <v>103102.767218</v>
      </c>
      <c r="U39" s="2">
        <v>44490</v>
      </c>
      <c r="V39" t="s">
        <v>796</v>
      </c>
    </row>
    <row r="40" spans="1:22">
      <c r="A40" s="1" t="s">
        <v>60</v>
      </c>
      <c r="B40">
        <f>HYPERLINK("https://www.suredividend.com/sure-analysis-NIDB/","Northeast Indiana Bancorp Inc.")</f>
        <v>0</v>
      </c>
      <c r="C40">
        <v>47</v>
      </c>
      <c r="D40">
        <v>54</v>
      </c>
      <c r="E40">
        <v>0.8703703703703703</v>
      </c>
      <c r="F40">
        <v>0.02553191489361702</v>
      </c>
      <c r="G40">
        <v>0.02815639324725039</v>
      </c>
      <c r="H40">
        <v>0.03</v>
      </c>
      <c r="I40">
        <v>0.08031639016689662</v>
      </c>
      <c r="J40" t="s">
        <v>776</v>
      </c>
      <c r="K40" t="s">
        <v>776</v>
      </c>
      <c r="L40">
        <v>6</v>
      </c>
      <c r="M40">
        <v>1.2</v>
      </c>
      <c r="N40">
        <v>0.2</v>
      </c>
      <c r="O40">
        <v>27</v>
      </c>
      <c r="P40">
        <v>0.02983277847878951</v>
      </c>
      <c r="Q40">
        <v>0.374269005847953</v>
      </c>
      <c r="R40" t="s">
        <v>780</v>
      </c>
      <c r="S40" t="s">
        <v>790</v>
      </c>
      <c r="T40">
        <v>56.479195</v>
      </c>
      <c r="U40" s="2">
        <v>44503</v>
      </c>
      <c r="V40" t="s">
        <v>796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62.63</v>
      </c>
      <c r="D41">
        <v>77</v>
      </c>
      <c r="E41">
        <v>0.8133766233766234</v>
      </c>
      <c r="F41">
        <v>0.03065623503113524</v>
      </c>
      <c r="G41">
        <v>0.04217742782900147</v>
      </c>
      <c r="H41">
        <v>0.01</v>
      </c>
      <c r="I41">
        <v>0.07936678769112726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0.328674592466247</v>
      </c>
      <c r="R41" t="s">
        <v>780</v>
      </c>
      <c r="S41" t="s">
        <v>790</v>
      </c>
      <c r="T41">
        <v>52681.862888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57.01</v>
      </c>
      <c r="D42">
        <v>61</v>
      </c>
      <c r="E42">
        <v>0.9345901639344262</v>
      </c>
      <c r="F42">
        <v>0.02806525171022628</v>
      </c>
      <c r="G42">
        <v>0.01362137157705257</v>
      </c>
      <c r="H42">
        <v>0.04</v>
      </c>
      <c r="I42">
        <v>0.07870820860438399</v>
      </c>
      <c r="J42" t="s">
        <v>776</v>
      </c>
      <c r="K42" t="s">
        <v>776</v>
      </c>
      <c r="L42">
        <v>6.1</v>
      </c>
      <c r="M42">
        <v>1.6</v>
      </c>
      <c r="N42">
        <v>0.2622950819672131</v>
      </c>
      <c r="O42">
        <v>40</v>
      </c>
      <c r="P42">
        <v>0.04142312668144399</v>
      </c>
      <c r="Q42">
        <v>0.257507880103318</v>
      </c>
      <c r="R42" t="s">
        <v>780</v>
      </c>
      <c r="S42" t="s">
        <v>790</v>
      </c>
      <c r="T42">
        <v>37713.723765</v>
      </c>
      <c r="U42" s="2">
        <v>44497</v>
      </c>
      <c r="V42" t="s">
        <v>799</v>
      </c>
    </row>
    <row r="43" spans="1:22">
      <c r="A43" s="1" t="s">
        <v>63</v>
      </c>
      <c r="B43">
        <f>HYPERLINK("https://www.suredividend.com/sure-analysis-CTBI/","Community Trust Bancorp, Inc.")</f>
        <v>0</v>
      </c>
      <c r="C43">
        <v>44.39</v>
      </c>
      <c r="D43">
        <v>48</v>
      </c>
      <c r="E43">
        <v>0.9247916666666667</v>
      </c>
      <c r="F43">
        <v>0.03604415408875873</v>
      </c>
      <c r="G43">
        <v>0.01576026169332012</v>
      </c>
      <c r="H43">
        <v>0.03</v>
      </c>
      <c r="I43">
        <v>0.07748342995432367</v>
      </c>
      <c r="J43" t="s">
        <v>776</v>
      </c>
      <c r="K43" t="s">
        <v>776</v>
      </c>
      <c r="L43">
        <v>4</v>
      </c>
      <c r="M43">
        <v>1.6</v>
      </c>
      <c r="N43">
        <v>0.4</v>
      </c>
      <c r="O43">
        <v>41</v>
      </c>
      <c r="P43">
        <v>0.03277941543624596</v>
      </c>
      <c r="Q43">
        <v>0.273379231210556</v>
      </c>
      <c r="R43" t="s">
        <v>780</v>
      </c>
      <c r="S43" t="s">
        <v>790</v>
      </c>
      <c r="T43">
        <v>792.054366</v>
      </c>
      <c r="U43" s="2">
        <v>44490</v>
      </c>
      <c r="V43" t="s">
        <v>804</v>
      </c>
    </row>
    <row r="44" spans="1:22">
      <c r="A44" s="1" t="s">
        <v>64</v>
      </c>
      <c r="B44">
        <f>HYPERLINK("https://www.suredividend.com/sure-analysis-ABC/","Amerisource Bergen Corp.")</f>
        <v>0</v>
      </c>
      <c r="C44">
        <v>123.44</v>
      </c>
      <c r="D44">
        <v>138</v>
      </c>
      <c r="E44">
        <v>0.8944927536231884</v>
      </c>
      <c r="F44">
        <v>0.01490602721970188</v>
      </c>
      <c r="G44">
        <v>0.02255019216343546</v>
      </c>
      <c r="H44">
        <v>0.04</v>
      </c>
      <c r="I44">
        <v>0.07742056431355149</v>
      </c>
      <c r="J44" t="s">
        <v>776</v>
      </c>
      <c r="K44" t="s">
        <v>777</v>
      </c>
      <c r="L44">
        <v>10.65</v>
      </c>
      <c r="M44">
        <v>1.84</v>
      </c>
      <c r="N44">
        <v>0.1727699530516432</v>
      </c>
      <c r="O44">
        <v>18</v>
      </c>
      <c r="P44">
        <v>0.06994234673120125</v>
      </c>
      <c r="Q44">
        <v>0.21559474922942</v>
      </c>
      <c r="R44" t="s">
        <v>780</v>
      </c>
      <c r="S44" t="s">
        <v>785</v>
      </c>
      <c r="T44">
        <v>25691.982082</v>
      </c>
      <c r="U44" s="2">
        <v>44511</v>
      </c>
      <c r="V44" t="s">
        <v>799</v>
      </c>
    </row>
    <row r="45" spans="1:22">
      <c r="A45" s="1" t="s">
        <v>65</v>
      </c>
      <c r="B45">
        <f>HYPERLINK("https://www.suredividend.com/sure-analysis-INTU/","Intuit Inc")</f>
        <v>0</v>
      </c>
      <c r="C45">
        <v>684</v>
      </c>
      <c r="D45">
        <v>462</v>
      </c>
      <c r="E45">
        <v>1.480519480519481</v>
      </c>
      <c r="F45">
        <v>0.003976608187134504</v>
      </c>
      <c r="G45">
        <v>-0.07547816042018229</v>
      </c>
      <c r="H45">
        <v>0.16</v>
      </c>
      <c r="I45">
        <v>0.07719772254319035</v>
      </c>
      <c r="J45" t="s">
        <v>776</v>
      </c>
      <c r="K45" t="s">
        <v>515</v>
      </c>
      <c r="L45">
        <v>11.56</v>
      </c>
      <c r="M45">
        <v>2.72</v>
      </c>
      <c r="N45">
        <v>0.2352941176470588</v>
      </c>
      <c r="O45">
        <v>10</v>
      </c>
      <c r="P45">
        <v>0.1598810174248351</v>
      </c>
      <c r="Q45">
        <v>0.9923411377374751</v>
      </c>
      <c r="R45" t="s">
        <v>780</v>
      </c>
      <c r="S45" t="s">
        <v>786</v>
      </c>
      <c r="T45">
        <v>187446.774528</v>
      </c>
      <c r="U45" s="2">
        <v>44520</v>
      </c>
      <c r="V45" t="s">
        <v>795</v>
      </c>
    </row>
    <row r="46" spans="1:22">
      <c r="A46" s="1" t="s">
        <v>66</v>
      </c>
      <c r="B46">
        <f>HYPERLINK("https://www.suredividend.com/sure-analysis-KO/","Coca-Cola Co")</f>
        <v>0</v>
      </c>
      <c r="C46">
        <v>55.43</v>
      </c>
      <c r="D46">
        <v>53</v>
      </c>
      <c r="E46">
        <v>1.045849056603773</v>
      </c>
      <c r="F46">
        <v>0.03030849720368032</v>
      </c>
      <c r="G46">
        <v>-0.008925736953451446</v>
      </c>
      <c r="H46">
        <v>0.06</v>
      </c>
      <c r="I46">
        <v>0.07715569034725056</v>
      </c>
      <c r="J46" t="s">
        <v>776</v>
      </c>
      <c r="K46" t="s">
        <v>776</v>
      </c>
      <c r="L46">
        <v>2.3</v>
      </c>
      <c r="M46">
        <v>1.68</v>
      </c>
      <c r="N46">
        <v>0.7304347826086957</v>
      </c>
      <c r="O46">
        <v>59</v>
      </c>
      <c r="P46">
        <v>0.03959498820755258</v>
      </c>
      <c r="Q46">
        <v>0.074453856442264</v>
      </c>
      <c r="R46" t="s">
        <v>780</v>
      </c>
      <c r="S46" t="s">
        <v>792</v>
      </c>
      <c r="T46">
        <v>239425.463681</v>
      </c>
      <c r="U46" s="2">
        <v>44512</v>
      </c>
      <c r="V46" t="s">
        <v>798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74.69</v>
      </c>
      <c r="D47">
        <v>64</v>
      </c>
      <c r="E47">
        <v>1.16703125</v>
      </c>
      <c r="F47">
        <v>0.008167090641317445</v>
      </c>
      <c r="G47">
        <v>-0.03042032506068337</v>
      </c>
      <c r="H47">
        <v>0.1</v>
      </c>
      <c r="I47">
        <v>0.07616648519984826</v>
      </c>
      <c r="J47" t="s">
        <v>776</v>
      </c>
      <c r="K47" t="s">
        <v>515</v>
      </c>
      <c r="L47">
        <v>3.06</v>
      </c>
      <c r="M47">
        <v>0.61</v>
      </c>
      <c r="N47">
        <v>0.1993464052287582</v>
      </c>
      <c r="O47">
        <v>5</v>
      </c>
      <c r="P47">
        <v>0.1505753231079818</v>
      </c>
      <c r="Q47">
        <v>0.154933323436997</v>
      </c>
      <c r="R47" t="s">
        <v>780</v>
      </c>
      <c r="S47" t="s">
        <v>787</v>
      </c>
      <c r="T47">
        <v>49816.458876</v>
      </c>
      <c r="U47" s="2">
        <v>44491</v>
      </c>
      <c r="V47" t="s">
        <v>805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633</v>
      </c>
      <c r="D48">
        <v>561</v>
      </c>
      <c r="E48">
        <v>1.128342245989305</v>
      </c>
      <c r="F48">
        <v>0.001642969984202212</v>
      </c>
      <c r="G48">
        <v>-0.02386062774693276</v>
      </c>
      <c r="H48">
        <v>0.1</v>
      </c>
      <c r="I48">
        <v>0.07566211650392329</v>
      </c>
      <c r="J48" t="s">
        <v>776</v>
      </c>
      <c r="K48" t="s">
        <v>515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0.443058024610864</v>
      </c>
      <c r="R48" t="s">
        <v>780</v>
      </c>
      <c r="S48" t="s">
        <v>785</v>
      </c>
      <c r="T48">
        <v>249432.439071</v>
      </c>
      <c r="U48" s="2">
        <v>44499</v>
      </c>
      <c r="V48" t="s">
        <v>795</v>
      </c>
    </row>
    <row r="49" spans="1:22">
      <c r="A49" s="1" t="s">
        <v>69</v>
      </c>
      <c r="B49">
        <f>HYPERLINK("https://www.suredividend.com/sure-analysis-ROP/","Roper Technologies Inc")</f>
        <v>0</v>
      </c>
      <c r="C49">
        <v>484.87</v>
      </c>
      <c r="D49">
        <v>423</v>
      </c>
      <c r="E49">
        <v>1.146264775413712</v>
      </c>
      <c r="F49">
        <v>0.005114773031946707</v>
      </c>
      <c r="G49">
        <v>-0.02693240348684178</v>
      </c>
      <c r="H49">
        <v>0.1</v>
      </c>
      <c r="I49">
        <v>0.07555416393633707</v>
      </c>
      <c r="J49" t="s">
        <v>776</v>
      </c>
      <c r="K49" t="s">
        <v>367</v>
      </c>
      <c r="L49">
        <v>14.1</v>
      </c>
      <c r="M49">
        <v>2.48</v>
      </c>
      <c r="N49">
        <v>0.175886524822695</v>
      </c>
      <c r="O49">
        <v>29</v>
      </c>
      <c r="P49">
        <v>0.09977601258252333</v>
      </c>
      <c r="Q49">
        <v>0.16451853461889</v>
      </c>
      <c r="R49" t="s">
        <v>780</v>
      </c>
      <c r="S49" t="s">
        <v>787</v>
      </c>
      <c r="T49">
        <v>51116.85924</v>
      </c>
      <c r="U49" s="2">
        <v>44494</v>
      </c>
      <c r="V49" t="s">
        <v>795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45.62</v>
      </c>
      <c r="D50">
        <v>50.8</v>
      </c>
      <c r="E50">
        <v>0.8980314960629922</v>
      </c>
      <c r="F50">
        <v>0.04208680403331872</v>
      </c>
      <c r="G50">
        <v>0.02174303586093651</v>
      </c>
      <c r="H50">
        <v>0.016</v>
      </c>
      <c r="I50">
        <v>0.07438025711905571</v>
      </c>
      <c r="J50" t="s">
        <v>776</v>
      </c>
      <c r="K50" t="s">
        <v>776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-0.066436106535151</v>
      </c>
      <c r="R50" t="s">
        <v>780</v>
      </c>
      <c r="S50" t="s">
        <v>789</v>
      </c>
      <c r="T50">
        <v>1399.289578</v>
      </c>
      <c r="U50" s="2">
        <v>44509</v>
      </c>
      <c r="V50" t="s">
        <v>803</v>
      </c>
    </row>
    <row r="51" spans="1:22">
      <c r="A51" s="1" t="s">
        <v>71</v>
      </c>
      <c r="B51">
        <f>HYPERLINK("https://www.suredividend.com/sure-analysis-EMR/","Emerson Electric Co.")</f>
        <v>0</v>
      </c>
      <c r="C51">
        <v>94.23</v>
      </c>
      <c r="D51">
        <v>92</v>
      </c>
      <c r="E51">
        <v>1.024239130434783</v>
      </c>
      <c r="F51">
        <v>0.02186140295022817</v>
      </c>
      <c r="G51">
        <v>-0.004778551254996266</v>
      </c>
      <c r="H51">
        <v>0.06</v>
      </c>
      <c r="I51">
        <v>0.073578260565905</v>
      </c>
      <c r="J51" t="s">
        <v>776</v>
      </c>
      <c r="K51" t="s">
        <v>777</v>
      </c>
      <c r="L51">
        <v>4.85</v>
      </c>
      <c r="M51">
        <v>2.06</v>
      </c>
      <c r="N51">
        <v>0.4247422680412372</v>
      </c>
      <c r="O51">
        <v>65</v>
      </c>
      <c r="P51">
        <v>0.03016344758557654</v>
      </c>
      <c r="Q51">
        <v>0.204261883188003</v>
      </c>
      <c r="R51" t="s">
        <v>780</v>
      </c>
      <c r="S51" t="s">
        <v>787</v>
      </c>
      <c r="T51">
        <v>56057.427</v>
      </c>
      <c r="U51" s="2">
        <v>44524</v>
      </c>
      <c r="V51" t="s">
        <v>798</v>
      </c>
    </row>
    <row r="52" spans="1:22">
      <c r="A52" s="1" t="s">
        <v>72</v>
      </c>
      <c r="B52">
        <f>HYPERLINK("https://www.suredividend.com/sure-analysis-SYY/","Sysco Corp.")</f>
        <v>0</v>
      </c>
      <c r="C52">
        <v>76.33</v>
      </c>
      <c r="D52">
        <v>69</v>
      </c>
      <c r="E52">
        <v>1.106231884057971</v>
      </c>
      <c r="F52">
        <v>0.02462989650203065</v>
      </c>
      <c r="G52">
        <v>-0.01998941684945832</v>
      </c>
      <c r="H52">
        <v>0.07000000000000001</v>
      </c>
      <c r="I52">
        <v>0.07322771786738813</v>
      </c>
      <c r="J52" t="s">
        <v>776</v>
      </c>
      <c r="K52" t="s">
        <v>777</v>
      </c>
      <c r="L52">
        <v>3.47</v>
      </c>
      <c r="M52">
        <v>1.88</v>
      </c>
      <c r="N52">
        <v>0.5417867435158501</v>
      </c>
      <c r="O52">
        <v>51</v>
      </c>
      <c r="P52">
        <v>0.07981721406627784</v>
      </c>
      <c r="Q52">
        <v>0.078579604063926</v>
      </c>
      <c r="R52" t="s">
        <v>780</v>
      </c>
      <c r="S52" t="s">
        <v>792</v>
      </c>
      <c r="T52">
        <v>39131.058661</v>
      </c>
      <c r="U52" s="2">
        <v>44513</v>
      </c>
      <c r="V52" t="s">
        <v>797</v>
      </c>
    </row>
    <row r="53" spans="1:22">
      <c r="A53" s="1" t="s">
        <v>73</v>
      </c>
      <c r="B53">
        <f>HYPERLINK("https://www.suredividend.com/sure-analysis-SEIC/","SEI Investments Co.")</f>
        <v>0</v>
      </c>
      <c r="C53">
        <v>63.58</v>
      </c>
      <c r="D53">
        <v>64</v>
      </c>
      <c r="E53">
        <v>0.9934375</v>
      </c>
      <c r="F53">
        <v>0.01163888015099088</v>
      </c>
      <c r="G53">
        <v>0.001317692970895568</v>
      </c>
      <c r="H53">
        <v>0.06</v>
      </c>
      <c r="I53">
        <v>0.0727886732283678</v>
      </c>
      <c r="J53" t="s">
        <v>776</v>
      </c>
      <c r="K53" t="s">
        <v>367</v>
      </c>
      <c r="L53">
        <v>3.75</v>
      </c>
      <c r="M53">
        <v>0.74</v>
      </c>
      <c r="N53">
        <v>0.1973333333333333</v>
      </c>
      <c r="O53">
        <v>30</v>
      </c>
      <c r="P53">
        <v>0.08053529061413389</v>
      </c>
      <c r="Q53">
        <v>0.135417968819758</v>
      </c>
      <c r="R53" t="s">
        <v>780</v>
      </c>
      <c r="S53" t="s">
        <v>790</v>
      </c>
      <c r="T53">
        <v>8866.390395</v>
      </c>
      <c r="U53" s="2">
        <v>44493</v>
      </c>
      <c r="V53" t="s">
        <v>798</v>
      </c>
    </row>
    <row r="54" spans="1:22">
      <c r="A54" s="1" t="s">
        <v>74</v>
      </c>
      <c r="B54">
        <f>HYPERLINK("https://www.suredividend.com/sure-analysis-MATW/","Matthews International Corp.")</f>
        <v>0</v>
      </c>
      <c r="C54">
        <v>37.93</v>
      </c>
      <c r="D54">
        <v>42</v>
      </c>
      <c r="E54">
        <v>0.9030952380952381</v>
      </c>
      <c r="F54">
        <v>0.0232006327445294</v>
      </c>
      <c r="G54">
        <v>0.02059465499787128</v>
      </c>
      <c r="H54">
        <v>0.03</v>
      </c>
      <c r="I54">
        <v>0.07235331644590626</v>
      </c>
      <c r="J54" t="s">
        <v>776</v>
      </c>
      <c r="K54" t="s">
        <v>777</v>
      </c>
      <c r="L54">
        <v>3.25</v>
      </c>
      <c r="M54">
        <v>0.88</v>
      </c>
      <c r="N54">
        <v>0.2707692307692308</v>
      </c>
      <c r="O54">
        <v>28</v>
      </c>
      <c r="P54">
        <v>0.04941452284458392</v>
      </c>
      <c r="Q54">
        <v>0.286739761717371</v>
      </c>
      <c r="R54" t="s">
        <v>780</v>
      </c>
      <c r="S54" t="s">
        <v>787</v>
      </c>
      <c r="T54">
        <v>1193.661348</v>
      </c>
      <c r="U54" s="2">
        <v>44417</v>
      </c>
      <c r="V54" t="s">
        <v>801</v>
      </c>
    </row>
    <row r="55" spans="1:22">
      <c r="A55" s="1" t="s">
        <v>75</v>
      </c>
      <c r="B55">
        <f>HYPERLINK("https://www.suredividend.com/sure-analysis-SKM/","SK Telecom Co Ltd")</f>
        <v>0</v>
      </c>
      <c r="C55">
        <v>30.69</v>
      </c>
      <c r="D55">
        <v>30</v>
      </c>
      <c r="E55">
        <v>1.023</v>
      </c>
      <c r="F55">
        <v>0.03258390355164548</v>
      </c>
      <c r="G55">
        <v>-0.004537571368377624</v>
      </c>
      <c r="H55">
        <v>0.05</v>
      </c>
      <c r="I55">
        <v>0.07121099870554359</v>
      </c>
      <c r="J55" t="s">
        <v>776</v>
      </c>
      <c r="K55" t="s">
        <v>776</v>
      </c>
      <c r="L55">
        <v>11</v>
      </c>
      <c r="M55">
        <v>1</v>
      </c>
      <c r="N55">
        <v>0.09090909090909091</v>
      </c>
      <c r="O55">
        <v>0</v>
      </c>
      <c r="P55">
        <v>0</v>
      </c>
      <c r="Q55">
        <v>0.378285159969102</v>
      </c>
      <c r="R55" t="s">
        <v>780</v>
      </c>
      <c r="S55" t="s">
        <v>784</v>
      </c>
      <c r="T55">
        <v>19903.732098</v>
      </c>
      <c r="U55" s="2">
        <v>44515</v>
      </c>
      <c r="V55" t="s">
        <v>801</v>
      </c>
    </row>
    <row r="56" spans="1:22">
      <c r="A56" s="1" t="s">
        <v>76</v>
      </c>
      <c r="B56">
        <f>HYPERLINK("https://www.suredividend.com/sure-analysis-WMT/","Walmart Inc")</f>
        <v>0</v>
      </c>
      <c r="C56">
        <v>146.54</v>
      </c>
      <c r="D56">
        <v>151</v>
      </c>
      <c r="E56">
        <v>0.9704635761589403</v>
      </c>
      <c r="F56">
        <v>0.01501296574314181</v>
      </c>
      <c r="G56">
        <v>0.006014295300275752</v>
      </c>
      <c r="H56">
        <v>0.05</v>
      </c>
      <c r="I56">
        <v>0.06995723801194664</v>
      </c>
      <c r="J56" t="s">
        <v>776</v>
      </c>
      <c r="K56" t="s">
        <v>777</v>
      </c>
      <c r="L56">
        <v>6.3</v>
      </c>
      <c r="M56">
        <v>2.2</v>
      </c>
      <c r="N56">
        <v>0.3492063492063492</v>
      </c>
      <c r="O56">
        <v>48</v>
      </c>
      <c r="P56">
        <v>0.05016303610438722</v>
      </c>
      <c r="Q56">
        <v>-0.016811622207148</v>
      </c>
      <c r="R56" t="s">
        <v>780</v>
      </c>
      <c r="S56" t="s">
        <v>792</v>
      </c>
      <c r="T56">
        <v>408626.469957</v>
      </c>
      <c r="U56" s="2">
        <v>44428</v>
      </c>
      <c r="V56" t="s">
        <v>798</v>
      </c>
    </row>
    <row r="57" spans="1:22">
      <c r="A57" s="1" t="s">
        <v>77</v>
      </c>
      <c r="B57">
        <f>HYPERLINK("https://www.suredividend.com/sure-analysis-LANC/","Lancaster Colony Corp.")</f>
        <v>0</v>
      </c>
      <c r="C57">
        <v>162.11</v>
      </c>
      <c r="D57">
        <v>170</v>
      </c>
      <c r="E57">
        <v>0.9535882352941177</v>
      </c>
      <c r="F57">
        <v>0.01973968293134291</v>
      </c>
      <c r="G57">
        <v>0.009549976745127031</v>
      </c>
      <c r="H57">
        <v>0.04</v>
      </c>
      <c r="I57">
        <v>0.06812789688234666</v>
      </c>
      <c r="J57" t="s">
        <v>776</v>
      </c>
      <c r="K57" t="s">
        <v>777</v>
      </c>
      <c r="L57">
        <v>6.3</v>
      </c>
      <c r="M57">
        <v>3.2</v>
      </c>
      <c r="N57">
        <v>0.507936507936508</v>
      </c>
      <c r="O57">
        <v>59</v>
      </c>
      <c r="P57">
        <v>0.04978904632428516</v>
      </c>
      <c r="Q57">
        <v>-0.05853506406619201</v>
      </c>
      <c r="R57" t="s">
        <v>780</v>
      </c>
      <c r="S57" t="s">
        <v>792</v>
      </c>
      <c r="T57">
        <v>4462.8883</v>
      </c>
      <c r="U57" s="2">
        <v>44444</v>
      </c>
      <c r="V57" t="s">
        <v>798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231.26</v>
      </c>
      <c r="D58">
        <v>289</v>
      </c>
      <c r="E58">
        <v>0.8002076124567473</v>
      </c>
      <c r="F58">
        <v>0.02421516907376978</v>
      </c>
      <c r="G58">
        <v>0.04558528909121828</v>
      </c>
      <c r="H58">
        <v>0</v>
      </c>
      <c r="I58">
        <v>0.0674685542548803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0.183865115345709</v>
      </c>
      <c r="R58" t="s">
        <v>780</v>
      </c>
      <c r="S58" t="s">
        <v>791</v>
      </c>
      <c r="T58">
        <v>14500.810254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29.8</v>
      </c>
      <c r="D59">
        <v>38</v>
      </c>
      <c r="E59">
        <v>0.7842105263157895</v>
      </c>
      <c r="F59">
        <v>0.01879194630872483</v>
      </c>
      <c r="G59">
        <v>0.04981667453303262</v>
      </c>
      <c r="H59">
        <v>0</v>
      </c>
      <c r="I59">
        <v>0.0666751174664586</v>
      </c>
      <c r="J59" t="s">
        <v>776</v>
      </c>
      <c r="K59" t="s">
        <v>777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0.442701046200322</v>
      </c>
      <c r="R59" t="s">
        <v>780</v>
      </c>
      <c r="S59" t="s">
        <v>790</v>
      </c>
      <c r="T59">
        <v>142.930455</v>
      </c>
      <c r="U59" s="2">
        <v>44507</v>
      </c>
      <c r="V59" t="s">
        <v>798</v>
      </c>
    </row>
    <row r="60" spans="1:22">
      <c r="A60" s="1" t="s">
        <v>80</v>
      </c>
      <c r="B60">
        <f>HYPERLINK("https://www.suredividend.com/sure-analysis-EXPD/","Expeditors International Of Washington, Inc.")</f>
        <v>0</v>
      </c>
      <c r="C60">
        <v>126.93</v>
      </c>
      <c r="D60">
        <v>138</v>
      </c>
      <c r="E60">
        <v>0.9197826086956522</v>
      </c>
      <c r="F60">
        <v>0.009138895454187347</v>
      </c>
      <c r="G60">
        <v>0.01686420832922719</v>
      </c>
      <c r="H60">
        <v>0.04</v>
      </c>
      <c r="I60">
        <v>0.0656404106627313</v>
      </c>
      <c r="J60" t="s">
        <v>776</v>
      </c>
      <c r="K60" t="s">
        <v>367</v>
      </c>
      <c r="L60">
        <v>7.67</v>
      </c>
      <c r="M60">
        <v>1.16</v>
      </c>
      <c r="N60">
        <v>0.151238591916558</v>
      </c>
      <c r="O60">
        <v>27</v>
      </c>
      <c r="P60">
        <v>0.03980577390781126</v>
      </c>
      <c r="Q60">
        <v>0.419871715994335</v>
      </c>
      <c r="R60" t="s">
        <v>780</v>
      </c>
      <c r="S60" t="s">
        <v>787</v>
      </c>
      <c r="T60">
        <v>21502.427126</v>
      </c>
      <c r="U60" s="2">
        <v>44513</v>
      </c>
      <c r="V60" t="s">
        <v>797</v>
      </c>
    </row>
    <row r="61" spans="1:22">
      <c r="A61" s="1" t="s">
        <v>81</v>
      </c>
      <c r="B61">
        <f>HYPERLINK("https://www.suredividend.com/sure-analysis-NFG/","National Fuel Gas Co.")</f>
        <v>0</v>
      </c>
      <c r="C61">
        <v>61.87</v>
      </c>
      <c r="D61">
        <v>71</v>
      </c>
      <c r="E61">
        <v>0.8714084507042253</v>
      </c>
      <c r="F61">
        <v>0.02941651850654598</v>
      </c>
      <c r="G61">
        <v>0.0279113146334331</v>
      </c>
      <c r="H61">
        <v>0.01</v>
      </c>
      <c r="I61">
        <v>0.06385703756453864</v>
      </c>
      <c r="J61" t="s">
        <v>776</v>
      </c>
      <c r="K61" t="s">
        <v>776</v>
      </c>
      <c r="L61">
        <v>5.1</v>
      </c>
      <c r="M61">
        <v>1.82</v>
      </c>
      <c r="N61">
        <v>0.3568627450980393</v>
      </c>
      <c r="O61">
        <v>51</v>
      </c>
      <c r="P61">
        <v>0.02107112828035462</v>
      </c>
      <c r="Q61">
        <v>0.486970085151689</v>
      </c>
      <c r="R61" t="s">
        <v>780</v>
      </c>
      <c r="S61" t="s">
        <v>789</v>
      </c>
      <c r="T61">
        <v>5641.929878</v>
      </c>
      <c r="U61" s="2">
        <v>44524</v>
      </c>
      <c r="V61" t="s">
        <v>804</v>
      </c>
    </row>
    <row r="62" spans="1:22">
      <c r="A62" s="1" t="s">
        <v>82</v>
      </c>
      <c r="B62">
        <f>HYPERLINK("https://www.suredividend.com/sure-analysis-EBTC/","Enterprise Bancorp, Inc.")</f>
        <v>0</v>
      </c>
      <c r="C62">
        <v>41.87</v>
      </c>
      <c r="D62">
        <v>41</v>
      </c>
      <c r="E62">
        <v>1.021219512195122</v>
      </c>
      <c r="F62">
        <v>0.01767375208980177</v>
      </c>
      <c r="G62">
        <v>-0.004190697084696327</v>
      </c>
      <c r="H62">
        <v>0.05</v>
      </c>
      <c r="I62">
        <v>0.06280304966619243</v>
      </c>
      <c r="J62" t="s">
        <v>776</v>
      </c>
      <c r="K62" t="s">
        <v>777</v>
      </c>
      <c r="L62">
        <v>3.4</v>
      </c>
      <c r="M62">
        <v>0.74</v>
      </c>
      <c r="N62">
        <v>0.2176470588235294</v>
      </c>
      <c r="O62">
        <v>27</v>
      </c>
      <c r="P62">
        <v>0.06207125806326297</v>
      </c>
      <c r="Q62">
        <v>0.588596404695598</v>
      </c>
      <c r="R62" t="s">
        <v>780</v>
      </c>
      <c r="S62" t="s">
        <v>790</v>
      </c>
      <c r="T62">
        <v>503.578236</v>
      </c>
      <c r="U62" s="2">
        <v>44494</v>
      </c>
      <c r="V62" t="s">
        <v>804</v>
      </c>
    </row>
    <row r="63" spans="1:22">
      <c r="A63" s="1" t="s">
        <v>83</v>
      </c>
      <c r="B63">
        <f>HYPERLINK("https://www.suredividend.com/sure-analysis-FMCB/","Farmers &amp; Merchants Bancorp")</f>
        <v>0</v>
      </c>
      <c r="C63">
        <v>1015</v>
      </c>
      <c r="D63">
        <v>1008</v>
      </c>
      <c r="E63">
        <v>1.006944444444444</v>
      </c>
      <c r="F63">
        <v>0.01507389162561576</v>
      </c>
      <c r="G63">
        <v>-0.001383131160095252</v>
      </c>
      <c r="H63">
        <v>0.05</v>
      </c>
      <c r="I63">
        <v>0.0626355391901976</v>
      </c>
      <c r="J63" t="s">
        <v>776</v>
      </c>
      <c r="K63" t="s">
        <v>777</v>
      </c>
      <c r="L63">
        <v>84</v>
      </c>
      <c r="M63">
        <v>15.3</v>
      </c>
      <c r="N63">
        <v>0.1821428571428572</v>
      </c>
      <c r="O63">
        <v>56</v>
      </c>
      <c r="P63">
        <v>0.0500311005456211</v>
      </c>
      <c r="Q63">
        <v>0.4267015559621221</v>
      </c>
      <c r="R63" t="s">
        <v>780</v>
      </c>
      <c r="S63" t="s">
        <v>790</v>
      </c>
      <c r="T63">
        <v>804.85034</v>
      </c>
      <c r="U63" s="2">
        <v>44498</v>
      </c>
      <c r="V63" t="s">
        <v>804</v>
      </c>
    </row>
    <row r="64" spans="1:22">
      <c r="A64" s="1" t="s">
        <v>84</v>
      </c>
      <c r="B64">
        <f>HYPERLINK("https://www.suredividend.com/sure-analysis-RNR/","RenaissanceRe Holdings Ltd")</f>
        <v>0</v>
      </c>
      <c r="C64">
        <v>163.27</v>
      </c>
      <c r="D64">
        <v>167</v>
      </c>
      <c r="E64">
        <v>0.9776646706586827</v>
      </c>
      <c r="F64">
        <v>0.008819746432290072</v>
      </c>
      <c r="G64">
        <v>0.004527928283647453</v>
      </c>
      <c r="H64">
        <v>0.05</v>
      </c>
      <c r="I64">
        <v>0.06235365718688568</v>
      </c>
      <c r="J64" t="s">
        <v>776</v>
      </c>
      <c r="K64" t="s">
        <v>367</v>
      </c>
      <c r="L64">
        <v>11</v>
      </c>
      <c r="M64">
        <v>1.44</v>
      </c>
      <c r="N64">
        <v>0.1309090909090909</v>
      </c>
      <c r="O64">
        <v>26</v>
      </c>
      <c r="P64">
        <v>0.02635185407071083</v>
      </c>
      <c r="Q64">
        <v>-0.058169444125572</v>
      </c>
      <c r="R64" t="s">
        <v>780</v>
      </c>
      <c r="S64" t="s">
        <v>790</v>
      </c>
      <c r="T64">
        <v>7513.666134</v>
      </c>
      <c r="U64" s="2">
        <v>44495</v>
      </c>
      <c r="V64" t="s">
        <v>795</v>
      </c>
    </row>
    <row r="65" spans="1:22">
      <c r="A65" s="1" t="s">
        <v>85</v>
      </c>
      <c r="B65">
        <f>HYPERLINK("https://www.suredividend.com/sure-analysis-AIZ/","Assurant Inc")</f>
        <v>0</v>
      </c>
      <c r="C65">
        <v>161.92</v>
      </c>
      <c r="D65">
        <v>138</v>
      </c>
      <c r="E65">
        <v>1.173333333333333</v>
      </c>
      <c r="F65">
        <v>0.01679841897233202</v>
      </c>
      <c r="G65">
        <v>-0.03146411065066124</v>
      </c>
      <c r="H65">
        <v>0.08</v>
      </c>
      <c r="I65">
        <v>0.06227446249160917</v>
      </c>
      <c r="J65" t="s">
        <v>776</v>
      </c>
      <c r="K65" t="s">
        <v>777</v>
      </c>
      <c r="L65">
        <v>10</v>
      </c>
      <c r="M65">
        <v>2.72</v>
      </c>
      <c r="N65">
        <v>0.272</v>
      </c>
      <c r="O65">
        <v>17</v>
      </c>
      <c r="P65">
        <v>0.06000153927394081</v>
      </c>
      <c r="Q65">
        <v>0.205994819108225</v>
      </c>
      <c r="R65" t="s">
        <v>780</v>
      </c>
      <c r="S65" t="s">
        <v>790</v>
      </c>
      <c r="T65">
        <v>9225.668721</v>
      </c>
      <c r="U65" s="2">
        <v>44512</v>
      </c>
      <c r="V65" t="s">
        <v>804</v>
      </c>
    </row>
    <row r="66" spans="1:22">
      <c r="A66" s="1" t="s">
        <v>86</v>
      </c>
      <c r="B66">
        <f>HYPERLINK("https://www.suredividend.com/sure-analysis-QCOM/","Qualcomm, Inc.")</f>
        <v>0</v>
      </c>
      <c r="C66">
        <v>180.71</v>
      </c>
      <c r="D66">
        <v>162</v>
      </c>
      <c r="E66">
        <v>1.115493827160494</v>
      </c>
      <c r="F66">
        <v>0.01505174035747883</v>
      </c>
      <c r="G66">
        <v>-0.02162225406774154</v>
      </c>
      <c r="H66">
        <v>0.07000000000000001</v>
      </c>
      <c r="I66">
        <v>0.06183981377251446</v>
      </c>
      <c r="J66" t="s">
        <v>776</v>
      </c>
      <c r="K66" t="s">
        <v>367</v>
      </c>
      <c r="L66">
        <v>10.14</v>
      </c>
      <c r="M66">
        <v>2.72</v>
      </c>
      <c r="N66">
        <v>0.2682445759368836</v>
      </c>
      <c r="O66">
        <v>19</v>
      </c>
      <c r="P66">
        <v>0.06972270615977982</v>
      </c>
      <c r="Q66">
        <v>0.26183031381317</v>
      </c>
      <c r="R66" t="s">
        <v>780</v>
      </c>
      <c r="S66" t="s">
        <v>786</v>
      </c>
      <c r="T66">
        <v>202395.2</v>
      </c>
      <c r="U66" s="2">
        <v>44505</v>
      </c>
      <c r="V66" t="s">
        <v>796</v>
      </c>
    </row>
    <row r="67" spans="1:22">
      <c r="A67" s="1" t="s">
        <v>87</v>
      </c>
      <c r="B67">
        <f>HYPERLINK("https://www.suredividend.com/sure-analysis-CL/","Colgate-Palmolive Co.")</f>
        <v>0</v>
      </c>
      <c r="C67">
        <v>77.76000000000001</v>
      </c>
      <c r="D67">
        <v>74</v>
      </c>
      <c r="E67">
        <v>1.050810810810811</v>
      </c>
      <c r="F67">
        <v>0.02314814814814815</v>
      </c>
      <c r="G67">
        <v>-0.009863447344117371</v>
      </c>
      <c r="H67">
        <v>0.05</v>
      </c>
      <c r="I67">
        <v>0.0616965862828609</v>
      </c>
      <c r="J67" t="s">
        <v>776</v>
      </c>
      <c r="K67" t="s">
        <v>777</v>
      </c>
      <c r="L67">
        <v>3.2</v>
      </c>
      <c r="M67">
        <v>1.8</v>
      </c>
      <c r="N67">
        <v>0.5625</v>
      </c>
      <c r="O67">
        <v>58</v>
      </c>
      <c r="P67">
        <v>0.05024607263868264</v>
      </c>
      <c r="Q67">
        <v>-0.061072545910968</v>
      </c>
      <c r="R67" t="s">
        <v>780</v>
      </c>
      <c r="S67" t="s">
        <v>792</v>
      </c>
      <c r="T67">
        <v>65539.914212</v>
      </c>
      <c r="U67" s="2">
        <v>44519</v>
      </c>
      <c r="V67" t="s">
        <v>798</v>
      </c>
    </row>
    <row r="68" spans="1:22">
      <c r="A68" s="1" t="s">
        <v>88</v>
      </c>
      <c r="B68">
        <f>HYPERLINK("https://www.suredividend.com/sure-analysis-BEN/","Franklin Resources, Inc.")</f>
        <v>0</v>
      </c>
      <c r="C68">
        <v>34.44</v>
      </c>
      <c r="D68">
        <v>33</v>
      </c>
      <c r="E68">
        <v>1.043636363636363</v>
      </c>
      <c r="F68">
        <v>0.03252032520325204</v>
      </c>
      <c r="G68">
        <v>-0.008505842492041116</v>
      </c>
      <c r="H68">
        <v>0.04</v>
      </c>
      <c r="I68">
        <v>0.06166190357084989</v>
      </c>
      <c r="J68" t="s">
        <v>776</v>
      </c>
      <c r="K68" t="s">
        <v>776</v>
      </c>
      <c r="L68">
        <v>3.3</v>
      </c>
      <c r="M68">
        <v>1.12</v>
      </c>
      <c r="N68">
        <v>0.3393939393939395</v>
      </c>
      <c r="O68">
        <v>41</v>
      </c>
      <c r="P68">
        <v>0.03959498820755258</v>
      </c>
      <c r="Q68">
        <v>0.599873645287015</v>
      </c>
      <c r="R68" t="s">
        <v>780</v>
      </c>
      <c r="S68" t="s">
        <v>790</v>
      </c>
      <c r="T68">
        <v>17318.298097</v>
      </c>
      <c r="U68" s="2">
        <v>44507</v>
      </c>
      <c r="V68" t="s">
        <v>799</v>
      </c>
    </row>
    <row r="69" spans="1:22">
      <c r="A69" s="1" t="s">
        <v>89</v>
      </c>
      <c r="B69">
        <f>HYPERLINK("https://www.suredividend.com/sure-analysis-ADP/","Automatic Data Processing Inc.")</f>
        <v>0</v>
      </c>
      <c r="C69">
        <v>234.37</v>
      </c>
      <c r="D69">
        <v>196</v>
      </c>
      <c r="E69">
        <v>1.195765306122449</v>
      </c>
      <c r="F69">
        <v>0.01774971199385587</v>
      </c>
      <c r="G69">
        <v>-0.03512554136663915</v>
      </c>
      <c r="H69">
        <v>0.08</v>
      </c>
      <c r="I69">
        <v>0.0604722589582154</v>
      </c>
      <c r="J69" t="s">
        <v>776</v>
      </c>
      <c r="K69" t="s">
        <v>367</v>
      </c>
      <c r="L69">
        <v>6.75</v>
      </c>
      <c r="M69">
        <v>4.16</v>
      </c>
      <c r="N69">
        <v>0.6162962962962963</v>
      </c>
      <c r="O69">
        <v>47</v>
      </c>
      <c r="P69">
        <v>0.0799150058822331</v>
      </c>
      <c r="Q69">
        <v>0.363842151142829</v>
      </c>
      <c r="R69" t="s">
        <v>780</v>
      </c>
      <c r="S69" t="s">
        <v>787</v>
      </c>
      <c r="T69">
        <v>98759.77792399999</v>
      </c>
      <c r="U69" s="2">
        <v>44512</v>
      </c>
      <c r="V69" t="s">
        <v>798</v>
      </c>
    </row>
    <row r="70" spans="1:22">
      <c r="A70" s="1" t="s">
        <v>90</v>
      </c>
      <c r="B70">
        <f>HYPERLINK("https://www.suredividend.com/sure-analysis-LOW/","Lowe`s Cos., Inc.")</f>
        <v>0</v>
      </c>
      <c r="C70">
        <v>252.63</v>
      </c>
      <c r="D70">
        <v>226.94</v>
      </c>
      <c r="E70">
        <v>1.113201727328809</v>
      </c>
      <c r="F70">
        <v>0.01266674583382813</v>
      </c>
      <c r="G70">
        <v>-0.02121968646105166</v>
      </c>
      <c r="H70">
        <v>0.07000000000000001</v>
      </c>
      <c r="I70">
        <v>0.05994652898611075</v>
      </c>
      <c r="J70" t="s">
        <v>776</v>
      </c>
      <c r="K70" t="s">
        <v>777</v>
      </c>
      <c r="L70">
        <v>11.33</v>
      </c>
      <c r="M70">
        <v>3.2</v>
      </c>
      <c r="N70">
        <v>0.2824360105913504</v>
      </c>
      <c r="O70">
        <v>59</v>
      </c>
      <c r="P70">
        <v>0.07008745458377241</v>
      </c>
      <c r="Q70">
        <v>0.6478549120596131</v>
      </c>
      <c r="R70" t="s">
        <v>780</v>
      </c>
      <c r="S70" t="s">
        <v>791</v>
      </c>
      <c r="T70">
        <v>174929.270475</v>
      </c>
      <c r="U70" s="2">
        <v>44434</v>
      </c>
      <c r="V70" t="s">
        <v>801</v>
      </c>
    </row>
    <row r="71" spans="1:22">
      <c r="A71" s="1" t="s">
        <v>91</v>
      </c>
      <c r="B71">
        <f>HYPERLINK("https://www.suredividend.com/sure-analysis-FFMR/","First Farmers Financial Corp")</f>
        <v>0</v>
      </c>
      <c r="C71">
        <v>49.05</v>
      </c>
      <c r="D71">
        <v>45</v>
      </c>
      <c r="E71">
        <v>1.09</v>
      </c>
      <c r="F71">
        <v>0.02691131498470948</v>
      </c>
      <c r="G71">
        <v>-0.01708785701980797</v>
      </c>
      <c r="H71">
        <v>0.05</v>
      </c>
      <c r="I71">
        <v>0.05971331944055458</v>
      </c>
      <c r="J71" t="s">
        <v>776</v>
      </c>
      <c r="K71" t="s">
        <v>776</v>
      </c>
      <c r="L71">
        <v>4.5</v>
      </c>
      <c r="M71">
        <v>1.32</v>
      </c>
      <c r="N71">
        <v>0.2933333333333333</v>
      </c>
      <c r="O71">
        <v>30</v>
      </c>
      <c r="P71">
        <v>0.0698417929634616</v>
      </c>
      <c r="Q71">
        <v>0.147902766433965</v>
      </c>
      <c r="R71" t="s">
        <v>780</v>
      </c>
      <c r="S71" t="s">
        <v>790</v>
      </c>
      <c r="T71">
        <v>345.184519</v>
      </c>
      <c r="U71" s="2">
        <v>44253</v>
      </c>
      <c r="V71" t="s">
        <v>798</v>
      </c>
    </row>
    <row r="72" spans="1:22">
      <c r="A72" s="1" t="s">
        <v>92</v>
      </c>
      <c r="B72">
        <f>HYPERLINK("https://www.suredividend.com/sure-analysis-DG/","Dollar General Corp.")</f>
        <v>0</v>
      </c>
      <c r="C72">
        <v>223.43</v>
      </c>
      <c r="D72">
        <v>178</v>
      </c>
      <c r="E72">
        <v>1.255224719101124</v>
      </c>
      <c r="F72">
        <v>0.007250593026898805</v>
      </c>
      <c r="G72">
        <v>-0.04444496908548934</v>
      </c>
      <c r="H72">
        <v>0.1</v>
      </c>
      <c r="I72">
        <v>0.05874340554032664</v>
      </c>
      <c r="J72" t="s">
        <v>776</v>
      </c>
      <c r="K72" t="s">
        <v>367</v>
      </c>
      <c r="L72">
        <v>9.9</v>
      </c>
      <c r="M72">
        <v>1.62</v>
      </c>
      <c r="N72">
        <v>0.1636363636363636</v>
      </c>
      <c r="O72">
        <v>7</v>
      </c>
      <c r="P72">
        <v>0.08977506465822516</v>
      </c>
      <c r="Q72">
        <v>0.05720639727453401</v>
      </c>
      <c r="R72" t="s">
        <v>780</v>
      </c>
      <c r="S72" t="s">
        <v>792</v>
      </c>
      <c r="T72">
        <v>52128.502008</v>
      </c>
      <c r="U72" s="2">
        <v>44439</v>
      </c>
      <c r="V72" t="s">
        <v>802</v>
      </c>
    </row>
    <row r="73" spans="1:22">
      <c r="A73" s="1" t="s">
        <v>93</v>
      </c>
      <c r="B73">
        <f>HYPERLINK("https://www.suredividend.com/sure-analysis-SON/","Sonoco Products Co.")</f>
        <v>0</v>
      </c>
      <c r="C73">
        <v>61.93</v>
      </c>
      <c r="D73">
        <v>56</v>
      </c>
      <c r="E73">
        <v>1.105892857142857</v>
      </c>
      <c r="F73">
        <v>0.02906507347004683</v>
      </c>
      <c r="G73">
        <v>-0.01992933702747879</v>
      </c>
      <c r="H73">
        <v>0.05</v>
      </c>
      <c r="I73">
        <v>0.0575495751606856</v>
      </c>
      <c r="J73" t="s">
        <v>776</v>
      </c>
      <c r="K73" t="s">
        <v>776</v>
      </c>
      <c r="L73">
        <v>3.52</v>
      </c>
      <c r="M73">
        <v>1.8</v>
      </c>
      <c r="N73">
        <v>0.5113636363636364</v>
      </c>
      <c r="O73">
        <v>38</v>
      </c>
      <c r="P73">
        <v>0.05024607263868264</v>
      </c>
      <c r="Q73">
        <v>0.076536102115351</v>
      </c>
      <c r="R73" t="s">
        <v>780</v>
      </c>
      <c r="S73" t="s">
        <v>791</v>
      </c>
      <c r="T73">
        <v>6089.348254</v>
      </c>
      <c r="U73" s="2">
        <v>44491</v>
      </c>
      <c r="V73" t="s">
        <v>796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158.97</v>
      </c>
      <c r="D74">
        <v>147</v>
      </c>
      <c r="E74">
        <v>1.081428571428571</v>
      </c>
      <c r="F74">
        <v>0.02214254261810404</v>
      </c>
      <c r="G74">
        <v>-0.01553465652281982</v>
      </c>
      <c r="H74">
        <v>0.05</v>
      </c>
      <c r="I74">
        <v>0.05653293399216719</v>
      </c>
      <c r="J74" t="s">
        <v>776</v>
      </c>
      <c r="K74" t="s">
        <v>777</v>
      </c>
      <c r="L74">
        <v>12.25</v>
      </c>
      <c r="M74">
        <v>3.52</v>
      </c>
      <c r="N74">
        <v>0.2873469387755102</v>
      </c>
      <c r="O74">
        <v>16</v>
      </c>
      <c r="P74">
        <v>0.0701307832252307</v>
      </c>
      <c r="Q74">
        <v>0.192598194110603</v>
      </c>
      <c r="R74" t="s">
        <v>780</v>
      </c>
      <c r="S74" t="s">
        <v>790</v>
      </c>
      <c r="T74">
        <v>39108.000972</v>
      </c>
      <c r="U74" s="2">
        <v>44492</v>
      </c>
      <c r="V74" t="s">
        <v>798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302.46</v>
      </c>
      <c r="D75">
        <v>250</v>
      </c>
      <c r="E75">
        <v>1.20984</v>
      </c>
      <c r="F75">
        <v>0.01494412484295444</v>
      </c>
      <c r="G75">
        <v>-0.03738103830565387</v>
      </c>
      <c r="H75">
        <v>0.08</v>
      </c>
      <c r="I75">
        <v>0.05535396425203798</v>
      </c>
      <c r="J75" t="s">
        <v>776</v>
      </c>
      <c r="K75" t="s">
        <v>777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0.5970093694806781</v>
      </c>
      <c r="R75" t="s">
        <v>780</v>
      </c>
      <c r="S75" t="s">
        <v>790</v>
      </c>
      <c r="T75">
        <v>33842.19405</v>
      </c>
      <c r="U75" s="2">
        <v>44496</v>
      </c>
      <c r="V75" t="s">
        <v>796</v>
      </c>
    </row>
    <row r="76" spans="1:22">
      <c r="A76" s="1" t="s">
        <v>96</v>
      </c>
      <c r="B76">
        <f>HYPERLINK("https://www.suredividend.com/sure-analysis-GD/","General Dynamics Corp.")</f>
        <v>0</v>
      </c>
      <c r="C76">
        <v>198.74</v>
      </c>
      <c r="D76">
        <v>173</v>
      </c>
      <c r="E76">
        <v>1.14878612716763</v>
      </c>
      <c r="F76">
        <v>0.02395089061084834</v>
      </c>
      <c r="G76">
        <v>-0.027359916041092</v>
      </c>
      <c r="H76">
        <v>0.06</v>
      </c>
      <c r="I76">
        <v>0.05517089083178006</v>
      </c>
      <c r="J76" t="s">
        <v>776</v>
      </c>
      <c r="K76" t="s">
        <v>777</v>
      </c>
      <c r="L76">
        <v>11.5</v>
      </c>
      <c r="M76">
        <v>4.76</v>
      </c>
      <c r="N76">
        <v>0.4139130434782609</v>
      </c>
      <c r="O76">
        <v>30</v>
      </c>
      <c r="P76">
        <v>0.06000153927394081</v>
      </c>
      <c r="Q76">
        <v>0.327386343295743</v>
      </c>
      <c r="R76" t="s">
        <v>780</v>
      </c>
      <c r="S76" t="s">
        <v>787</v>
      </c>
      <c r="T76">
        <v>55492.745234</v>
      </c>
      <c r="U76" s="2">
        <v>44508</v>
      </c>
      <c r="V76" t="s">
        <v>802</v>
      </c>
    </row>
    <row r="77" spans="1:22">
      <c r="A77" s="1" t="s">
        <v>97</v>
      </c>
      <c r="B77">
        <f>HYPERLINK("https://www.suredividend.com/sure-analysis-MKC/","McCormick &amp; Co., Inc.")</f>
        <v>0</v>
      </c>
      <c r="C77">
        <v>85.48999999999999</v>
      </c>
      <c r="D77">
        <v>69</v>
      </c>
      <c r="E77">
        <v>1.238985507246377</v>
      </c>
      <c r="F77">
        <v>0.01590829336764534</v>
      </c>
      <c r="G77">
        <v>-0.04195313356732844</v>
      </c>
      <c r="H77">
        <v>0.08</v>
      </c>
      <c r="I77">
        <v>0.05218360437852865</v>
      </c>
      <c r="J77" t="s">
        <v>776</v>
      </c>
      <c r="K77" t="s">
        <v>367</v>
      </c>
      <c r="L77">
        <v>3</v>
      </c>
      <c r="M77">
        <v>1.36</v>
      </c>
      <c r="N77">
        <v>0.4533333333333334</v>
      </c>
      <c r="O77">
        <v>34</v>
      </c>
      <c r="P77">
        <v>0.08973644480326026</v>
      </c>
      <c r="Q77">
        <v>-0.06569633436902</v>
      </c>
      <c r="R77" t="s">
        <v>780</v>
      </c>
      <c r="S77" t="s">
        <v>792</v>
      </c>
      <c r="T77">
        <v>22802.833874</v>
      </c>
      <c r="U77" s="2">
        <v>44470</v>
      </c>
      <c r="V77" t="s">
        <v>796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152.81</v>
      </c>
      <c r="D78">
        <v>117</v>
      </c>
      <c r="E78">
        <v>1.306068376068376</v>
      </c>
      <c r="F78">
        <v>0.0120410967868595</v>
      </c>
      <c r="G78">
        <v>-0.05200331821864757</v>
      </c>
      <c r="H78">
        <v>0.095</v>
      </c>
      <c r="I78">
        <v>0.0512433109209387</v>
      </c>
      <c r="J78" t="s">
        <v>776</v>
      </c>
      <c r="K78" t="s">
        <v>367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-0.016332447575495</v>
      </c>
      <c r="R78" t="s">
        <v>780</v>
      </c>
      <c r="S78" t="s">
        <v>786</v>
      </c>
      <c r="T78">
        <v>11314.2101</v>
      </c>
      <c r="U78" s="2">
        <v>44512</v>
      </c>
      <c r="V78" t="s">
        <v>800</v>
      </c>
    </row>
    <row r="79" spans="1:22">
      <c r="A79" s="1" t="s">
        <v>99</v>
      </c>
      <c r="B79">
        <f>HYPERLINK("https://www.suredividend.com/sure-analysis-VFC/","VF Corp.")</f>
        <v>0</v>
      </c>
      <c r="C79">
        <v>75.59999999999999</v>
      </c>
      <c r="D79">
        <v>61</v>
      </c>
      <c r="E79">
        <v>1.239344262295082</v>
      </c>
      <c r="F79">
        <v>0.02645502645502646</v>
      </c>
      <c r="G79">
        <v>-0.0420086054752794</v>
      </c>
      <c r="H79">
        <v>0.07000000000000001</v>
      </c>
      <c r="I79">
        <v>0.05064510527044419</v>
      </c>
      <c r="J79" t="s">
        <v>776</v>
      </c>
      <c r="K79" t="s">
        <v>777</v>
      </c>
      <c r="L79">
        <v>3.2</v>
      </c>
      <c r="M79">
        <v>2</v>
      </c>
      <c r="N79">
        <v>0.625</v>
      </c>
      <c r="O79">
        <v>49</v>
      </c>
      <c r="P79">
        <v>0.03886011825408464</v>
      </c>
      <c r="Q79">
        <v>-0.126952231814969</v>
      </c>
      <c r="R79" t="s">
        <v>780</v>
      </c>
      <c r="S79" t="s">
        <v>791</v>
      </c>
      <c r="T79">
        <v>29694.339914</v>
      </c>
      <c r="U79" s="2">
        <v>44493</v>
      </c>
      <c r="V79" t="s">
        <v>799</v>
      </c>
    </row>
    <row r="80" spans="1:22">
      <c r="A80" s="1" t="s">
        <v>100</v>
      </c>
      <c r="B80">
        <f>HYPERLINK("https://www.suredividend.com/sure-analysis-MDT/","Medtronic Plc")</f>
        <v>0</v>
      </c>
      <c r="C80">
        <v>114.44</v>
      </c>
      <c r="D80">
        <v>97</v>
      </c>
      <c r="E80">
        <v>1.17979381443299</v>
      </c>
      <c r="F80">
        <v>0.02202027263194687</v>
      </c>
      <c r="G80">
        <v>-0.03252717075060474</v>
      </c>
      <c r="H80">
        <v>0.06</v>
      </c>
      <c r="I80">
        <v>0.04926743998801686</v>
      </c>
      <c r="J80" t="s">
        <v>776</v>
      </c>
      <c r="K80" t="s">
        <v>777</v>
      </c>
      <c r="L80">
        <v>5.7</v>
      </c>
      <c r="M80">
        <v>2.52</v>
      </c>
      <c r="N80">
        <v>0.4421052631578947</v>
      </c>
      <c r="O80">
        <v>44</v>
      </c>
      <c r="P80">
        <v>0.07513154857768045</v>
      </c>
      <c r="Q80">
        <v>0.023526623408565</v>
      </c>
      <c r="R80" t="s">
        <v>780</v>
      </c>
      <c r="S80" t="s">
        <v>785</v>
      </c>
      <c r="T80">
        <v>153796.394359</v>
      </c>
      <c r="U80" s="2">
        <v>44525</v>
      </c>
      <c r="V80" t="s">
        <v>799</v>
      </c>
    </row>
    <row r="81" spans="1:22">
      <c r="A81" s="1" t="s">
        <v>101</v>
      </c>
      <c r="B81">
        <f>HYPERLINK("https://www.suredividend.com/sure-analysis-PPG/","PPG Industries, Inc.")</f>
        <v>0</v>
      </c>
      <c r="C81">
        <v>158.76</v>
      </c>
      <c r="D81">
        <v>127</v>
      </c>
      <c r="E81">
        <v>1.25007874015748</v>
      </c>
      <c r="F81">
        <v>0.01486520534139582</v>
      </c>
      <c r="G81">
        <v>-0.04365954829003671</v>
      </c>
      <c r="H81">
        <v>0.08</v>
      </c>
      <c r="I81">
        <v>0.0489006448679965</v>
      </c>
      <c r="J81" t="s">
        <v>776</v>
      </c>
      <c r="K81" t="s">
        <v>777</v>
      </c>
      <c r="L81">
        <v>6.7</v>
      </c>
      <c r="M81">
        <v>2.36</v>
      </c>
      <c r="N81">
        <v>0.3522388059701492</v>
      </c>
      <c r="O81">
        <v>50</v>
      </c>
      <c r="P81">
        <v>0.08014856837381279</v>
      </c>
      <c r="Q81">
        <v>0.08855963319736601</v>
      </c>
      <c r="R81" t="s">
        <v>780</v>
      </c>
      <c r="S81" t="s">
        <v>788</v>
      </c>
      <c r="T81">
        <v>37689.759422</v>
      </c>
      <c r="U81" s="2">
        <v>44490</v>
      </c>
      <c r="V81" t="s">
        <v>796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93.58</v>
      </c>
      <c r="D82">
        <v>75</v>
      </c>
      <c r="E82">
        <v>1.247733333333333</v>
      </c>
      <c r="F82">
        <v>0.01367813635392178</v>
      </c>
      <c r="G82">
        <v>-0.0433002851753288</v>
      </c>
      <c r="H82">
        <v>0.08</v>
      </c>
      <c r="I82">
        <v>0.04762332627912902</v>
      </c>
      <c r="J82" t="s">
        <v>776</v>
      </c>
      <c r="K82" t="s">
        <v>367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0.650545713660832</v>
      </c>
      <c r="R82" t="s">
        <v>780</v>
      </c>
      <c r="S82" t="s">
        <v>786</v>
      </c>
      <c r="T82">
        <v>256238.79082</v>
      </c>
      <c r="U82" s="2">
        <v>44476</v>
      </c>
      <c r="V82" t="s">
        <v>800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136.36</v>
      </c>
      <c r="D83">
        <v>114</v>
      </c>
      <c r="E83">
        <v>1.196140350877193</v>
      </c>
      <c r="F83">
        <v>0.02390730419477852</v>
      </c>
      <c r="G83">
        <v>-0.03518605541889641</v>
      </c>
      <c r="H83">
        <v>0.06</v>
      </c>
      <c r="I83">
        <v>0.04623000688281809</v>
      </c>
      <c r="J83" t="s">
        <v>776</v>
      </c>
      <c r="K83" t="s">
        <v>776</v>
      </c>
      <c r="L83">
        <v>6.7</v>
      </c>
      <c r="M83">
        <v>3.26</v>
      </c>
      <c r="N83">
        <v>0.4865671641791044</v>
      </c>
      <c r="O83">
        <v>65</v>
      </c>
      <c r="P83">
        <v>0.04019456757723883</v>
      </c>
      <c r="Q83">
        <v>0.3869281311662151</v>
      </c>
      <c r="R83" t="s">
        <v>780</v>
      </c>
      <c r="S83" t="s">
        <v>791</v>
      </c>
      <c r="T83">
        <v>19420.629557</v>
      </c>
      <c r="U83" s="2">
        <v>44499</v>
      </c>
      <c r="V83" t="s">
        <v>798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121.97</v>
      </c>
      <c r="D84">
        <v>113</v>
      </c>
      <c r="E84">
        <v>1.079380530973451</v>
      </c>
      <c r="F84">
        <v>0.01098630810855128</v>
      </c>
      <c r="G84">
        <v>-0.01516135048657408</v>
      </c>
      <c r="H84">
        <v>0.05</v>
      </c>
      <c r="I84">
        <v>0.04598286670294316</v>
      </c>
      <c r="J84" t="s">
        <v>776</v>
      </c>
      <c r="K84" t="s">
        <v>777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-0.009629258525170001</v>
      </c>
      <c r="R84" t="s">
        <v>780</v>
      </c>
      <c r="S84" t="s">
        <v>788</v>
      </c>
      <c r="T84">
        <v>2734.054638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75.31</v>
      </c>
      <c r="D85">
        <v>70</v>
      </c>
      <c r="E85">
        <v>1.075857142857143</v>
      </c>
      <c r="F85">
        <v>0.001062275926171823</v>
      </c>
      <c r="G85">
        <v>-0.01451713259455456</v>
      </c>
      <c r="H85">
        <v>0.06</v>
      </c>
      <c r="I85">
        <v>0.0455024278724141</v>
      </c>
      <c r="J85" t="s">
        <v>776</v>
      </c>
      <c r="K85" t="s">
        <v>515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0.555226975165104</v>
      </c>
      <c r="R85" t="s">
        <v>780</v>
      </c>
      <c r="S85" t="s">
        <v>787</v>
      </c>
      <c r="T85">
        <v>16600.223092</v>
      </c>
      <c r="U85" s="2">
        <v>44504</v>
      </c>
      <c r="V85" t="s">
        <v>802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26.2501</v>
      </c>
      <c r="D86">
        <v>30</v>
      </c>
      <c r="E86">
        <v>0.8750033333333334</v>
      </c>
      <c r="F86">
        <v>0.01752374276669422</v>
      </c>
      <c r="G86">
        <v>0.02706530456459788</v>
      </c>
      <c r="H86">
        <v>0</v>
      </c>
      <c r="I86">
        <v>0.04477418366342434</v>
      </c>
      <c r="J86" t="s">
        <v>776</v>
      </c>
      <c r="K86" t="s">
        <v>777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0.165236575416043</v>
      </c>
      <c r="R86" t="s">
        <v>780</v>
      </c>
      <c r="S86" t="s">
        <v>790</v>
      </c>
      <c r="T86">
        <v>117.581154</v>
      </c>
      <c r="U86" s="2">
        <v>44512</v>
      </c>
      <c r="V86" t="s">
        <v>798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42.94</v>
      </c>
      <c r="D87">
        <v>37</v>
      </c>
      <c r="E87">
        <v>1.16054054054054</v>
      </c>
      <c r="F87">
        <v>0.02421984163949698</v>
      </c>
      <c r="G87">
        <v>-0.02933820376498297</v>
      </c>
      <c r="H87">
        <v>0.05</v>
      </c>
      <c r="I87">
        <v>0.04403296461604223</v>
      </c>
      <c r="J87" t="s">
        <v>776</v>
      </c>
      <c r="K87" t="s">
        <v>777</v>
      </c>
      <c r="L87">
        <v>1.7</v>
      </c>
      <c r="M87">
        <v>1.04</v>
      </c>
      <c r="N87">
        <v>0.611764705882353</v>
      </c>
      <c r="O87">
        <v>56</v>
      </c>
      <c r="P87">
        <v>0.05042164036374652</v>
      </c>
      <c r="Q87">
        <v>-0.07072770633783601</v>
      </c>
      <c r="R87" t="s">
        <v>780</v>
      </c>
      <c r="S87" t="s">
        <v>792</v>
      </c>
      <c r="T87">
        <v>23297.391525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HYPERLINK("https://www.suredividend.com/sure-analysis-KR/","Kroger Co.")</f>
        <v>0</v>
      </c>
      <c r="C88">
        <v>42.54</v>
      </c>
      <c r="D88">
        <v>43</v>
      </c>
      <c r="E88">
        <v>0.9893023255813953</v>
      </c>
      <c r="F88">
        <v>0.01974612129760226</v>
      </c>
      <c r="G88">
        <v>0.002153376376145655</v>
      </c>
      <c r="H88">
        <v>0.02</v>
      </c>
      <c r="I88">
        <v>0.04356401999624637</v>
      </c>
      <c r="J88" t="s">
        <v>776</v>
      </c>
      <c r="K88" t="s">
        <v>777</v>
      </c>
      <c r="L88">
        <v>3.3</v>
      </c>
      <c r="M88">
        <v>0.84</v>
      </c>
      <c r="N88">
        <v>0.2545454545454546</v>
      </c>
      <c r="O88">
        <v>16</v>
      </c>
      <c r="P88">
        <v>0.07033701387905711</v>
      </c>
      <c r="Q88">
        <v>0.327831396002147</v>
      </c>
      <c r="R88" t="s">
        <v>780</v>
      </c>
      <c r="S88" t="s">
        <v>792</v>
      </c>
      <c r="T88">
        <v>31634.381322</v>
      </c>
      <c r="U88" s="2">
        <v>44451</v>
      </c>
      <c r="V88" t="s">
        <v>799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207.07</v>
      </c>
      <c r="D89">
        <v>168</v>
      </c>
      <c r="E89">
        <v>1.232559523809524</v>
      </c>
      <c r="F89">
        <v>0.02144202443618101</v>
      </c>
      <c r="G89">
        <v>-0.0409562495093645</v>
      </c>
      <c r="H89">
        <v>0.06</v>
      </c>
      <c r="I89">
        <v>0.0408331371033519</v>
      </c>
      <c r="J89" t="s">
        <v>776</v>
      </c>
      <c r="K89" t="s">
        <v>777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0.188676829957847</v>
      </c>
      <c r="R89" t="s">
        <v>780</v>
      </c>
      <c r="S89" t="s">
        <v>787</v>
      </c>
      <c r="T89">
        <v>112012.777112</v>
      </c>
      <c r="U89" s="2">
        <v>44503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209.81</v>
      </c>
      <c r="D90">
        <v>216</v>
      </c>
      <c r="E90">
        <v>0.9713425925925926</v>
      </c>
      <c r="F90">
        <v>0.01353605643200991</v>
      </c>
      <c r="G90">
        <v>0.005832150837809413</v>
      </c>
      <c r="H90">
        <v>0.02</v>
      </c>
      <c r="I90">
        <v>0.04014976650255608</v>
      </c>
      <c r="J90" t="s">
        <v>776</v>
      </c>
      <c r="K90" t="s">
        <v>367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0.8856444408494881</v>
      </c>
      <c r="R90" t="s">
        <v>780</v>
      </c>
      <c r="S90" t="s">
        <v>791</v>
      </c>
      <c r="T90">
        <v>15602.635206</v>
      </c>
      <c r="U90" s="2">
        <v>44520</v>
      </c>
      <c r="V90" t="s">
        <v>799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74.06</v>
      </c>
      <c r="D91">
        <v>62</v>
      </c>
      <c r="E91">
        <v>1.194516129032258</v>
      </c>
      <c r="F91">
        <v>0.01417769376181474</v>
      </c>
      <c r="G91">
        <v>-0.03492382032259622</v>
      </c>
      <c r="H91">
        <v>0.06</v>
      </c>
      <c r="I91">
        <v>0.03842146885591213</v>
      </c>
      <c r="J91" t="s">
        <v>776</v>
      </c>
      <c r="K91" t="s">
        <v>777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0.131288073663564</v>
      </c>
      <c r="R91" t="s">
        <v>780</v>
      </c>
      <c r="S91" t="s">
        <v>790</v>
      </c>
      <c r="T91">
        <v>8603.653292000001</v>
      </c>
      <c r="U91" s="2">
        <v>44499</v>
      </c>
      <c r="V91" t="s">
        <v>800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36.25</v>
      </c>
      <c r="D92">
        <v>28</v>
      </c>
      <c r="E92">
        <v>1.294642857142857</v>
      </c>
      <c r="F92">
        <v>0.01020689655172414</v>
      </c>
      <c r="G92">
        <v>-0.05033593643519441</v>
      </c>
      <c r="H92">
        <v>0.08</v>
      </c>
      <c r="I92">
        <v>0.03804077201312905</v>
      </c>
      <c r="J92" t="s">
        <v>776</v>
      </c>
      <c r="K92" t="s">
        <v>367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0.180508742277844</v>
      </c>
      <c r="R92" t="s">
        <v>780</v>
      </c>
      <c r="S92" t="s">
        <v>787</v>
      </c>
      <c r="T92">
        <v>81725.476738</v>
      </c>
      <c r="U92" s="2">
        <v>44493</v>
      </c>
      <c r="V92" t="s">
        <v>798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77.42</v>
      </c>
      <c r="D93">
        <v>64</v>
      </c>
      <c r="E93">
        <v>1.2096875</v>
      </c>
      <c r="F93">
        <v>0.01033324722293981</v>
      </c>
      <c r="G93">
        <v>-0.03735676889893924</v>
      </c>
      <c r="H93">
        <v>0.065</v>
      </c>
      <c r="I93">
        <v>0.03615344799465814</v>
      </c>
      <c r="J93" t="s">
        <v>776</v>
      </c>
      <c r="K93" t="s">
        <v>367</v>
      </c>
      <c r="L93">
        <v>3.37</v>
      </c>
      <c r="M93">
        <v>0.8</v>
      </c>
      <c r="N93">
        <v>0.2373887240356083</v>
      </c>
      <c r="O93">
        <v>44</v>
      </c>
      <c r="P93">
        <v>0.05988502997905321</v>
      </c>
      <c r="Q93">
        <v>0.448838702071079</v>
      </c>
      <c r="R93" t="s">
        <v>780</v>
      </c>
      <c r="S93" t="s">
        <v>787</v>
      </c>
      <c r="T93">
        <v>12811.323715</v>
      </c>
      <c r="U93" s="2">
        <v>44503</v>
      </c>
      <c r="V93" t="s">
        <v>800</v>
      </c>
    </row>
    <row r="94" spans="1:22">
      <c r="A94" s="1" t="s">
        <v>114</v>
      </c>
      <c r="B94">
        <f>HYPERLINK("https://www.suredividend.com/sure-analysis-AROW/","Arrow Financial Corp.")</f>
        <v>0</v>
      </c>
      <c r="C94">
        <v>36.84</v>
      </c>
      <c r="D94">
        <v>38</v>
      </c>
      <c r="E94">
        <v>0.9694736842105264</v>
      </c>
      <c r="F94">
        <v>0.02823018458197611</v>
      </c>
      <c r="G94">
        <v>0.006219651874355803</v>
      </c>
      <c r="H94">
        <v>0</v>
      </c>
      <c r="I94">
        <v>0.03391534980196731</v>
      </c>
      <c r="J94" t="s">
        <v>776</v>
      </c>
      <c r="K94" t="s">
        <v>776</v>
      </c>
      <c r="L94">
        <v>3.2</v>
      </c>
      <c r="M94">
        <v>1.04</v>
      </c>
      <c r="N94">
        <v>0.325</v>
      </c>
      <c r="O94">
        <v>26</v>
      </c>
      <c r="P94">
        <v>0.02031177855938826</v>
      </c>
      <c r="Q94">
        <v>0.230633555809432</v>
      </c>
      <c r="R94" t="s">
        <v>780</v>
      </c>
      <c r="S94" t="s">
        <v>790</v>
      </c>
      <c r="T94">
        <v>590.302461</v>
      </c>
      <c r="U94" s="2">
        <v>44518</v>
      </c>
      <c r="V94" t="s">
        <v>798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145.34</v>
      </c>
      <c r="D95">
        <v>112</v>
      </c>
      <c r="E95">
        <v>1.297678571428571</v>
      </c>
      <c r="F95">
        <v>0.01541213705793312</v>
      </c>
      <c r="G95">
        <v>-0.05078067063434899</v>
      </c>
      <c r="H95">
        <v>0.07000000000000001</v>
      </c>
      <c r="I95">
        <v>0.03338377581256391</v>
      </c>
      <c r="J95" t="s">
        <v>776</v>
      </c>
      <c r="K95" t="s">
        <v>367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0.277580631125183</v>
      </c>
      <c r="R95" t="s">
        <v>780</v>
      </c>
      <c r="S95" t="s">
        <v>787</v>
      </c>
      <c r="T95">
        <v>8582.077741999999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HYPERLINK("https://www.suredividend.com/sure-analysis-TGT/","Target Corp")</f>
        <v>0</v>
      </c>
      <c r="C96">
        <v>248.76</v>
      </c>
      <c r="D96">
        <v>234</v>
      </c>
      <c r="E96">
        <v>1.063076923076923</v>
      </c>
      <c r="F96">
        <v>0.01447178002894356</v>
      </c>
      <c r="G96">
        <v>-0.01215896721990672</v>
      </c>
      <c r="H96">
        <v>0.03</v>
      </c>
      <c r="I96">
        <v>0.03312892962972991</v>
      </c>
      <c r="J96" t="s">
        <v>776</v>
      </c>
      <c r="K96" t="s">
        <v>777</v>
      </c>
      <c r="L96">
        <v>13</v>
      </c>
      <c r="M96">
        <v>3.6</v>
      </c>
      <c r="N96">
        <v>0.2769230769230769</v>
      </c>
      <c r="O96">
        <v>54</v>
      </c>
      <c r="P96">
        <v>0.06010506010596317</v>
      </c>
      <c r="Q96">
        <v>0.412797413846959</v>
      </c>
      <c r="R96" t="s">
        <v>780</v>
      </c>
      <c r="S96" t="s">
        <v>792</v>
      </c>
      <c r="T96">
        <v>121404.594824</v>
      </c>
      <c r="U96" s="2">
        <v>44429</v>
      </c>
      <c r="V96" t="s">
        <v>798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463.53</v>
      </c>
      <c r="D97">
        <v>355</v>
      </c>
      <c r="E97">
        <v>1.305718309859155</v>
      </c>
      <c r="F97">
        <v>0.006644661618449723</v>
      </c>
      <c r="G97">
        <v>-0.05195249163242188</v>
      </c>
      <c r="H97">
        <v>0.08</v>
      </c>
      <c r="I97">
        <v>0.03235570563216039</v>
      </c>
      <c r="J97" t="s">
        <v>776</v>
      </c>
      <c r="K97" t="s">
        <v>367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0.397787206325369</v>
      </c>
      <c r="R97" t="s">
        <v>780</v>
      </c>
      <c r="S97" t="s">
        <v>790</v>
      </c>
      <c r="T97">
        <v>111710.73</v>
      </c>
      <c r="U97" s="2">
        <v>44512</v>
      </c>
      <c r="V97" t="s">
        <v>798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66.34</v>
      </c>
      <c r="D98">
        <v>53</v>
      </c>
      <c r="E98">
        <v>1.251698113207547</v>
      </c>
      <c r="F98">
        <v>0.00618028338860416</v>
      </c>
      <c r="G98">
        <v>-0.04390712779704598</v>
      </c>
      <c r="H98">
        <v>0.07000000000000001</v>
      </c>
      <c r="I98">
        <v>0.03027124743401655</v>
      </c>
      <c r="J98" t="s">
        <v>776</v>
      </c>
      <c r="K98" t="s">
        <v>367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0.438515081206496</v>
      </c>
      <c r="R98" t="s">
        <v>780</v>
      </c>
      <c r="S98" t="s">
        <v>790</v>
      </c>
      <c r="T98">
        <v>18736.196499</v>
      </c>
      <c r="U98" s="2">
        <v>44507</v>
      </c>
      <c r="V98" t="s">
        <v>798</v>
      </c>
    </row>
    <row r="99" spans="1:22">
      <c r="A99" s="1" t="s">
        <v>119</v>
      </c>
      <c r="B99">
        <f>HYPERLINK("https://www.suredividend.com/sure-analysis-CHD/","Church &amp; Dwight Co., Inc.")</f>
        <v>0</v>
      </c>
      <c r="C99">
        <v>93.38</v>
      </c>
      <c r="D99">
        <v>75</v>
      </c>
      <c r="E99">
        <v>1.245066666666667</v>
      </c>
      <c r="F99">
        <v>0.010816020561148</v>
      </c>
      <c r="G99">
        <v>-0.04289082655549636</v>
      </c>
      <c r="H99">
        <v>0.06</v>
      </c>
      <c r="I99">
        <v>0.0268179672761768</v>
      </c>
      <c r="J99" t="s">
        <v>776</v>
      </c>
      <c r="K99" t="s">
        <v>367</v>
      </c>
      <c r="L99">
        <v>3</v>
      </c>
      <c r="M99">
        <v>1.01</v>
      </c>
      <c r="N99">
        <v>0.3366666666666667</v>
      </c>
      <c r="O99">
        <v>25</v>
      </c>
      <c r="P99">
        <v>0.0705165705095081</v>
      </c>
      <c r="Q99">
        <v>0.129511605374917</v>
      </c>
      <c r="R99" t="s">
        <v>780</v>
      </c>
      <c r="S99" t="s">
        <v>792</v>
      </c>
      <c r="T99">
        <v>22798.574417</v>
      </c>
      <c r="U99" s="2">
        <v>44519</v>
      </c>
      <c r="V99" t="s">
        <v>798</v>
      </c>
    </row>
    <row r="100" spans="1:22">
      <c r="A100" s="1" t="s">
        <v>120</v>
      </c>
      <c r="B100">
        <f>HYPERLINK("https://www.suredividend.com/sure-analysis-CSL/","Carlisle Companies Inc.")</f>
        <v>0</v>
      </c>
      <c r="C100">
        <v>237.6</v>
      </c>
      <c r="D100">
        <v>184</v>
      </c>
      <c r="E100">
        <v>1.291304347826087</v>
      </c>
      <c r="F100">
        <v>0.009090909090909092</v>
      </c>
      <c r="G100">
        <v>-0.04984539542999589</v>
      </c>
      <c r="H100">
        <v>0.07000000000000001</v>
      </c>
      <c r="I100">
        <v>0.02663588008709983</v>
      </c>
      <c r="J100" t="s">
        <v>776</v>
      </c>
      <c r="K100" t="s">
        <v>367</v>
      </c>
      <c r="L100">
        <v>9.199999999999999</v>
      </c>
      <c r="M100">
        <v>2.16</v>
      </c>
      <c r="N100">
        <v>0.2347826086956522</v>
      </c>
      <c r="O100">
        <v>45</v>
      </c>
      <c r="P100">
        <v>0.05995839365595068</v>
      </c>
      <c r="Q100">
        <v>0.5758037195865231</v>
      </c>
      <c r="R100" t="s">
        <v>780</v>
      </c>
      <c r="S100" t="s">
        <v>787</v>
      </c>
      <c r="T100">
        <v>12422.813832</v>
      </c>
      <c r="U100" s="2">
        <v>44509</v>
      </c>
      <c r="V100" t="s">
        <v>800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</v>
      </c>
      <c r="D101">
        <v>48</v>
      </c>
      <c r="E101">
        <v>0.9375</v>
      </c>
      <c r="F101">
        <v>0.02355555555555556</v>
      </c>
      <c r="G101">
        <v>0.01299136822423641</v>
      </c>
      <c r="H101">
        <v>-0.01</v>
      </c>
      <c r="I101">
        <v>0.02644467474514145</v>
      </c>
      <c r="J101" t="s">
        <v>776</v>
      </c>
      <c r="K101" t="s">
        <v>777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0.176713621898378</v>
      </c>
      <c r="R101" t="s">
        <v>780</v>
      </c>
      <c r="S101" t="s">
        <v>790</v>
      </c>
      <c r="T101">
        <v>579.23712</v>
      </c>
      <c r="U101" s="2">
        <v>44518</v>
      </c>
      <c r="V101" t="s">
        <v>798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392.51</v>
      </c>
      <c r="D102">
        <v>320</v>
      </c>
      <c r="E102">
        <v>1.22659375</v>
      </c>
      <c r="F102">
        <v>0.006318310361519452</v>
      </c>
      <c r="G102">
        <v>-0.04002516054257432</v>
      </c>
      <c r="H102">
        <v>0.06</v>
      </c>
      <c r="I102">
        <v>0.02559471394861812</v>
      </c>
      <c r="J102" t="s">
        <v>776</v>
      </c>
      <c r="K102" t="s">
        <v>515</v>
      </c>
      <c r="L102">
        <v>12.3</v>
      </c>
      <c r="M102">
        <v>2.48</v>
      </c>
      <c r="N102">
        <v>0.2016260162601626</v>
      </c>
      <c r="O102">
        <v>12</v>
      </c>
      <c r="P102">
        <v>0.1100560807786035</v>
      </c>
      <c r="Q102">
        <v>0.456055869573362</v>
      </c>
      <c r="R102" t="s">
        <v>780</v>
      </c>
      <c r="S102" t="s">
        <v>790</v>
      </c>
      <c r="T102">
        <v>72967.609</v>
      </c>
      <c r="U102" s="2">
        <v>44518</v>
      </c>
      <c r="V102" t="s">
        <v>798</v>
      </c>
    </row>
    <row r="103" spans="1:22">
      <c r="A103" s="1" t="s">
        <v>123</v>
      </c>
      <c r="B103">
        <f>HYPERLINK("https://www.suredividend.com/sure-analysis-AXP/","American Express Co.")</f>
        <v>0</v>
      </c>
      <c r="C103">
        <v>171.61</v>
      </c>
      <c r="D103">
        <v>131</v>
      </c>
      <c r="E103">
        <v>1.31</v>
      </c>
      <c r="F103">
        <v>0.01002272594837131</v>
      </c>
      <c r="G103">
        <v>-0.05257303561763427</v>
      </c>
      <c r="H103">
        <v>0.07000000000000001</v>
      </c>
      <c r="I103">
        <v>0.0255048255184489</v>
      </c>
      <c r="J103" t="s">
        <v>776</v>
      </c>
      <c r="K103" t="s">
        <v>367</v>
      </c>
      <c r="L103">
        <v>8.75</v>
      </c>
      <c r="M103">
        <v>1.72</v>
      </c>
      <c r="N103">
        <v>0.1965714285714286</v>
      </c>
      <c r="O103">
        <v>9</v>
      </c>
      <c r="P103">
        <v>0.08023542380212056</v>
      </c>
      <c r="Q103">
        <v>0.4420681211434691</v>
      </c>
      <c r="R103" t="s">
        <v>780</v>
      </c>
      <c r="S103" t="s">
        <v>790</v>
      </c>
      <c r="T103">
        <v>136332.660172</v>
      </c>
      <c r="U103" s="2">
        <v>44491</v>
      </c>
      <c r="V103" t="s">
        <v>800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76.70999999999999</v>
      </c>
      <c r="D104">
        <v>54</v>
      </c>
      <c r="E104">
        <v>1.420555555555555</v>
      </c>
      <c r="F104">
        <v>0.008734193716594969</v>
      </c>
      <c r="G104">
        <v>-0.06780159521459583</v>
      </c>
      <c r="H104">
        <v>0.09</v>
      </c>
      <c r="I104">
        <v>0.02546351865168739</v>
      </c>
      <c r="J104" t="s">
        <v>776</v>
      </c>
      <c r="K104" t="s">
        <v>367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0.4115477894767831</v>
      </c>
      <c r="R104" t="s">
        <v>780</v>
      </c>
      <c r="S104" t="s">
        <v>788</v>
      </c>
      <c r="T104">
        <v>4031.421406</v>
      </c>
      <c r="U104" s="2">
        <v>44463</v>
      </c>
      <c r="V104" t="s">
        <v>804</v>
      </c>
    </row>
    <row r="105" spans="1:22">
      <c r="A105" s="1" t="s">
        <v>125</v>
      </c>
      <c r="B105">
        <f>HYPERLINK("https://www.suredividend.com/sure-analysis-RE/","Everest Re Group Ltd")</f>
        <v>0</v>
      </c>
      <c r="C105">
        <v>277.9</v>
      </c>
      <c r="D105">
        <v>252</v>
      </c>
      <c r="E105">
        <v>1.102777777777778</v>
      </c>
      <c r="F105">
        <v>0.02231018351925153</v>
      </c>
      <c r="G105">
        <v>-0.01937626927366454</v>
      </c>
      <c r="H105">
        <v>0.02</v>
      </c>
      <c r="I105">
        <v>0.0248523344180045</v>
      </c>
      <c r="J105" t="s">
        <v>776</v>
      </c>
      <c r="K105" t="s">
        <v>777</v>
      </c>
      <c r="L105">
        <v>28</v>
      </c>
      <c r="M105">
        <v>6.2</v>
      </c>
      <c r="N105">
        <v>0.2214285714285714</v>
      </c>
      <c r="O105">
        <v>8</v>
      </c>
      <c r="P105">
        <v>0.04992181337625223</v>
      </c>
      <c r="Q105">
        <v>0.179083174792822</v>
      </c>
      <c r="R105" t="s">
        <v>780</v>
      </c>
      <c r="S105" t="s">
        <v>790</v>
      </c>
      <c r="T105">
        <v>11028.348395</v>
      </c>
      <c r="U105" s="2">
        <v>44508</v>
      </c>
      <c r="V105" t="s">
        <v>800</v>
      </c>
    </row>
    <row r="106" spans="1:22">
      <c r="A106" s="1" t="s">
        <v>126</v>
      </c>
      <c r="B106">
        <f>HYPERLINK("https://www.suredividend.com/sure-analysis-DOV/","Dover Corp.")</f>
        <v>0</v>
      </c>
      <c r="C106">
        <v>176.24</v>
      </c>
      <c r="D106">
        <v>127</v>
      </c>
      <c r="E106">
        <v>1.387716535433071</v>
      </c>
      <c r="F106">
        <v>0.01134816159782115</v>
      </c>
      <c r="G106">
        <v>-0.06343085200847609</v>
      </c>
      <c r="H106">
        <v>0.08</v>
      </c>
      <c r="I106">
        <v>0.02376526570373105</v>
      </c>
      <c r="J106" t="s">
        <v>776</v>
      </c>
      <c r="K106" t="s">
        <v>777</v>
      </c>
      <c r="L106">
        <v>7.48</v>
      </c>
      <c r="M106">
        <v>2</v>
      </c>
      <c r="N106">
        <v>0.267379679144385</v>
      </c>
      <c r="O106">
        <v>66</v>
      </c>
      <c r="P106">
        <v>0.04978904632428516</v>
      </c>
      <c r="Q106">
        <v>0.40919736359195</v>
      </c>
      <c r="R106" t="s">
        <v>780</v>
      </c>
      <c r="S106" t="s">
        <v>787</v>
      </c>
      <c r="T106">
        <v>25375.855245</v>
      </c>
      <c r="U106" s="2">
        <v>44488</v>
      </c>
      <c r="V106" t="s">
        <v>796</v>
      </c>
    </row>
    <row r="107" spans="1:22">
      <c r="A107" s="1" t="s">
        <v>127</v>
      </c>
      <c r="B107">
        <f>HYPERLINK("https://www.suredividend.com/sure-analysis-CSVI/","Computer Services, Inc.")</f>
        <v>0</v>
      </c>
      <c r="C107">
        <v>55.5</v>
      </c>
      <c r="D107">
        <v>37</v>
      </c>
      <c r="E107">
        <v>1.5</v>
      </c>
      <c r="F107">
        <v>0.01945945945945946</v>
      </c>
      <c r="G107">
        <v>-0.07789208851827223</v>
      </c>
      <c r="H107">
        <v>0.08</v>
      </c>
      <c r="I107">
        <v>0.01989051167294331</v>
      </c>
      <c r="J107" t="s">
        <v>776</v>
      </c>
      <c r="K107" t="s">
        <v>777</v>
      </c>
      <c r="L107">
        <v>2.15</v>
      </c>
      <c r="M107">
        <v>1.08</v>
      </c>
      <c r="N107">
        <v>0.5023255813953489</v>
      </c>
      <c r="O107">
        <v>50</v>
      </c>
      <c r="P107">
        <v>0.08178074106640287</v>
      </c>
      <c r="Q107">
        <v>-0.026423395308939</v>
      </c>
      <c r="R107" t="s">
        <v>780</v>
      </c>
      <c r="S107" t="s">
        <v>786</v>
      </c>
      <c r="T107">
        <v>1524.05936</v>
      </c>
      <c r="U107" s="2">
        <v>44477</v>
      </c>
      <c r="V107" t="s">
        <v>804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148.66</v>
      </c>
      <c r="D108">
        <v>118</v>
      </c>
      <c r="E108">
        <v>1.259830508474576</v>
      </c>
      <c r="F108">
        <v>0.0234091214852684</v>
      </c>
      <c r="G108">
        <v>-0.04514467198475647</v>
      </c>
      <c r="H108">
        <v>0.04</v>
      </c>
      <c r="I108">
        <v>0.01917398205143628</v>
      </c>
      <c r="J108" t="s">
        <v>776</v>
      </c>
      <c r="K108" t="s">
        <v>777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0.101858543183797</v>
      </c>
      <c r="R108" t="s">
        <v>780</v>
      </c>
      <c r="S108" t="s">
        <v>792</v>
      </c>
      <c r="T108">
        <v>359749.442773</v>
      </c>
      <c r="U108" s="2">
        <v>44488</v>
      </c>
      <c r="V108" t="s">
        <v>799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47.67</v>
      </c>
      <c r="D109">
        <v>46</v>
      </c>
      <c r="E109">
        <v>1.036304347826087</v>
      </c>
      <c r="F109">
        <v>0.02433396265995385</v>
      </c>
      <c r="G109">
        <v>-0.007106800947466407</v>
      </c>
      <c r="H109">
        <v>0</v>
      </c>
      <c r="I109">
        <v>0.01882708543193212</v>
      </c>
      <c r="J109" t="s">
        <v>776</v>
      </c>
      <c r="K109" t="s">
        <v>777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0.6620006066459101</v>
      </c>
      <c r="R109" t="s">
        <v>780</v>
      </c>
      <c r="S109" t="s">
        <v>790</v>
      </c>
      <c r="T109">
        <v>5795.584028</v>
      </c>
      <c r="U109" s="2">
        <v>44493</v>
      </c>
      <c r="V109" t="s">
        <v>799</v>
      </c>
    </row>
    <row r="110" spans="1:22">
      <c r="A110" s="1" t="s">
        <v>130</v>
      </c>
      <c r="B110">
        <f>HYPERLINK("https://www.suredividend.com/sure-analysis-MCD/","McDonald`s Corp")</f>
        <v>0</v>
      </c>
      <c r="C110">
        <v>257.11</v>
      </c>
      <c r="D110">
        <v>186</v>
      </c>
      <c r="E110">
        <v>1.382311827956989</v>
      </c>
      <c r="F110">
        <v>0.02146940998016413</v>
      </c>
      <c r="G110">
        <v>-0.06269961552418579</v>
      </c>
      <c r="H110">
        <v>0.06</v>
      </c>
      <c r="I110">
        <v>0.01858166198311006</v>
      </c>
      <c r="J110" t="s">
        <v>776</v>
      </c>
      <c r="K110" t="s">
        <v>777</v>
      </c>
      <c r="L110">
        <v>9.300000000000001</v>
      </c>
      <c r="M110">
        <v>5.52</v>
      </c>
      <c r="N110">
        <v>0.5935483870967742</v>
      </c>
      <c r="O110">
        <v>47</v>
      </c>
      <c r="P110">
        <v>0.06008593430202303</v>
      </c>
      <c r="Q110">
        <v>0.197493512082523</v>
      </c>
      <c r="R110" t="s">
        <v>780</v>
      </c>
      <c r="S110" t="s">
        <v>791</v>
      </c>
      <c r="T110">
        <v>192124.271736</v>
      </c>
      <c r="U110" s="2">
        <v>44497</v>
      </c>
      <c r="V110" t="s">
        <v>799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190.42</v>
      </c>
      <c r="D111">
        <v>148</v>
      </c>
      <c r="E111">
        <v>1.286621621621622</v>
      </c>
      <c r="F111">
        <v>0.01680495746245143</v>
      </c>
      <c r="G111">
        <v>-0.0491547727176338</v>
      </c>
      <c r="H111">
        <v>0.05</v>
      </c>
      <c r="I111">
        <v>0.0175488602674192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0.253795889772365</v>
      </c>
      <c r="R111" t="s">
        <v>780</v>
      </c>
      <c r="S111" t="s">
        <v>790</v>
      </c>
      <c r="T111">
        <v>82021.75453799999</v>
      </c>
      <c r="U111" s="2">
        <v>44506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93.37</v>
      </c>
      <c r="D112">
        <v>72</v>
      </c>
      <c r="E112">
        <v>1.296805555555556</v>
      </c>
      <c r="F112">
        <v>0.01713612509371319</v>
      </c>
      <c r="G112">
        <v>-0.05065290121224553</v>
      </c>
      <c r="H112">
        <v>0.05</v>
      </c>
      <c r="I112">
        <v>0.01617498197980582</v>
      </c>
      <c r="J112" t="s">
        <v>776</v>
      </c>
      <c r="K112" t="s">
        <v>777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0.071751200368231</v>
      </c>
      <c r="R112" t="s">
        <v>780</v>
      </c>
      <c r="S112" t="s">
        <v>788</v>
      </c>
      <c r="T112">
        <v>12111.555469</v>
      </c>
      <c r="U112" s="2">
        <v>44475</v>
      </c>
      <c r="V112" t="s">
        <v>796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44.76</v>
      </c>
      <c r="D113">
        <v>33</v>
      </c>
      <c r="E113">
        <v>1.356363636363636</v>
      </c>
      <c r="F113">
        <v>0.01519213583556747</v>
      </c>
      <c r="G113">
        <v>-0.05914050433310292</v>
      </c>
      <c r="H113">
        <v>0.06</v>
      </c>
      <c r="I113">
        <v>0.01455126724478162</v>
      </c>
      <c r="J113" t="s">
        <v>776</v>
      </c>
      <c r="K113" t="s">
        <v>777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0.290322580645161</v>
      </c>
      <c r="R113" t="s">
        <v>780</v>
      </c>
      <c r="S113" t="s">
        <v>787</v>
      </c>
      <c r="T113">
        <v>1169.428406</v>
      </c>
      <c r="U113" s="2">
        <v>44499</v>
      </c>
      <c r="V113" t="s">
        <v>798</v>
      </c>
    </row>
    <row r="114" spans="1:22">
      <c r="A114" s="1" t="s">
        <v>134</v>
      </c>
      <c r="B114">
        <f>HYPERLINK("https://www.suredividend.com/sure-analysis-ABT/","Abbott Laboratories")</f>
        <v>0</v>
      </c>
      <c r="C114">
        <v>125.07</v>
      </c>
      <c r="D114">
        <v>101</v>
      </c>
      <c r="E114">
        <v>1.238316831683168</v>
      </c>
      <c r="F114">
        <v>0.01439194051331255</v>
      </c>
      <c r="G114">
        <v>-0.04184968924917565</v>
      </c>
      <c r="H114">
        <v>0.04</v>
      </c>
      <c r="I114">
        <v>0.01380591253168872</v>
      </c>
      <c r="J114" t="s">
        <v>776</v>
      </c>
      <c r="K114" t="s">
        <v>777</v>
      </c>
      <c r="L114">
        <v>5.05</v>
      </c>
      <c r="M114">
        <v>1.8</v>
      </c>
      <c r="N114">
        <v>0.3564356435643565</v>
      </c>
      <c r="O114">
        <v>49</v>
      </c>
      <c r="P114">
        <v>0.06961037572506878</v>
      </c>
      <c r="Q114">
        <v>0.180217415921186</v>
      </c>
      <c r="R114" t="s">
        <v>780</v>
      </c>
      <c r="S114" t="s">
        <v>785</v>
      </c>
      <c r="T114">
        <v>221159.651213</v>
      </c>
      <c r="U114" s="2">
        <v>44490</v>
      </c>
      <c r="V114" t="s">
        <v>799</v>
      </c>
    </row>
    <row r="115" spans="1:22">
      <c r="A115" s="1" t="s">
        <v>135</v>
      </c>
      <c r="B115">
        <f>HYPERLINK("https://www.suredividend.com/sure-analysis-TROW/","T. Rowe Price Group Inc.")</f>
        <v>0</v>
      </c>
      <c r="C115">
        <v>207.7</v>
      </c>
      <c r="D115">
        <v>179</v>
      </c>
      <c r="E115">
        <v>1.160335195530726</v>
      </c>
      <c r="F115">
        <v>0.02079922965816081</v>
      </c>
      <c r="G115">
        <v>-0.02930385051106066</v>
      </c>
      <c r="H115">
        <v>0.02</v>
      </c>
      <c r="I115">
        <v>0.01374694970313683</v>
      </c>
      <c r="J115" t="s">
        <v>776</v>
      </c>
      <c r="K115" t="s">
        <v>777</v>
      </c>
      <c r="L115">
        <v>12.74</v>
      </c>
      <c r="M115">
        <v>4.32</v>
      </c>
      <c r="N115">
        <v>0.3390894819466248</v>
      </c>
      <c r="O115">
        <v>35</v>
      </c>
      <c r="P115">
        <v>0.04563955259127317</v>
      </c>
      <c r="Q115">
        <v>0.499084814855447</v>
      </c>
      <c r="R115" t="s">
        <v>780</v>
      </c>
      <c r="S115" t="s">
        <v>790</v>
      </c>
      <c r="T115">
        <v>46680.854149</v>
      </c>
      <c r="U115" s="2">
        <v>44502</v>
      </c>
      <c r="V115" t="s">
        <v>799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49.93</v>
      </c>
      <c r="D116">
        <v>60</v>
      </c>
      <c r="E116">
        <v>0.8321666666666666</v>
      </c>
      <c r="F116">
        <v>0.0248347686761466</v>
      </c>
      <c r="G116">
        <v>0.03742793196307326</v>
      </c>
      <c r="H116">
        <v>-0.05</v>
      </c>
      <c r="I116">
        <v>0.0120500449461638</v>
      </c>
      <c r="J116" t="s">
        <v>776</v>
      </c>
      <c r="K116" t="s">
        <v>776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0.268401732525498</v>
      </c>
      <c r="R116" t="s">
        <v>780</v>
      </c>
      <c r="S116" t="s">
        <v>790</v>
      </c>
      <c r="T116">
        <v>1248.559416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549.73</v>
      </c>
      <c r="D117">
        <v>362</v>
      </c>
      <c r="E117">
        <v>1.518591160220994</v>
      </c>
      <c r="F117">
        <v>0.005748276426609427</v>
      </c>
      <c r="G117">
        <v>-0.08016098445616138</v>
      </c>
      <c r="H117">
        <v>0.09</v>
      </c>
      <c r="I117">
        <v>0.0101515289714611</v>
      </c>
      <c r="J117" t="s">
        <v>776</v>
      </c>
      <c r="K117" t="s">
        <v>515</v>
      </c>
      <c r="L117">
        <v>12.05</v>
      </c>
      <c r="M117">
        <v>3.16</v>
      </c>
      <c r="N117">
        <v>0.2622406639004149</v>
      </c>
      <c r="O117">
        <v>18</v>
      </c>
      <c r="P117">
        <v>0.1000340793951375</v>
      </c>
      <c r="Q117">
        <v>0.479449901810471</v>
      </c>
      <c r="R117" t="s">
        <v>780</v>
      </c>
      <c r="S117" t="s">
        <v>792</v>
      </c>
      <c r="T117">
        <v>242883.803621</v>
      </c>
      <c r="U117" s="2">
        <v>44465</v>
      </c>
      <c r="V117" t="s">
        <v>798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241.76</v>
      </c>
      <c r="D118">
        <v>160</v>
      </c>
      <c r="E118">
        <v>1.511</v>
      </c>
      <c r="F118">
        <v>0.02018530774321641</v>
      </c>
      <c r="G118">
        <v>-0.07923859460017713</v>
      </c>
      <c r="H118">
        <v>0.07000000000000001</v>
      </c>
      <c r="I118">
        <v>0.008255186159288108</v>
      </c>
      <c r="J118" t="s">
        <v>776</v>
      </c>
      <c r="K118" t="s">
        <v>777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0.163520998579768</v>
      </c>
      <c r="R118" t="s">
        <v>780</v>
      </c>
      <c r="S118" t="s">
        <v>787</v>
      </c>
      <c r="T118">
        <v>75883.804076</v>
      </c>
      <c r="U118" s="2">
        <v>44501</v>
      </c>
      <c r="V118" t="s">
        <v>799</v>
      </c>
    </row>
    <row r="119" spans="1:22">
      <c r="A119" s="1" t="s">
        <v>139</v>
      </c>
      <c r="B119">
        <f>HYPERLINK("https://www.suredividend.com/sure-analysis-TR/","Tootsie Roll Industries, Inc.")</f>
        <v>0</v>
      </c>
      <c r="C119">
        <v>33.14</v>
      </c>
      <c r="D119">
        <v>28</v>
      </c>
      <c r="E119">
        <v>1.183571428571428</v>
      </c>
      <c r="F119">
        <v>0.01086300543150272</v>
      </c>
      <c r="G119">
        <v>-0.03314553882692184</v>
      </c>
      <c r="H119">
        <v>0.03</v>
      </c>
      <c r="I119">
        <v>0.006667724499894501</v>
      </c>
      <c r="J119" t="s">
        <v>776</v>
      </c>
      <c r="K119" t="s">
        <v>367</v>
      </c>
      <c r="L119">
        <v>0.92</v>
      </c>
      <c r="M119">
        <v>0.36</v>
      </c>
      <c r="N119">
        <v>0.3913043478260869</v>
      </c>
      <c r="O119">
        <v>53</v>
      </c>
      <c r="P119">
        <v>0</v>
      </c>
      <c r="Q119">
        <v>0.082949911115758</v>
      </c>
      <c r="R119" t="s">
        <v>780</v>
      </c>
      <c r="S119" t="s">
        <v>792</v>
      </c>
      <c r="T119">
        <v>1303.466192</v>
      </c>
      <c r="U119" s="2">
        <v>44522</v>
      </c>
      <c r="V119" t="s">
        <v>802</v>
      </c>
    </row>
    <row r="120" spans="1:22">
      <c r="A120" s="1" t="s">
        <v>140</v>
      </c>
      <c r="B120">
        <f>HYPERLINK("https://www.suredividend.com/sure-analysis-SJW/","SJW Group")</f>
        <v>0</v>
      </c>
      <c r="C120">
        <v>68.95999999999999</v>
      </c>
      <c r="D120">
        <v>43</v>
      </c>
      <c r="E120">
        <v>1.603720930232558</v>
      </c>
      <c r="F120">
        <v>0.0197215777262181</v>
      </c>
      <c r="G120">
        <v>-0.09014069574397621</v>
      </c>
      <c r="H120">
        <v>0.076</v>
      </c>
      <c r="I120">
        <v>0.003416801764543065</v>
      </c>
      <c r="J120" t="s">
        <v>776</v>
      </c>
      <c r="K120" t="s">
        <v>777</v>
      </c>
      <c r="L120">
        <v>1.97</v>
      </c>
      <c r="M120">
        <v>1.36</v>
      </c>
      <c r="N120">
        <v>0.6903553299492386</v>
      </c>
      <c r="O120">
        <v>55</v>
      </c>
      <c r="P120">
        <v>0.06000153927394081</v>
      </c>
      <c r="Q120">
        <v>0.04751170399895401</v>
      </c>
      <c r="R120" t="s">
        <v>780</v>
      </c>
      <c r="S120" t="s">
        <v>789</v>
      </c>
      <c r="T120">
        <v>2056.817028</v>
      </c>
      <c r="U120" s="2">
        <v>44502</v>
      </c>
      <c r="V120" t="s">
        <v>796</v>
      </c>
    </row>
    <row r="121" spans="1:22">
      <c r="A121" s="1" t="s">
        <v>141</v>
      </c>
      <c r="B121">
        <f>HYPERLINK("https://www.suredividend.com/sure-analysis-NKE/","Nike, Inc.")</f>
        <v>0</v>
      </c>
      <c r="C121">
        <v>172.03</v>
      </c>
      <c r="D121">
        <v>102</v>
      </c>
      <c r="E121">
        <v>1.68656862745098</v>
      </c>
      <c r="F121">
        <v>0.007091786316340173</v>
      </c>
      <c r="G121">
        <v>-0.09926052432944066</v>
      </c>
      <c r="H121">
        <v>0.1</v>
      </c>
      <c r="I121">
        <v>0.000490400714790562</v>
      </c>
      <c r="J121" t="s">
        <v>776</v>
      </c>
      <c r="K121" t="s">
        <v>367</v>
      </c>
      <c r="L121">
        <v>4.25</v>
      </c>
      <c r="M121">
        <v>1.22</v>
      </c>
      <c r="N121">
        <v>0.2870588235294118</v>
      </c>
      <c r="O121">
        <v>20</v>
      </c>
      <c r="P121">
        <v>0.09945953022431997</v>
      </c>
      <c r="Q121">
        <v>0.28701293746133</v>
      </c>
      <c r="R121" t="s">
        <v>780</v>
      </c>
      <c r="S121" t="s">
        <v>791</v>
      </c>
      <c r="T121">
        <v>270057.857652</v>
      </c>
      <c r="U121" s="2">
        <v>44464</v>
      </c>
      <c r="V121" t="s">
        <v>799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95.29000000000001</v>
      </c>
      <c r="D122">
        <v>59</v>
      </c>
      <c r="E122">
        <v>1.615084745762712</v>
      </c>
      <c r="F122">
        <v>0.007345996431944589</v>
      </c>
      <c r="G122">
        <v>-0.09142467745352578</v>
      </c>
      <c r="H122">
        <v>0.09</v>
      </c>
      <c r="I122">
        <v>1.939062278411008e-05</v>
      </c>
      <c r="J122" t="s">
        <v>776</v>
      </c>
      <c r="K122" t="s">
        <v>367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0.385069333410855</v>
      </c>
      <c r="R122" t="s">
        <v>780</v>
      </c>
      <c r="S122" t="s">
        <v>787</v>
      </c>
      <c r="T122">
        <v>4424.3855</v>
      </c>
      <c r="U122" s="2">
        <v>44496</v>
      </c>
      <c r="V122" t="s">
        <v>804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498.44</v>
      </c>
      <c r="D123">
        <v>356</v>
      </c>
      <c r="E123">
        <v>1.400112359550562</v>
      </c>
      <c r="F123">
        <v>0.01300056175266833</v>
      </c>
      <c r="G123">
        <v>-0.06509512986852151</v>
      </c>
      <c r="H123">
        <v>0.05</v>
      </c>
      <c r="I123">
        <v>-0.00215217311463578</v>
      </c>
      <c r="J123" t="s">
        <v>776</v>
      </c>
      <c r="K123" t="s">
        <v>777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0.202801840061911</v>
      </c>
      <c r="R123" t="s">
        <v>780</v>
      </c>
      <c r="S123" t="s">
        <v>787</v>
      </c>
      <c r="T123">
        <v>25679.652227</v>
      </c>
      <c r="U123" s="2">
        <v>44505</v>
      </c>
      <c r="V123" t="s">
        <v>799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327.25</v>
      </c>
      <c r="D124">
        <v>222</v>
      </c>
      <c r="E124">
        <v>1.474099099099099</v>
      </c>
      <c r="F124">
        <v>0.01295645530939649</v>
      </c>
      <c r="G124">
        <v>-0.07467421602338542</v>
      </c>
      <c r="H124">
        <v>0.06</v>
      </c>
      <c r="I124">
        <v>-0.002496911785688782</v>
      </c>
      <c r="J124" t="s">
        <v>776</v>
      </c>
      <c r="K124" t="s">
        <v>367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0.296716978096676</v>
      </c>
      <c r="R124" t="s">
        <v>780</v>
      </c>
      <c r="S124" t="s">
        <v>788</v>
      </c>
      <c r="T124">
        <v>167733.53572</v>
      </c>
      <c r="U124" s="2">
        <v>44503</v>
      </c>
      <c r="V124" t="s">
        <v>800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38.85</v>
      </c>
      <c r="D125">
        <v>34</v>
      </c>
      <c r="E125">
        <v>1.142647058823529</v>
      </c>
      <c r="F125">
        <v>0.03603603603603604</v>
      </c>
      <c r="G125">
        <v>-0.02631701958399912</v>
      </c>
      <c r="H125">
        <v>-0.02</v>
      </c>
      <c r="I125">
        <v>-0.003487816571826396</v>
      </c>
      <c r="J125" t="s">
        <v>776</v>
      </c>
      <c r="K125" t="s">
        <v>776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0.280002635784063</v>
      </c>
      <c r="R125" t="s">
        <v>780</v>
      </c>
      <c r="S125" t="s">
        <v>790</v>
      </c>
      <c r="T125">
        <v>5019.543038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HYPERLINK("https://www.suredividend.com/sure-analysis-TSCO/","Tractor Supply Co.")</f>
        <v>0</v>
      </c>
      <c r="C126">
        <v>225.82</v>
      </c>
      <c r="D126">
        <v>152</v>
      </c>
      <c r="E126">
        <v>1.485657894736842</v>
      </c>
      <c r="F126">
        <v>0.009210875918873439</v>
      </c>
      <c r="G126">
        <v>-0.07611857193636928</v>
      </c>
      <c r="H126">
        <v>0.065</v>
      </c>
      <c r="I126">
        <v>-0.004054796212456857</v>
      </c>
      <c r="J126" t="s">
        <v>776</v>
      </c>
      <c r="K126" t="s">
        <v>515</v>
      </c>
      <c r="L126">
        <v>8.01</v>
      </c>
      <c r="M126">
        <v>2.08</v>
      </c>
      <c r="N126">
        <v>0.2596754057428215</v>
      </c>
      <c r="O126">
        <v>11</v>
      </c>
      <c r="P126">
        <v>0.07599829696383686</v>
      </c>
      <c r="Q126">
        <v>0.703274779962875</v>
      </c>
      <c r="R126" t="s">
        <v>780</v>
      </c>
      <c r="S126" t="s">
        <v>791</v>
      </c>
      <c r="T126">
        <v>25701.686138</v>
      </c>
      <c r="U126" s="2">
        <v>44491</v>
      </c>
      <c r="V126" t="s">
        <v>803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82.39</v>
      </c>
      <c r="D127">
        <v>55</v>
      </c>
      <c r="E127">
        <v>1.498</v>
      </c>
      <c r="F127">
        <v>0.01359388275276126</v>
      </c>
      <c r="G127">
        <v>-0.07764599616630574</v>
      </c>
      <c r="H127">
        <v>0.06</v>
      </c>
      <c r="I127">
        <v>-0.004110653395303698</v>
      </c>
      <c r="J127" t="s">
        <v>776</v>
      </c>
      <c r="K127" t="s">
        <v>367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0.445778481256997</v>
      </c>
      <c r="R127" t="s">
        <v>780</v>
      </c>
      <c r="S127" t="s">
        <v>787</v>
      </c>
      <c r="T127">
        <v>13302.85418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HYPERLINK("https://www.suredividend.com/sure-analysis-AAPL/","Apple Inc")</f>
        <v>0</v>
      </c>
      <c r="C128">
        <v>161.94</v>
      </c>
      <c r="D128">
        <v>108</v>
      </c>
      <c r="E128">
        <v>1.499444444444444</v>
      </c>
      <c r="F128">
        <v>0.005434111399283685</v>
      </c>
      <c r="G128">
        <v>-0.077823769045678</v>
      </c>
      <c r="H128">
        <v>0.07000000000000001</v>
      </c>
      <c r="I128">
        <v>-0.005215614675685099</v>
      </c>
      <c r="J128" t="s">
        <v>776</v>
      </c>
      <c r="K128" t="s">
        <v>367</v>
      </c>
      <c r="L128">
        <v>6</v>
      </c>
      <c r="M128">
        <v>0.88</v>
      </c>
      <c r="N128">
        <v>0.1466666666666667</v>
      </c>
      <c r="O128">
        <v>9</v>
      </c>
      <c r="P128">
        <v>0.1213169452916456</v>
      </c>
      <c r="Q128">
        <v>0.414763018021323</v>
      </c>
      <c r="R128" t="s">
        <v>780</v>
      </c>
      <c r="S128" t="s">
        <v>786</v>
      </c>
      <c r="T128">
        <v>2656851.93018</v>
      </c>
      <c r="U128" s="2">
        <v>44500</v>
      </c>
      <c r="V128" t="s">
        <v>799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337.91</v>
      </c>
      <c r="D129">
        <v>216</v>
      </c>
      <c r="E129">
        <v>1.564398148148148</v>
      </c>
      <c r="F129">
        <v>0.007339232339972182</v>
      </c>
      <c r="G129">
        <v>-0.08561195069923899</v>
      </c>
      <c r="H129">
        <v>0.07000000000000001</v>
      </c>
      <c r="I129">
        <v>-0.01136463795847831</v>
      </c>
      <c r="J129" t="s">
        <v>776</v>
      </c>
      <c r="K129" t="s">
        <v>367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0.593296564588369</v>
      </c>
      <c r="R129" t="s">
        <v>780</v>
      </c>
      <c r="S129" t="s">
        <v>786</v>
      </c>
      <c r="T129">
        <v>2537021.671832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149.01</v>
      </c>
      <c r="D130">
        <v>103</v>
      </c>
      <c r="E130">
        <v>1.446699029126213</v>
      </c>
      <c r="F130">
        <v>0.006442520636198913</v>
      </c>
      <c r="G130">
        <v>-0.07119539064496183</v>
      </c>
      <c r="H130">
        <v>0.05</v>
      </c>
      <c r="I130">
        <v>-0.0153569242367696</v>
      </c>
      <c r="J130" t="s">
        <v>776</v>
      </c>
      <c r="K130" t="s">
        <v>515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0.809153215280854</v>
      </c>
      <c r="R130" t="s">
        <v>780</v>
      </c>
      <c r="S130" t="s">
        <v>786</v>
      </c>
      <c r="T130">
        <v>134545.375785</v>
      </c>
      <c r="U130" s="2">
        <v>44430</v>
      </c>
      <c r="V130" t="s">
        <v>798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77.29000000000001</v>
      </c>
      <c r="D131">
        <v>52.2</v>
      </c>
      <c r="E131">
        <v>1.480651340996169</v>
      </c>
      <c r="F131">
        <v>0.02005434079441066</v>
      </c>
      <c r="G131">
        <v>-0.07549462779909466</v>
      </c>
      <c r="H131">
        <v>0.038</v>
      </c>
      <c r="I131">
        <v>-0.01592628041163824</v>
      </c>
      <c r="J131" t="s">
        <v>776</v>
      </c>
      <c r="K131" t="s">
        <v>777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0.08417240150709601</v>
      </c>
      <c r="R131" t="s">
        <v>780</v>
      </c>
      <c r="S131" t="s">
        <v>789</v>
      </c>
      <c r="T131">
        <v>2795.066867</v>
      </c>
      <c r="U131" s="2">
        <v>44420</v>
      </c>
      <c r="V131" t="s">
        <v>803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128.18</v>
      </c>
      <c r="D132">
        <v>77</v>
      </c>
      <c r="E132">
        <v>1.664675324675325</v>
      </c>
      <c r="F132">
        <v>0.01170229364955531</v>
      </c>
      <c r="G132">
        <v>-0.0969036404963175</v>
      </c>
      <c r="H132">
        <v>0.07000000000000001</v>
      </c>
      <c r="I132">
        <v>-0.01861285936607582</v>
      </c>
      <c r="J132" t="s">
        <v>776</v>
      </c>
      <c r="K132" t="s">
        <v>367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0.013444065287999</v>
      </c>
      <c r="R132" t="s">
        <v>780</v>
      </c>
      <c r="S132" t="s">
        <v>791</v>
      </c>
      <c r="T132">
        <v>8437.718446999999</v>
      </c>
      <c r="U132" s="2">
        <v>44507</v>
      </c>
      <c r="V132" t="s">
        <v>797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231.35</v>
      </c>
      <c r="D133">
        <v>106</v>
      </c>
      <c r="E133">
        <v>2.182547169811321</v>
      </c>
      <c r="F133">
        <v>0.008299113896693322</v>
      </c>
      <c r="G133">
        <v>-0.1445250988026615</v>
      </c>
      <c r="H133">
        <v>0.13</v>
      </c>
      <c r="I133">
        <v>-0.02110477176741909</v>
      </c>
      <c r="J133" t="s">
        <v>776</v>
      </c>
      <c r="K133" t="s">
        <v>367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0.064199741114495</v>
      </c>
      <c r="R133" t="s">
        <v>780</v>
      </c>
      <c r="S133" t="s">
        <v>788</v>
      </c>
      <c r="T133">
        <v>66297.34647400001</v>
      </c>
      <c r="U133" s="2">
        <v>44496</v>
      </c>
      <c r="V133" t="s">
        <v>804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84.03</v>
      </c>
      <c r="D134">
        <v>77</v>
      </c>
      <c r="E134">
        <v>1.091298701298701</v>
      </c>
      <c r="F134">
        <v>0.02713316672616922</v>
      </c>
      <c r="G134">
        <v>-0.01732191161070251</v>
      </c>
      <c r="H134">
        <v>-0.04</v>
      </c>
      <c r="I134">
        <v>-0.02184905244754032</v>
      </c>
      <c r="J134" t="s">
        <v>776</v>
      </c>
      <c r="K134" t="s">
        <v>776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0.231777303810549</v>
      </c>
      <c r="R134" t="s">
        <v>780</v>
      </c>
      <c r="S134" t="s">
        <v>790</v>
      </c>
      <c r="T134">
        <v>1231.812156</v>
      </c>
      <c r="U134" s="2">
        <v>44499</v>
      </c>
      <c r="V134" t="s">
        <v>798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328.02</v>
      </c>
      <c r="D135">
        <v>186</v>
      </c>
      <c r="E135">
        <v>1.763548387096774</v>
      </c>
      <c r="F135">
        <v>0.006706908115358821</v>
      </c>
      <c r="G135">
        <v>-0.107265077685239</v>
      </c>
      <c r="H135">
        <v>0.08</v>
      </c>
      <c r="I135">
        <v>-0.02504126389763928</v>
      </c>
      <c r="J135" t="s">
        <v>776</v>
      </c>
      <c r="K135" t="s">
        <v>367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0.3489328453345391</v>
      </c>
      <c r="R135" t="s">
        <v>780</v>
      </c>
      <c r="S135" t="s">
        <v>788</v>
      </c>
      <c r="T135">
        <v>86005.596212</v>
      </c>
      <c r="U135" s="2">
        <v>44495</v>
      </c>
      <c r="V135" t="s">
        <v>799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441.56</v>
      </c>
      <c r="D136">
        <v>271</v>
      </c>
      <c r="E136">
        <v>1.629372693726937</v>
      </c>
      <c r="F136">
        <v>0.008605851979345954</v>
      </c>
      <c r="G136">
        <v>-0.09302375328164936</v>
      </c>
      <c r="H136">
        <v>0.06</v>
      </c>
      <c r="I136">
        <v>-0.02544046221848728</v>
      </c>
      <c r="J136" t="s">
        <v>776</v>
      </c>
      <c r="K136" t="s">
        <v>367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0.230899262285576</v>
      </c>
      <c r="R136" t="s">
        <v>780</v>
      </c>
      <c r="S136" t="s">
        <v>787</v>
      </c>
      <c r="T136">
        <v>45660.670453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65.04000000000001</v>
      </c>
      <c r="D137">
        <v>40</v>
      </c>
      <c r="E137">
        <v>1.626</v>
      </c>
      <c r="F137">
        <v>0.01414514145141451</v>
      </c>
      <c r="G137">
        <v>-0.0926478100754855</v>
      </c>
      <c r="H137">
        <v>0.05</v>
      </c>
      <c r="I137">
        <v>-0.02760390718179506</v>
      </c>
      <c r="J137" t="s">
        <v>776</v>
      </c>
      <c r="K137" t="s">
        <v>777</v>
      </c>
      <c r="L137">
        <v>2.02</v>
      </c>
      <c r="M137">
        <v>0.92</v>
      </c>
      <c r="N137">
        <v>0.4554455445544555</v>
      </c>
      <c r="O137">
        <v>53</v>
      </c>
      <c r="P137">
        <v>0.05979888147511248</v>
      </c>
      <c r="Q137">
        <v>0.290873185205767</v>
      </c>
      <c r="R137" t="s">
        <v>780</v>
      </c>
      <c r="S137" t="s">
        <v>789</v>
      </c>
      <c r="T137">
        <v>3421.62432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154.4</v>
      </c>
      <c r="D138">
        <v>92</v>
      </c>
      <c r="E138">
        <v>1.678260869565217</v>
      </c>
      <c r="F138">
        <v>0.01139896373056995</v>
      </c>
      <c r="G138">
        <v>-0.09837051345778025</v>
      </c>
      <c r="H138">
        <v>0.06</v>
      </c>
      <c r="I138">
        <v>-0.02797516907856645</v>
      </c>
      <c r="J138" t="s">
        <v>776</v>
      </c>
      <c r="K138" t="s">
        <v>367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0.035759183306567</v>
      </c>
      <c r="R138" t="s">
        <v>780</v>
      </c>
      <c r="S138" t="s">
        <v>787</v>
      </c>
      <c r="T138">
        <v>6053.624258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74.62</v>
      </c>
      <c r="D139">
        <v>42</v>
      </c>
      <c r="E139">
        <v>1.776666666666667</v>
      </c>
      <c r="F139">
        <v>0.01005092468507103</v>
      </c>
      <c r="G139">
        <v>-0.1085873165644717</v>
      </c>
      <c r="H139">
        <v>0.07000000000000001</v>
      </c>
      <c r="I139">
        <v>-0.03212946701236807</v>
      </c>
      <c r="J139" t="s">
        <v>776</v>
      </c>
      <c r="K139" t="s">
        <v>367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-0.07922013820335601</v>
      </c>
      <c r="R139" t="s">
        <v>780</v>
      </c>
      <c r="S139" t="s">
        <v>792</v>
      </c>
      <c r="T139">
        <v>34850.786964</v>
      </c>
      <c r="U139" s="2">
        <v>44453</v>
      </c>
      <c r="V139" t="s">
        <v>800</v>
      </c>
    </row>
    <row r="140" spans="1:22">
      <c r="A140" s="1" t="s">
        <v>160</v>
      </c>
      <c r="B140">
        <f>HYPERLINK("https://www.suredividend.com/sure-analysis-EBAY/","EBay Inc.")</f>
        <v>0</v>
      </c>
      <c r="C140">
        <v>72.66</v>
      </c>
      <c r="D140">
        <v>47.5</v>
      </c>
      <c r="E140">
        <v>1.529684210526316</v>
      </c>
      <c r="F140">
        <v>0.00990916597853014</v>
      </c>
      <c r="G140">
        <v>-0.0814989793838502</v>
      </c>
      <c r="H140">
        <v>0.037</v>
      </c>
      <c r="I140">
        <v>-0.03296443518707659</v>
      </c>
      <c r="J140" t="s">
        <v>776</v>
      </c>
      <c r="K140" t="s">
        <v>515</v>
      </c>
      <c r="L140">
        <v>3.96</v>
      </c>
      <c r="M140">
        <v>0.72</v>
      </c>
      <c r="N140">
        <v>0.1818181818181818</v>
      </c>
      <c r="O140">
        <v>2</v>
      </c>
      <c r="P140">
        <v>0.07423907511540473</v>
      </c>
      <c r="Q140">
        <v>0.454791541946889</v>
      </c>
      <c r="R140" t="s">
        <v>780</v>
      </c>
      <c r="S140" t="s">
        <v>791</v>
      </c>
      <c r="T140">
        <v>47233.054791</v>
      </c>
      <c r="U140" s="2">
        <v>44504</v>
      </c>
      <c r="V140" t="s">
        <v>803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269.02</v>
      </c>
      <c r="D141">
        <v>165</v>
      </c>
      <c r="E141">
        <v>1.630424242424242</v>
      </c>
      <c r="F141">
        <v>0.007583079324957252</v>
      </c>
      <c r="G141">
        <v>-0.09314077507338692</v>
      </c>
      <c r="H141">
        <v>0.05</v>
      </c>
      <c r="I141">
        <v>-0.03637984307805098</v>
      </c>
      <c r="J141" t="s">
        <v>776</v>
      </c>
      <c r="K141" t="s">
        <v>367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0.326193781451625</v>
      </c>
      <c r="R141" t="s">
        <v>780</v>
      </c>
      <c r="S141" t="s">
        <v>787</v>
      </c>
      <c r="T141">
        <v>15633.977048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319.27</v>
      </c>
      <c r="D142">
        <v>174</v>
      </c>
      <c r="E142">
        <v>1.834885057471264</v>
      </c>
      <c r="F142">
        <v>0.00394650295987722</v>
      </c>
      <c r="G142">
        <v>-0.1143171664234593</v>
      </c>
      <c r="H142">
        <v>0.07000000000000001</v>
      </c>
      <c r="I142">
        <v>-0.04620154084141559</v>
      </c>
      <c r="J142" t="s">
        <v>776</v>
      </c>
      <c r="K142" t="s">
        <v>515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0.6134485206980981</v>
      </c>
      <c r="R142" t="s">
        <v>780</v>
      </c>
      <c r="S142" t="s">
        <v>790</v>
      </c>
      <c r="T142">
        <v>13759.09805</v>
      </c>
      <c r="U142" s="2">
        <v>44518</v>
      </c>
      <c r="V142" t="s">
        <v>798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94.68000000000001</v>
      </c>
      <c r="D143">
        <v>60.8</v>
      </c>
      <c r="E143">
        <v>1.557236842105263</v>
      </c>
      <c r="F143">
        <v>0.01542036332910857</v>
      </c>
      <c r="G143">
        <v>-0.0847724893866717</v>
      </c>
      <c r="H143">
        <v>0.015</v>
      </c>
      <c r="I143">
        <v>-0.05012409965085829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0.260265949658578</v>
      </c>
      <c r="R143" t="s">
        <v>780</v>
      </c>
      <c r="S143" t="s">
        <v>789</v>
      </c>
      <c r="T143">
        <v>3496.700078</v>
      </c>
      <c r="U143" s="2">
        <v>44506</v>
      </c>
      <c r="V143" t="s">
        <v>803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223.17</v>
      </c>
      <c r="D144">
        <v>92</v>
      </c>
      <c r="E144">
        <v>2.425760869565217</v>
      </c>
      <c r="F144">
        <v>0.004480889008379263</v>
      </c>
      <c r="G144">
        <v>-0.1624120845867196</v>
      </c>
      <c r="H144">
        <v>0.12</v>
      </c>
      <c r="I144">
        <v>-0.05309976458640331</v>
      </c>
      <c r="J144" t="s">
        <v>776</v>
      </c>
      <c r="K144" t="s">
        <v>515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0.391112141703069</v>
      </c>
      <c r="R144" t="s">
        <v>780</v>
      </c>
      <c r="S144" t="s">
        <v>785</v>
      </c>
      <c r="T144">
        <v>105587.489696</v>
      </c>
      <c r="U144" s="2">
        <v>44509</v>
      </c>
      <c r="V144" t="s">
        <v>806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433.72</v>
      </c>
      <c r="D145">
        <v>211</v>
      </c>
      <c r="E145">
        <v>2.055545023696683</v>
      </c>
      <c r="F145">
        <v>0.001660057179747302</v>
      </c>
      <c r="G145">
        <v>-0.1342059413168127</v>
      </c>
      <c r="H145">
        <v>0.09</v>
      </c>
      <c r="I145">
        <v>-0.05380206452053671</v>
      </c>
      <c r="J145" t="s">
        <v>776</v>
      </c>
      <c r="K145" t="s">
        <v>367</v>
      </c>
      <c r="L145">
        <v>8.449999999999999</v>
      </c>
      <c r="M145">
        <v>0.72</v>
      </c>
      <c r="N145">
        <v>0.08520710059171598</v>
      </c>
      <c r="O145">
        <v>28</v>
      </c>
      <c r="P145">
        <v>0.05922384104881218</v>
      </c>
      <c r="Q145">
        <v>0.6224312378239101</v>
      </c>
      <c r="R145" t="s">
        <v>780</v>
      </c>
      <c r="S145" t="s">
        <v>785</v>
      </c>
      <c r="T145">
        <v>32129.85399</v>
      </c>
      <c r="U145" s="2">
        <v>44502</v>
      </c>
      <c r="V145" t="s">
        <v>800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114.07</v>
      </c>
      <c r="D146">
        <v>67</v>
      </c>
      <c r="E146">
        <v>1.702537313432836</v>
      </c>
      <c r="F146">
        <v>0.008766546857192952</v>
      </c>
      <c r="G146">
        <v>-0.1009565688176486</v>
      </c>
      <c r="H146">
        <v>0.03</v>
      </c>
      <c r="I146">
        <v>-0.0605231238888585</v>
      </c>
      <c r="J146" t="s">
        <v>776</v>
      </c>
      <c r="K146" t="s">
        <v>367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0.116434300479086</v>
      </c>
      <c r="R146" t="s">
        <v>780</v>
      </c>
      <c r="S146" t="s">
        <v>790</v>
      </c>
      <c r="T146">
        <v>5161.040685</v>
      </c>
      <c r="U146" s="2">
        <v>44505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115.79</v>
      </c>
      <c r="D147">
        <v>60</v>
      </c>
      <c r="E147">
        <v>1.929833333333334</v>
      </c>
      <c r="F147">
        <v>0.01399084549615684</v>
      </c>
      <c r="G147">
        <v>-0.1232090887670254</v>
      </c>
      <c r="H147">
        <v>0.037</v>
      </c>
      <c r="I147">
        <v>-0.06992839125281725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1.096201890003258</v>
      </c>
      <c r="R147" t="s">
        <v>780</v>
      </c>
      <c r="S147" t="s">
        <v>788</v>
      </c>
      <c r="T147">
        <v>33092.65162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59.12</v>
      </c>
      <c r="D148">
        <v>26</v>
      </c>
      <c r="E148">
        <v>2.273846153846154</v>
      </c>
      <c r="F148">
        <v>0.008795669824086604</v>
      </c>
      <c r="G148">
        <v>-0.1515079363362215</v>
      </c>
      <c r="H148">
        <v>0.07000000000000001</v>
      </c>
      <c r="I148">
        <v>-0.07709034104622425</v>
      </c>
      <c r="J148" t="s">
        <v>776</v>
      </c>
      <c r="K148" t="s">
        <v>515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0.394191654187645</v>
      </c>
      <c r="R148" t="s">
        <v>780</v>
      </c>
      <c r="S148" t="s">
        <v>790</v>
      </c>
      <c r="T148">
        <v>96976.74702900001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106.88</v>
      </c>
      <c r="D149">
        <v>51</v>
      </c>
      <c r="E149">
        <v>2.095686274509804</v>
      </c>
      <c r="F149">
        <v>0.007485029940119761</v>
      </c>
      <c r="G149">
        <v>-0.1375483722459555</v>
      </c>
      <c r="H149">
        <v>0.05</v>
      </c>
      <c r="I149">
        <v>-0.08021514888925563</v>
      </c>
      <c r="J149" t="s">
        <v>776</v>
      </c>
      <c r="K149" t="s">
        <v>515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0.314021350388071</v>
      </c>
      <c r="R149" t="s">
        <v>780</v>
      </c>
      <c r="S149" t="s">
        <v>787</v>
      </c>
      <c r="T149">
        <v>3126.223754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106.75</v>
      </c>
      <c r="D150">
        <v>48.6</v>
      </c>
      <c r="E150">
        <v>2.196502057613169</v>
      </c>
      <c r="F150">
        <v>0.01086651053864169</v>
      </c>
      <c r="G150">
        <v>-0.145614877934317</v>
      </c>
      <c r="H150">
        <v>0.045</v>
      </c>
      <c r="I150">
        <v>-0.09035964196544477</v>
      </c>
      <c r="J150" t="s">
        <v>776</v>
      </c>
      <c r="K150" t="s">
        <v>367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0.5102513171372141</v>
      </c>
      <c r="R150" t="s">
        <v>780</v>
      </c>
      <c r="S150" t="s">
        <v>789</v>
      </c>
      <c r="T150">
        <v>1867.806351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274.48</v>
      </c>
      <c r="D151">
        <v>97</v>
      </c>
      <c r="E151">
        <v>2.829690721649485</v>
      </c>
      <c r="F151">
        <v>0.005683474205770912</v>
      </c>
      <c r="G151">
        <v>-0.1878201587807727</v>
      </c>
      <c r="H151">
        <v>0.1</v>
      </c>
      <c r="I151">
        <v>-0.09525537262524864</v>
      </c>
      <c r="J151" t="s">
        <v>776</v>
      </c>
      <c r="K151" t="s">
        <v>515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1.018141806666308</v>
      </c>
      <c r="R151" t="s">
        <v>780</v>
      </c>
      <c r="S151" t="s">
        <v>788</v>
      </c>
      <c r="T151">
        <v>32107.659765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210.58</v>
      </c>
      <c r="D152">
        <v>265</v>
      </c>
      <c r="E152">
        <v>0.7946415094339623</v>
      </c>
      <c r="F152">
        <v>0.01899515623516003</v>
      </c>
      <c r="G152">
        <v>0.04704597229066843</v>
      </c>
      <c r="H152">
        <v>0.15</v>
      </c>
      <c r="I152">
        <v>0.2130064730412364</v>
      </c>
      <c r="J152" t="s">
        <v>777</v>
      </c>
      <c r="K152" t="s">
        <v>367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0.010932162217694</v>
      </c>
      <c r="R152" t="s">
        <v>780</v>
      </c>
      <c r="S152" t="s">
        <v>785</v>
      </c>
      <c r="T152">
        <v>69792.06086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24.47</v>
      </c>
      <c r="D153">
        <v>36</v>
      </c>
      <c r="E153">
        <v>0.6797222222222222</v>
      </c>
      <c r="F153">
        <v>0.085002043318349</v>
      </c>
      <c r="G153">
        <v>0.08027345936385033</v>
      </c>
      <c r="H153">
        <v>0.03</v>
      </c>
      <c r="I153">
        <v>0.165947600508751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-0.116647955150119</v>
      </c>
      <c r="R153" t="s">
        <v>780</v>
      </c>
      <c r="S153" t="s">
        <v>784</v>
      </c>
      <c r="T153">
        <v>174715.8</v>
      </c>
      <c r="U153" s="2">
        <v>44490</v>
      </c>
      <c r="V153" t="s">
        <v>799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288.3</v>
      </c>
      <c r="D154">
        <v>413</v>
      </c>
      <c r="E154">
        <v>0.6980629539951574</v>
      </c>
      <c r="F154">
        <v>0.004856052722858133</v>
      </c>
      <c r="G154">
        <v>0.07453627633719506</v>
      </c>
      <c r="H154">
        <v>0.08</v>
      </c>
      <c r="I154">
        <v>0.1640683572891037</v>
      </c>
      <c r="J154" t="s">
        <v>777</v>
      </c>
      <c r="K154" t="s">
        <v>515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-0.062400910606122</v>
      </c>
      <c r="R154" t="s">
        <v>780</v>
      </c>
      <c r="S154" t="s">
        <v>791</v>
      </c>
      <c r="T154">
        <v>8729.597436</v>
      </c>
      <c r="U154" s="2">
        <v>44493</v>
      </c>
      <c r="V154" t="s">
        <v>801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51.88</v>
      </c>
      <c r="D155">
        <v>61</v>
      </c>
      <c r="E155">
        <v>0.8504918032786886</v>
      </c>
      <c r="F155">
        <v>0.01927525057825752</v>
      </c>
      <c r="G155">
        <v>0.03291830409483421</v>
      </c>
      <c r="H155">
        <v>0.09</v>
      </c>
      <c r="I155">
        <v>0.1411221199452934</v>
      </c>
      <c r="J155" t="s">
        <v>777</v>
      </c>
      <c r="K155" t="s">
        <v>367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0.004733168589112001</v>
      </c>
      <c r="R155" t="s">
        <v>780</v>
      </c>
      <c r="S155" t="s">
        <v>784</v>
      </c>
      <c r="T155">
        <v>236545.7534</v>
      </c>
      <c r="U155" s="2">
        <v>44506</v>
      </c>
      <c r="V155" t="s">
        <v>805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203.97</v>
      </c>
      <c r="D156">
        <v>225</v>
      </c>
      <c r="E156">
        <v>0.9065333333333333</v>
      </c>
      <c r="F156">
        <v>0.03451487963916262</v>
      </c>
      <c r="G156">
        <v>0.01981934167010757</v>
      </c>
      <c r="H156">
        <v>0.09</v>
      </c>
      <c r="I156">
        <v>0.1396414021182608</v>
      </c>
      <c r="J156" t="s">
        <v>777</v>
      </c>
      <c r="K156" t="s">
        <v>777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-0.046175630505171</v>
      </c>
      <c r="R156" t="s">
        <v>780</v>
      </c>
      <c r="S156" t="s">
        <v>785</v>
      </c>
      <c r="T156">
        <v>114889.346031</v>
      </c>
      <c r="U156" s="2">
        <v>44503</v>
      </c>
      <c r="V156" t="s">
        <v>796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51.66</v>
      </c>
      <c r="D157">
        <v>70</v>
      </c>
      <c r="E157">
        <v>0.738</v>
      </c>
      <c r="F157">
        <v>0.04955478126209834</v>
      </c>
      <c r="G157">
        <v>0.0626462834452628</v>
      </c>
      <c r="H157">
        <v>0.04</v>
      </c>
      <c r="I157">
        <v>0.1383862045813782</v>
      </c>
      <c r="J157" t="s">
        <v>777</v>
      </c>
      <c r="K157" t="s">
        <v>776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-0.100396515124866</v>
      </c>
      <c r="R157" t="s">
        <v>780</v>
      </c>
      <c r="S157" t="s">
        <v>784</v>
      </c>
      <c r="T157">
        <v>213880.866867</v>
      </c>
      <c r="U157" s="2">
        <v>44489</v>
      </c>
      <c r="V157" t="s">
        <v>796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45.83</v>
      </c>
      <c r="D158">
        <v>60</v>
      </c>
      <c r="E158">
        <v>0.7638333333333333</v>
      </c>
      <c r="F158">
        <v>0.04102116517564914</v>
      </c>
      <c r="G158">
        <v>0.0553591470490753</v>
      </c>
      <c r="H158">
        <v>0.05</v>
      </c>
      <c r="I158">
        <v>0.1372291494078832</v>
      </c>
      <c r="J158" t="s">
        <v>777</v>
      </c>
      <c r="K158" t="s">
        <v>776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0.242860939508496</v>
      </c>
      <c r="R158" t="s">
        <v>781</v>
      </c>
      <c r="S158" t="s">
        <v>790</v>
      </c>
      <c r="T158">
        <v>5168.069951</v>
      </c>
      <c r="U158" s="2">
        <v>44508</v>
      </c>
      <c r="V158" t="s">
        <v>802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777</v>
      </c>
      <c r="K159" t="s">
        <v>777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0.181517361741232</v>
      </c>
      <c r="R159" t="s">
        <v>780</v>
      </c>
      <c r="S159" t="s">
        <v>793</v>
      </c>
      <c r="T159">
        <v>171.578759</v>
      </c>
      <c r="U159" s="2">
        <v>44506</v>
      </c>
      <c r="V159" t="s">
        <v>796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133.66</v>
      </c>
      <c r="D160">
        <v>160</v>
      </c>
      <c r="E160">
        <v>0.835375</v>
      </c>
      <c r="F160">
        <v>0.0169085739937154</v>
      </c>
      <c r="G160">
        <v>0.03662983777528805</v>
      </c>
      <c r="H160">
        <v>0.08</v>
      </c>
      <c r="I160">
        <v>0.1330731496549258</v>
      </c>
      <c r="J160" t="s">
        <v>777</v>
      </c>
      <c r="K160" t="s">
        <v>367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0.163139798682656</v>
      </c>
      <c r="R160" t="s">
        <v>780</v>
      </c>
      <c r="S160" t="s">
        <v>786</v>
      </c>
      <c r="T160">
        <v>164201.56235</v>
      </c>
      <c r="U160" s="2">
        <v>44507</v>
      </c>
      <c r="V160" t="s">
        <v>800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34.47</v>
      </c>
      <c r="D161">
        <v>41</v>
      </c>
      <c r="E161">
        <v>0.8407317073170731</v>
      </c>
      <c r="F161">
        <v>0.03133159268929504</v>
      </c>
      <c r="G161">
        <v>0.03530548445951798</v>
      </c>
      <c r="H161">
        <v>0.07000000000000001</v>
      </c>
      <c r="I161">
        <v>0.1319347525871954</v>
      </c>
      <c r="J161" t="s">
        <v>777</v>
      </c>
      <c r="K161" t="s">
        <v>777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0.539849812153511</v>
      </c>
      <c r="R161" t="s">
        <v>780</v>
      </c>
      <c r="S161" t="s">
        <v>784</v>
      </c>
      <c r="T161">
        <v>13572.743812</v>
      </c>
      <c r="U161" s="2">
        <v>44494</v>
      </c>
      <c r="V161" t="s">
        <v>795</v>
      </c>
    </row>
    <row r="162" spans="1:22">
      <c r="A162" s="1" t="s">
        <v>182</v>
      </c>
      <c r="B162">
        <f>HYPERLINK("https://www.suredividend.com/sure-analysis-WU/","Western Union Company")</f>
        <v>0</v>
      </c>
      <c r="C162">
        <v>16.61</v>
      </c>
      <c r="D162">
        <v>23</v>
      </c>
      <c r="E162">
        <v>0.7221739130434782</v>
      </c>
      <c r="F162">
        <v>0.05659241420830825</v>
      </c>
      <c r="G162">
        <v>0.06726346003360884</v>
      </c>
      <c r="H162">
        <v>0.02</v>
      </c>
      <c r="I162">
        <v>0.1305576601689389</v>
      </c>
      <c r="J162" t="s">
        <v>777</v>
      </c>
      <c r="K162" t="s">
        <v>776</v>
      </c>
      <c r="L162">
        <v>2.07</v>
      </c>
      <c r="M162">
        <v>0.9399999999999999</v>
      </c>
      <c r="N162">
        <v>0.4541062801932367</v>
      </c>
      <c r="O162">
        <v>7</v>
      </c>
      <c r="P162">
        <v>0.03933463380769542</v>
      </c>
      <c r="Q162">
        <v>-0.229302288893322</v>
      </c>
      <c r="R162" t="s">
        <v>780</v>
      </c>
      <c r="S162" t="s">
        <v>790</v>
      </c>
      <c r="T162">
        <v>6677.330423</v>
      </c>
      <c r="U162" s="2">
        <v>44517</v>
      </c>
      <c r="V162" t="s">
        <v>802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14.55</v>
      </c>
      <c r="D163">
        <v>16</v>
      </c>
      <c r="E163">
        <v>0.909375</v>
      </c>
      <c r="F163">
        <v>0.04810996563573883</v>
      </c>
      <c r="G163">
        <v>0.01918118562821514</v>
      </c>
      <c r="H163">
        <v>0.07000000000000001</v>
      </c>
      <c r="I163">
        <v>0.1294581135271908</v>
      </c>
      <c r="J163" t="s">
        <v>777</v>
      </c>
      <c r="K163" t="s">
        <v>776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-0.362121876370013</v>
      </c>
      <c r="R163" t="s">
        <v>780</v>
      </c>
      <c r="S163" t="s">
        <v>790</v>
      </c>
      <c r="T163">
        <v>54181.122035</v>
      </c>
      <c r="U163" s="2">
        <v>44517</v>
      </c>
      <c r="V163" t="s">
        <v>795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31.54</v>
      </c>
      <c r="D164">
        <v>44</v>
      </c>
      <c r="E164">
        <v>0.7168181818181818</v>
      </c>
      <c r="F164">
        <v>0.03551046290424858</v>
      </c>
      <c r="G164">
        <v>0.06885353398042637</v>
      </c>
      <c r="H164">
        <v>0.03</v>
      </c>
      <c r="I164">
        <v>0.1261899694977135</v>
      </c>
      <c r="J164" t="s">
        <v>777</v>
      </c>
      <c r="K164" t="s">
        <v>776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-0.051428571428571</v>
      </c>
      <c r="R164" t="s">
        <v>780</v>
      </c>
      <c r="S164" t="s">
        <v>785</v>
      </c>
      <c r="T164">
        <v>7996.967915</v>
      </c>
      <c r="U164" s="2">
        <v>44512</v>
      </c>
      <c r="V164" t="s">
        <v>796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49.76</v>
      </c>
      <c r="D165">
        <v>63</v>
      </c>
      <c r="E165">
        <v>0.7898412698412698</v>
      </c>
      <c r="F165">
        <v>0.02793408360128617</v>
      </c>
      <c r="G165">
        <v>0.04831556854022656</v>
      </c>
      <c r="H165">
        <v>0.05</v>
      </c>
      <c r="I165">
        <v>0.1219470755526195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0.085905703405457</v>
      </c>
      <c r="R165" t="s">
        <v>780</v>
      </c>
      <c r="S165" t="s">
        <v>786</v>
      </c>
      <c r="T165">
        <v>202373.92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68.94</v>
      </c>
      <c r="D166">
        <v>87</v>
      </c>
      <c r="E166">
        <v>0.7924137931034483</v>
      </c>
      <c r="F166">
        <v>0.04061502756019727</v>
      </c>
      <c r="G166">
        <v>0.04763402436048869</v>
      </c>
      <c r="H166">
        <v>0.04</v>
      </c>
      <c r="I166">
        <v>0.1215461588192561</v>
      </c>
      <c r="J166" t="s">
        <v>777</v>
      </c>
      <c r="K166" t="s">
        <v>776</v>
      </c>
      <c r="L166">
        <v>6.2</v>
      </c>
      <c r="M166">
        <v>2.8</v>
      </c>
      <c r="N166">
        <v>0.4516129032258064</v>
      </c>
      <c r="O166">
        <v>1</v>
      </c>
      <c r="P166">
        <v>0.05502951838285242</v>
      </c>
      <c r="Q166">
        <v>0.110667173614646</v>
      </c>
      <c r="R166" t="s">
        <v>780</v>
      </c>
      <c r="S166" t="s">
        <v>784</v>
      </c>
      <c r="T166">
        <v>14653.784507</v>
      </c>
      <c r="U166" s="2">
        <v>44491</v>
      </c>
      <c r="V166" t="s">
        <v>800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125.53</v>
      </c>
      <c r="D167">
        <v>151</v>
      </c>
      <c r="E167">
        <v>0.8313245033112583</v>
      </c>
      <c r="F167">
        <v>0.03505138213972755</v>
      </c>
      <c r="G167">
        <v>0.03763803763655305</v>
      </c>
      <c r="H167">
        <v>0.05</v>
      </c>
      <c r="I167">
        <v>0.1169790077864039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-0.027129998620482</v>
      </c>
      <c r="R167" t="s">
        <v>780</v>
      </c>
      <c r="S167" t="s">
        <v>789</v>
      </c>
      <c r="T167">
        <v>40085.28539</v>
      </c>
      <c r="U167" s="2">
        <v>44516</v>
      </c>
      <c r="V167" t="s">
        <v>804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62.83</v>
      </c>
      <c r="D168">
        <v>71</v>
      </c>
      <c r="E168">
        <v>0.8849295774647887</v>
      </c>
      <c r="F168">
        <v>0.04360974056979151</v>
      </c>
      <c r="G168">
        <v>0.02475078057592306</v>
      </c>
      <c r="H168">
        <v>0.055</v>
      </c>
      <c r="I168">
        <v>0.1158667851427388</v>
      </c>
      <c r="J168" t="s">
        <v>777</v>
      </c>
      <c r="K168" t="s">
        <v>776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-0.0312593474299</v>
      </c>
      <c r="R168" t="s">
        <v>780</v>
      </c>
      <c r="S168" t="s">
        <v>789</v>
      </c>
      <c r="T168">
        <v>3247.647075</v>
      </c>
      <c r="U168" s="2">
        <v>44432</v>
      </c>
      <c r="V168" t="s">
        <v>797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44.08</v>
      </c>
      <c r="D169">
        <v>50.8</v>
      </c>
      <c r="E169">
        <v>0.8677165354330709</v>
      </c>
      <c r="F169">
        <v>0.08166969147005446</v>
      </c>
      <c r="G169">
        <v>0.02878453051030783</v>
      </c>
      <c r="H169">
        <v>0.022</v>
      </c>
      <c r="I169">
        <v>0.1145801065315488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0.156548615447585</v>
      </c>
      <c r="R169" t="s">
        <v>780</v>
      </c>
      <c r="S169" t="s">
        <v>792</v>
      </c>
      <c r="T169">
        <v>80974.467274</v>
      </c>
      <c r="U169" s="2">
        <v>44506</v>
      </c>
      <c r="V169" t="s">
        <v>803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283.15</v>
      </c>
      <c r="D170">
        <v>338</v>
      </c>
      <c r="E170">
        <v>0.8377218934911242</v>
      </c>
      <c r="F170">
        <v>0.04591206074518807</v>
      </c>
      <c r="G170">
        <v>0.036048358238848</v>
      </c>
      <c r="H170">
        <v>0.04</v>
      </c>
      <c r="I170">
        <v>0.1143967349205104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-0.017352073572792</v>
      </c>
      <c r="R170" t="s">
        <v>780</v>
      </c>
      <c r="S170" t="s">
        <v>790</v>
      </c>
      <c r="T170">
        <v>39669.012313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81.91</v>
      </c>
      <c r="D171">
        <v>100</v>
      </c>
      <c r="E171">
        <v>0.8190999999999999</v>
      </c>
      <c r="F171">
        <v>0.03906726895372971</v>
      </c>
      <c r="G171">
        <v>0.0407169186209595</v>
      </c>
      <c r="H171">
        <v>0.04</v>
      </c>
      <c r="I171">
        <v>0.1126545599582889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-0.03513948719036</v>
      </c>
      <c r="R171" t="s">
        <v>780</v>
      </c>
      <c r="S171" t="s">
        <v>785</v>
      </c>
      <c r="T171">
        <v>199403.417557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39.9</v>
      </c>
      <c r="D172">
        <v>43</v>
      </c>
      <c r="E172">
        <v>0.927906976744186</v>
      </c>
      <c r="F172">
        <v>0.06741854636591479</v>
      </c>
      <c r="G172">
        <v>0.01507729099644273</v>
      </c>
      <c r="H172">
        <v>0.04</v>
      </c>
      <c r="I172">
        <v>0.111496269285708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0.364331118717323</v>
      </c>
      <c r="R172" t="s">
        <v>780</v>
      </c>
      <c r="S172" t="s">
        <v>793</v>
      </c>
      <c r="T172">
        <v>80835.90395000001</v>
      </c>
      <c r="U172" s="2">
        <v>44505</v>
      </c>
      <c r="V172" t="s">
        <v>800</v>
      </c>
    </row>
    <row r="173" spans="1:22">
      <c r="A173" s="1" t="s">
        <v>193</v>
      </c>
      <c r="B173">
        <f>HYPERLINK("https://www.suredividend.com/sure-analysis-YUM/","Yum Brands Inc.")</f>
        <v>0</v>
      </c>
      <c r="C173">
        <v>126.88</v>
      </c>
      <c r="D173">
        <v>113</v>
      </c>
      <c r="E173">
        <v>1.12283185840708</v>
      </c>
      <c r="F173">
        <v>0.01576292559899117</v>
      </c>
      <c r="G173">
        <v>-0.02290440651857495</v>
      </c>
      <c r="H173">
        <v>0.12</v>
      </c>
      <c r="I173">
        <v>0.1071873626524871</v>
      </c>
      <c r="J173" t="s">
        <v>777</v>
      </c>
      <c r="K173" t="s">
        <v>515</v>
      </c>
      <c r="L173">
        <v>4.65</v>
      </c>
      <c r="M173">
        <v>2</v>
      </c>
      <c r="N173">
        <v>0.4301075268817204</v>
      </c>
      <c r="O173">
        <v>4</v>
      </c>
      <c r="P173">
        <v>0.0602809527753625</v>
      </c>
      <c r="Q173">
        <v>0.203533577619283</v>
      </c>
      <c r="R173" t="s">
        <v>780</v>
      </c>
      <c r="S173" t="s">
        <v>791</v>
      </c>
      <c r="T173">
        <v>37192.728109</v>
      </c>
      <c r="U173" s="2">
        <v>44510</v>
      </c>
      <c r="V173" t="s">
        <v>804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22.24</v>
      </c>
      <c r="D174">
        <v>24.1</v>
      </c>
      <c r="E174">
        <v>0.9228215767634853</v>
      </c>
      <c r="F174">
        <v>0.08093525179856116</v>
      </c>
      <c r="G174">
        <v>0.01619359190909031</v>
      </c>
      <c r="H174">
        <v>0.026</v>
      </c>
      <c r="I174">
        <v>0.1062408986609602</v>
      </c>
      <c r="J174" t="s">
        <v>777</v>
      </c>
      <c r="K174" t="s">
        <v>776</v>
      </c>
      <c r="L174">
        <v>3.01</v>
      </c>
      <c r="M174">
        <v>1.8</v>
      </c>
      <c r="N174">
        <v>0.5980066445182725</v>
      </c>
      <c r="O174">
        <v>22</v>
      </c>
      <c r="P174">
        <v>0.01613736474159566</v>
      </c>
      <c r="Q174">
        <v>0.186519347627761</v>
      </c>
      <c r="R174" t="s">
        <v>781</v>
      </c>
      <c r="S174" t="s">
        <v>793</v>
      </c>
      <c r="T174">
        <v>48530.570244</v>
      </c>
      <c r="U174" s="2">
        <v>44506</v>
      </c>
      <c r="V174" t="s">
        <v>803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22.02</v>
      </c>
      <c r="D175">
        <v>24</v>
      </c>
      <c r="E175">
        <v>0.9175</v>
      </c>
      <c r="F175">
        <v>0.03633060853769301</v>
      </c>
      <c r="G175">
        <v>0.01736966809974083</v>
      </c>
      <c r="H175">
        <v>0.055</v>
      </c>
      <c r="I175">
        <v>0.1047081275505868</v>
      </c>
      <c r="J175" t="s">
        <v>777</v>
      </c>
      <c r="K175" t="s">
        <v>776</v>
      </c>
      <c r="L175">
        <v>1.85</v>
      </c>
      <c r="M175">
        <v>0.8</v>
      </c>
      <c r="N175">
        <v>0.4324324324324325</v>
      </c>
      <c r="O175">
        <v>13</v>
      </c>
      <c r="P175">
        <v>0.06576275663547415</v>
      </c>
      <c r="Q175">
        <v>0.25194728403625</v>
      </c>
      <c r="R175" t="s">
        <v>780</v>
      </c>
      <c r="S175" t="s">
        <v>790</v>
      </c>
      <c r="T175">
        <v>520.057218</v>
      </c>
      <c r="U175" s="2">
        <v>44506</v>
      </c>
      <c r="V175" t="s">
        <v>800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10.28</v>
      </c>
      <c r="D176">
        <v>10.5</v>
      </c>
      <c r="E176">
        <v>0.9790476190476189</v>
      </c>
      <c r="F176">
        <v>0.05836575875486381</v>
      </c>
      <c r="G176">
        <v>0.004243979710055301</v>
      </c>
      <c r="H176">
        <v>0.05</v>
      </c>
      <c r="I176">
        <v>0.1044547652542329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0.014807502467916</v>
      </c>
      <c r="R176" t="s">
        <v>780</v>
      </c>
      <c r="S176" t="s">
        <v>789</v>
      </c>
      <c r="T176">
        <v>11124.6048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139.3</v>
      </c>
      <c r="D177">
        <v>161</v>
      </c>
      <c r="E177">
        <v>0.8652173913043479</v>
      </c>
      <c r="F177">
        <v>0.008614501076812633</v>
      </c>
      <c r="G177">
        <v>0.02937816521973224</v>
      </c>
      <c r="H177">
        <v>0.065</v>
      </c>
      <c r="I177">
        <v>0.1037346459760293</v>
      </c>
      <c r="J177" t="s">
        <v>777</v>
      </c>
      <c r="K177" t="s">
        <v>515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0.116312913809103</v>
      </c>
      <c r="R177" t="s">
        <v>780</v>
      </c>
      <c r="S177" t="s">
        <v>788</v>
      </c>
      <c r="T177">
        <v>26633.078196</v>
      </c>
      <c r="U177" s="2">
        <v>44508</v>
      </c>
      <c r="V177" t="s">
        <v>801</v>
      </c>
    </row>
    <row r="178" spans="1:22">
      <c r="A178" s="1" t="s">
        <v>198</v>
      </c>
      <c r="B178">
        <f>HYPERLINK("https://www.suredividend.com/sure-analysis-TDS/","Telephone And Data Systems, Inc.")</f>
        <v>0</v>
      </c>
      <c r="C178">
        <v>19.33</v>
      </c>
      <c r="D178">
        <v>25</v>
      </c>
      <c r="E178">
        <v>0.7731999999999999</v>
      </c>
      <c r="F178">
        <v>0.03621314019658562</v>
      </c>
      <c r="G178">
        <v>0.05278970865728461</v>
      </c>
      <c r="H178">
        <v>0.02</v>
      </c>
      <c r="I178">
        <v>0.1020729582767863</v>
      </c>
      <c r="J178" t="s">
        <v>777</v>
      </c>
      <c r="K178" t="s">
        <v>776</v>
      </c>
      <c r="L178">
        <v>0.93</v>
      </c>
      <c r="M178">
        <v>0.7</v>
      </c>
      <c r="N178">
        <v>0.7526881720430106</v>
      </c>
      <c r="O178">
        <v>45</v>
      </c>
      <c r="P178">
        <v>0.02962100943384161</v>
      </c>
      <c r="Q178">
        <v>0.012593244489145</v>
      </c>
      <c r="R178" t="s">
        <v>780</v>
      </c>
      <c r="S178" t="s">
        <v>784</v>
      </c>
      <c r="T178">
        <v>2075.697926</v>
      </c>
      <c r="U178" s="2">
        <v>44515</v>
      </c>
      <c r="V178" t="s">
        <v>801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70.23</v>
      </c>
      <c r="D179">
        <v>76</v>
      </c>
      <c r="E179">
        <v>0.9240789473684211</v>
      </c>
      <c r="F179">
        <v>0.03388865157340168</v>
      </c>
      <c r="G179">
        <v>0.01591689954331166</v>
      </c>
      <c r="H179">
        <v>0.055</v>
      </c>
      <c r="I179">
        <v>0.1000744753013467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0.05305615699728301</v>
      </c>
      <c r="R179" t="s">
        <v>780</v>
      </c>
      <c r="S179" t="s">
        <v>789</v>
      </c>
      <c r="T179">
        <v>4240.844449</v>
      </c>
      <c r="U179" s="2">
        <v>44511</v>
      </c>
      <c r="V179" t="s">
        <v>801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41.04</v>
      </c>
      <c r="D180">
        <v>46</v>
      </c>
      <c r="E180">
        <v>0.8921739130434783</v>
      </c>
      <c r="F180">
        <v>0.08040935672514619</v>
      </c>
      <c r="G180">
        <v>0.02308118047629115</v>
      </c>
      <c r="H180">
        <v>0.015</v>
      </c>
      <c r="I180">
        <v>0.09986594017863815</v>
      </c>
      <c r="J180" t="s">
        <v>777</v>
      </c>
      <c r="K180" t="s">
        <v>776</v>
      </c>
      <c r="L180">
        <v>7</v>
      </c>
      <c r="M180">
        <v>3.3</v>
      </c>
      <c r="N180">
        <v>0.4714285714285714</v>
      </c>
      <c r="O180">
        <v>0</v>
      </c>
      <c r="P180">
        <v>0</v>
      </c>
      <c r="Q180">
        <v>0.5407371811717711</v>
      </c>
      <c r="R180" t="s">
        <v>781</v>
      </c>
      <c r="S180" t="s">
        <v>793</v>
      </c>
      <c r="T180">
        <v>3420.771128</v>
      </c>
      <c r="U180" s="2">
        <v>44507</v>
      </c>
      <c r="V180" t="s">
        <v>800</v>
      </c>
    </row>
    <row r="181" spans="1:22">
      <c r="A181" s="1" t="s">
        <v>201</v>
      </c>
      <c r="B181">
        <f>HYPERLINK("https://www.suredividend.com/sure-analysis-EVRG/","Evergy Inc")</f>
        <v>0</v>
      </c>
      <c r="C181">
        <v>65.53</v>
      </c>
      <c r="D181">
        <v>65</v>
      </c>
      <c r="E181">
        <v>1.008153846153846</v>
      </c>
      <c r="F181">
        <v>0.03494582633908134</v>
      </c>
      <c r="G181">
        <v>-0.001622838402538962</v>
      </c>
      <c r="H181">
        <v>0.07000000000000001</v>
      </c>
      <c r="I181">
        <v>0.09969215491078542</v>
      </c>
      <c r="J181" t="s">
        <v>777</v>
      </c>
      <c r="K181" t="s">
        <v>777</v>
      </c>
      <c r="L181">
        <v>3.55</v>
      </c>
      <c r="M181">
        <v>2.29</v>
      </c>
      <c r="N181">
        <v>0.6450704225352113</v>
      </c>
      <c r="O181">
        <v>17</v>
      </c>
      <c r="P181">
        <v>0.07318952131901812</v>
      </c>
      <c r="Q181">
        <v>0.216103865254281</v>
      </c>
      <c r="R181" t="s">
        <v>780</v>
      </c>
      <c r="S181" t="s">
        <v>789</v>
      </c>
      <c r="T181">
        <v>15026.205931</v>
      </c>
      <c r="U181" s="2">
        <v>44508</v>
      </c>
      <c r="V181" t="s">
        <v>804</v>
      </c>
    </row>
    <row r="182" spans="1:22">
      <c r="A182" s="1" t="s">
        <v>202</v>
      </c>
      <c r="B182">
        <f>HYPERLINK("https://www.suredividend.com/sure-analysis-BIP/","Brookfield Infrastructure Partners L.P")</f>
        <v>0</v>
      </c>
      <c r="C182">
        <v>57.21</v>
      </c>
      <c r="D182">
        <v>56</v>
      </c>
      <c r="E182">
        <v>1.021607142857143</v>
      </c>
      <c r="F182">
        <v>0.0356581017304667</v>
      </c>
      <c r="G182">
        <v>-0.004266276982635375</v>
      </c>
      <c r="H182">
        <v>0.07000000000000001</v>
      </c>
      <c r="I182">
        <v>0.0984145265591545</v>
      </c>
      <c r="J182" t="s">
        <v>777</v>
      </c>
      <c r="K182" t="s">
        <v>777</v>
      </c>
      <c r="L182">
        <v>3.5</v>
      </c>
      <c r="M182">
        <v>2.04</v>
      </c>
      <c r="N182">
        <v>0.5828571428571429</v>
      </c>
      <c r="O182">
        <v>12</v>
      </c>
      <c r="P182">
        <v>0.0801851873035635</v>
      </c>
      <c r="Q182">
        <v>0.129491758323116</v>
      </c>
      <c r="R182" t="s">
        <v>781</v>
      </c>
      <c r="S182" t="s">
        <v>789</v>
      </c>
      <c r="T182">
        <v>16901.549556</v>
      </c>
      <c r="U182" s="2">
        <v>44506</v>
      </c>
      <c r="V182" t="s">
        <v>805</v>
      </c>
    </row>
    <row r="183" spans="1:22">
      <c r="A183" s="1" t="s">
        <v>203</v>
      </c>
      <c r="B183">
        <f>HYPERLINK("https://www.suredividend.com/sure-analysis-LMT/","Lockheed Martin Corp.")</f>
        <v>0</v>
      </c>
      <c r="C183">
        <v>343.58</v>
      </c>
      <c r="D183">
        <v>359</v>
      </c>
      <c r="E183">
        <v>0.9570473537604456</v>
      </c>
      <c r="F183">
        <v>0.03259793934454858</v>
      </c>
      <c r="G183">
        <v>0.008819142957995796</v>
      </c>
      <c r="H183">
        <v>0.06</v>
      </c>
      <c r="I183">
        <v>0.09825270773315209</v>
      </c>
      <c r="J183" t="s">
        <v>777</v>
      </c>
      <c r="K183" t="s">
        <v>777</v>
      </c>
      <c r="L183">
        <v>22.45</v>
      </c>
      <c r="M183">
        <v>11.2</v>
      </c>
      <c r="N183">
        <v>0.4988864142538975</v>
      </c>
      <c r="O183">
        <v>20</v>
      </c>
      <c r="P183">
        <v>0.06810541783933033</v>
      </c>
      <c r="Q183">
        <v>-0.06592033815869501</v>
      </c>
      <c r="R183" t="s">
        <v>780</v>
      </c>
      <c r="S183" t="s">
        <v>787</v>
      </c>
      <c r="T183">
        <v>94754.705055</v>
      </c>
      <c r="U183" s="2">
        <v>44502</v>
      </c>
      <c r="V183" t="s">
        <v>802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186.48</v>
      </c>
      <c r="D184">
        <v>209</v>
      </c>
      <c r="E184">
        <v>0.8922488038277512</v>
      </c>
      <c r="F184">
        <v>0.02531102531102531</v>
      </c>
      <c r="G184">
        <v>0.02306400546317922</v>
      </c>
      <c r="H184">
        <v>0.05</v>
      </c>
      <c r="I184">
        <v>0.097300958240784</v>
      </c>
      <c r="J184" t="s">
        <v>777</v>
      </c>
      <c r="K184" t="s">
        <v>777</v>
      </c>
      <c r="L184">
        <v>14.95</v>
      </c>
      <c r="M184">
        <v>4.72</v>
      </c>
      <c r="N184">
        <v>0.3157190635451505</v>
      </c>
      <c r="O184">
        <v>10</v>
      </c>
      <c r="P184">
        <v>0.08014856837381279</v>
      </c>
      <c r="Q184">
        <v>0.124529862937369</v>
      </c>
      <c r="R184" t="s">
        <v>780</v>
      </c>
      <c r="S184" t="s">
        <v>787</v>
      </c>
      <c r="T184">
        <v>7470.574907</v>
      </c>
      <c r="U184" s="2">
        <v>44516</v>
      </c>
      <c r="V184" t="s">
        <v>802</v>
      </c>
    </row>
    <row r="185" spans="1:22">
      <c r="A185" s="1" t="s">
        <v>205</v>
      </c>
      <c r="B185">
        <f>HYPERLINK("https://www.suredividend.com/sure-analysis-HBI/","Hanesbrands Inc")</f>
        <v>0</v>
      </c>
      <c r="C185">
        <v>17.14</v>
      </c>
      <c r="D185">
        <v>18</v>
      </c>
      <c r="E185">
        <v>0.9522222222222223</v>
      </c>
      <c r="F185">
        <v>0.03500583430571762</v>
      </c>
      <c r="G185">
        <v>0.009839461233171809</v>
      </c>
      <c r="H185">
        <v>0.06</v>
      </c>
      <c r="I185">
        <v>0.09705390504960176</v>
      </c>
      <c r="J185" t="s">
        <v>777</v>
      </c>
      <c r="K185" t="s">
        <v>777</v>
      </c>
      <c r="L185">
        <v>1.82</v>
      </c>
      <c r="M185">
        <v>0.6</v>
      </c>
      <c r="N185">
        <v>0.3296703296703297</v>
      </c>
      <c r="O185">
        <v>0</v>
      </c>
      <c r="P185">
        <v>0.01613736474159566</v>
      </c>
      <c r="Q185">
        <v>0.194341857710264</v>
      </c>
      <c r="R185" t="s">
        <v>780</v>
      </c>
      <c r="S185" t="s">
        <v>791</v>
      </c>
      <c r="T185">
        <v>5985.365353</v>
      </c>
      <c r="U185" s="2">
        <v>44512</v>
      </c>
      <c r="V185" t="s">
        <v>804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173.13</v>
      </c>
      <c r="D186">
        <v>160</v>
      </c>
      <c r="E186">
        <v>1.0820625</v>
      </c>
      <c r="F186">
        <v>0.01478657656096575</v>
      </c>
      <c r="G186">
        <v>-0.01565003377835428</v>
      </c>
      <c r="H186">
        <v>0.1</v>
      </c>
      <c r="I186">
        <v>0.09685617703649707</v>
      </c>
      <c r="J186" t="s">
        <v>777</v>
      </c>
      <c r="K186" t="s">
        <v>367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0.19627457172016</v>
      </c>
      <c r="R186" t="s">
        <v>780</v>
      </c>
      <c r="S186" t="s">
        <v>786</v>
      </c>
      <c r="T186">
        <v>20183.160913</v>
      </c>
      <c r="U186" s="2">
        <v>44512</v>
      </c>
      <c r="V186" t="s">
        <v>801</v>
      </c>
    </row>
    <row r="187" spans="1:22">
      <c r="A187" s="1" t="s">
        <v>207</v>
      </c>
      <c r="B187">
        <f>HYPERLINK("https://www.suredividend.com/sure-analysis-FTS/","Fortis Inc.")</f>
        <v>0</v>
      </c>
      <c r="C187">
        <v>44.31</v>
      </c>
      <c r="D187">
        <v>45</v>
      </c>
      <c r="E187">
        <v>0.9846666666666667</v>
      </c>
      <c r="F187">
        <v>0.03814037463326563</v>
      </c>
      <c r="G187">
        <v>0.003095201185574492</v>
      </c>
      <c r="H187">
        <v>0.06</v>
      </c>
      <c r="I187">
        <v>0.09675087511413305</v>
      </c>
      <c r="J187" t="s">
        <v>777</v>
      </c>
      <c r="K187" t="s">
        <v>776</v>
      </c>
      <c r="L187">
        <v>2.14</v>
      </c>
      <c r="M187">
        <v>1.69</v>
      </c>
      <c r="N187">
        <v>0.7897196261682242</v>
      </c>
      <c r="O187">
        <v>48</v>
      </c>
      <c r="P187">
        <v>0.05984986030460782</v>
      </c>
      <c r="Q187">
        <v>0.130166859661383</v>
      </c>
      <c r="R187" t="s">
        <v>780</v>
      </c>
      <c r="S187" t="s">
        <v>789</v>
      </c>
      <c r="T187">
        <v>20953.879481</v>
      </c>
      <c r="U187" s="2">
        <v>44505</v>
      </c>
      <c r="V187" t="s">
        <v>805</v>
      </c>
    </row>
    <row r="188" spans="1:22">
      <c r="A188" s="1" t="s">
        <v>208</v>
      </c>
      <c r="B188">
        <f>HYPERLINK("https://www.suredividend.com/sure-analysis-FMS/","Fresenius Medical Care AG &amp; Co. KGaA")</f>
        <v>0</v>
      </c>
      <c r="C188">
        <v>31.1</v>
      </c>
      <c r="D188">
        <v>33</v>
      </c>
      <c r="E188">
        <v>0.9424242424242425</v>
      </c>
      <c r="F188">
        <v>0.02636655948553054</v>
      </c>
      <c r="G188">
        <v>0.01193055650479358</v>
      </c>
      <c r="H188">
        <v>0.06</v>
      </c>
      <c r="I188">
        <v>0.09549056451325533</v>
      </c>
      <c r="J188" t="s">
        <v>777</v>
      </c>
      <c r="K188" t="s">
        <v>777</v>
      </c>
      <c r="L188">
        <v>2.04</v>
      </c>
      <c r="M188">
        <v>0.82</v>
      </c>
      <c r="N188">
        <v>0.4019607843137254</v>
      </c>
      <c r="O188">
        <v>24</v>
      </c>
      <c r="P188">
        <v>0.06051243834129849</v>
      </c>
      <c r="Q188">
        <v>-0.243505948572999</v>
      </c>
      <c r="R188" t="s">
        <v>780</v>
      </c>
      <c r="S188" t="s">
        <v>785</v>
      </c>
      <c r="T188">
        <v>18224.2398</v>
      </c>
      <c r="U188" s="2">
        <v>44503</v>
      </c>
      <c r="V188" t="s">
        <v>796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930.72</v>
      </c>
      <c r="D189">
        <v>802</v>
      </c>
      <c r="E189">
        <v>1.160498753117207</v>
      </c>
      <c r="F189">
        <v>0.01774969915764139</v>
      </c>
      <c r="G189">
        <v>-0.02933121351685397</v>
      </c>
      <c r="H189">
        <v>0.11</v>
      </c>
      <c r="I189">
        <v>0.09506711464630269</v>
      </c>
      <c r="J189" t="s">
        <v>777</v>
      </c>
      <c r="K189" t="s">
        <v>367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0.357803122632065</v>
      </c>
      <c r="R189" t="s">
        <v>780</v>
      </c>
      <c r="S189" t="s">
        <v>790</v>
      </c>
      <c r="T189">
        <v>141392.354977</v>
      </c>
      <c r="U189" s="2">
        <v>44484</v>
      </c>
      <c r="V189" t="s">
        <v>805</v>
      </c>
    </row>
    <row r="190" spans="1:22">
      <c r="A190" s="1" t="s">
        <v>210</v>
      </c>
      <c r="B190">
        <f>HYPERLINK("https://www.suredividend.com/sure-analysis-CIO/","City Office REIT Inc")</f>
        <v>0</v>
      </c>
      <c r="C190">
        <v>17.75</v>
      </c>
      <c r="D190">
        <v>14.8</v>
      </c>
      <c r="E190">
        <v>1.199324324324324</v>
      </c>
      <c r="F190">
        <v>0.03380281690140845</v>
      </c>
      <c r="G190">
        <v>-0.03569887906276958</v>
      </c>
      <c r="H190">
        <v>0.1</v>
      </c>
      <c r="I190">
        <v>0.09446652490442853</v>
      </c>
      <c r="J190" t="s">
        <v>777</v>
      </c>
      <c r="K190" t="s">
        <v>777</v>
      </c>
      <c r="L190">
        <v>1.31</v>
      </c>
      <c r="M190">
        <v>0.6</v>
      </c>
      <c r="N190">
        <v>0.4580152671755725</v>
      </c>
      <c r="O190">
        <v>0</v>
      </c>
      <c r="P190">
        <v>0.1008397341583922</v>
      </c>
      <c r="Q190">
        <v>0.9704269443396011</v>
      </c>
      <c r="R190" t="s">
        <v>782</v>
      </c>
      <c r="S190" t="s">
        <v>794</v>
      </c>
      <c r="T190">
        <v>773.090156</v>
      </c>
      <c r="U190" s="2">
        <v>44513</v>
      </c>
      <c r="V190" t="s">
        <v>795</v>
      </c>
    </row>
    <row r="191" spans="1:22">
      <c r="A191" s="1" t="s">
        <v>211</v>
      </c>
      <c r="B191">
        <f>HYPERLINK("https://www.suredividend.com/sure-analysis-NJR/","New Jersey Resources Corporation")</f>
        <v>0</v>
      </c>
      <c r="C191">
        <v>39.2</v>
      </c>
      <c r="D191">
        <v>40</v>
      </c>
      <c r="E191">
        <v>0.9800000000000001</v>
      </c>
      <c r="F191">
        <v>0.03392857142857143</v>
      </c>
      <c r="G191">
        <v>0.004048715456574481</v>
      </c>
      <c r="H191">
        <v>0.06</v>
      </c>
      <c r="I191">
        <v>0.09417002752310988</v>
      </c>
      <c r="J191" t="s">
        <v>777</v>
      </c>
      <c r="K191" t="s">
        <v>777</v>
      </c>
      <c r="L191">
        <v>2.15</v>
      </c>
      <c r="M191">
        <v>1.33</v>
      </c>
      <c r="N191">
        <v>0.6186046511627907</v>
      </c>
      <c r="O191">
        <v>25</v>
      </c>
      <c r="P191">
        <v>0.06001905503876492</v>
      </c>
      <c r="Q191">
        <v>0.06516529082816601</v>
      </c>
      <c r="R191" t="s">
        <v>780</v>
      </c>
      <c r="S191" t="s">
        <v>789</v>
      </c>
      <c r="T191">
        <v>3761.205347</v>
      </c>
      <c r="U191" s="2">
        <v>44418</v>
      </c>
      <c r="V191" t="s">
        <v>801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35.62</v>
      </c>
      <c r="D192">
        <v>32</v>
      </c>
      <c r="E192">
        <v>1.113125</v>
      </c>
      <c r="F192">
        <v>0.01993262212240314</v>
      </c>
      <c r="G192">
        <v>-0.02120619343404928</v>
      </c>
      <c r="H192">
        <v>0.1</v>
      </c>
      <c r="I192">
        <v>0.09340229117117294</v>
      </c>
      <c r="J192" t="s">
        <v>777</v>
      </c>
      <c r="K192" t="s">
        <v>367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0.215537863560822</v>
      </c>
      <c r="R192" t="s">
        <v>780</v>
      </c>
      <c r="S192" t="s">
        <v>792</v>
      </c>
      <c r="T192">
        <v>50507.791978</v>
      </c>
      <c r="U192" s="2">
        <v>44439</v>
      </c>
      <c r="V192" t="s">
        <v>802</v>
      </c>
    </row>
    <row r="193" spans="1:22">
      <c r="A193" s="1" t="s">
        <v>213</v>
      </c>
      <c r="B193">
        <f>HYPERLINK("https://www.suredividend.com/sure-analysis-GILD/","Gilead Sciences, Inc.")</f>
        <v>0</v>
      </c>
      <c r="C193">
        <v>70.06999999999999</v>
      </c>
      <c r="D193">
        <v>80</v>
      </c>
      <c r="E193">
        <v>0.875875</v>
      </c>
      <c r="F193">
        <v>0.04053089767375482</v>
      </c>
      <c r="G193">
        <v>0.02686079702955468</v>
      </c>
      <c r="H193">
        <v>0.03</v>
      </c>
      <c r="I193">
        <v>0.09280609163973441</v>
      </c>
      <c r="J193" t="s">
        <v>777</v>
      </c>
      <c r="K193" t="s">
        <v>776</v>
      </c>
      <c r="L193">
        <v>8</v>
      </c>
      <c r="M193">
        <v>2.84</v>
      </c>
      <c r="N193">
        <v>0.355</v>
      </c>
      <c r="O193">
        <v>6</v>
      </c>
      <c r="P193">
        <v>0.049731056540673</v>
      </c>
      <c r="Q193">
        <v>0.214060718629689</v>
      </c>
      <c r="R193" t="s">
        <v>780</v>
      </c>
      <c r="S193" t="s">
        <v>785</v>
      </c>
      <c r="T193">
        <v>87894.653387</v>
      </c>
      <c r="U193" s="2">
        <v>44509</v>
      </c>
      <c r="V193" t="s">
        <v>800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55.03</v>
      </c>
      <c r="D194">
        <v>53</v>
      </c>
      <c r="E194">
        <v>1.038301886792453</v>
      </c>
      <c r="F194">
        <v>0.03198255497001636</v>
      </c>
      <c r="G194">
        <v>-0.007489131155482331</v>
      </c>
      <c r="H194">
        <v>0.07000000000000001</v>
      </c>
      <c r="I194">
        <v>0.09212056148688341</v>
      </c>
      <c r="J194" t="s">
        <v>777</v>
      </c>
      <c r="K194" t="s">
        <v>777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0.243947538552653</v>
      </c>
      <c r="R194" t="s">
        <v>780</v>
      </c>
      <c r="S194" t="s">
        <v>790</v>
      </c>
      <c r="T194">
        <v>32239.526745</v>
      </c>
      <c r="U194" s="2">
        <v>44510</v>
      </c>
      <c r="V194" t="s">
        <v>800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65.73999999999999</v>
      </c>
      <c r="D195">
        <v>67</v>
      </c>
      <c r="E195">
        <v>0.9811940298507462</v>
      </c>
      <c r="F195">
        <v>0.04274414359598418</v>
      </c>
      <c r="G195">
        <v>0.003804228006757171</v>
      </c>
      <c r="H195">
        <v>0.05</v>
      </c>
      <c r="I195">
        <v>0.09163254354424955</v>
      </c>
      <c r="J195" t="s">
        <v>777</v>
      </c>
      <c r="K195" t="s">
        <v>776</v>
      </c>
      <c r="L195">
        <v>5.93</v>
      </c>
      <c r="M195">
        <v>2.81</v>
      </c>
      <c r="N195">
        <v>0.4738617200674536</v>
      </c>
      <c r="O195">
        <v>9</v>
      </c>
      <c r="P195">
        <v>0.05196296413233981</v>
      </c>
      <c r="Q195">
        <v>0.388709919326389</v>
      </c>
      <c r="R195" t="s">
        <v>780</v>
      </c>
      <c r="S195" t="s">
        <v>790</v>
      </c>
      <c r="T195">
        <v>79896.288762</v>
      </c>
      <c r="U195" s="2">
        <v>44436</v>
      </c>
      <c r="V195" t="s">
        <v>805</v>
      </c>
    </row>
    <row r="196" spans="1:22">
      <c r="A196" s="1" t="s">
        <v>216</v>
      </c>
      <c r="B196">
        <f>HYPERLINK("https://www.suredividend.com/sure-analysis-CDUAF/","Canadian Utilities Ltd.")</f>
        <v>0</v>
      </c>
      <c r="C196">
        <v>28.13</v>
      </c>
      <c r="D196">
        <v>29</v>
      </c>
      <c r="E196">
        <v>0.97</v>
      </c>
      <c r="F196">
        <v>0.05012442232492002</v>
      </c>
      <c r="G196">
        <v>0.006110434499387196</v>
      </c>
      <c r="H196">
        <v>0.04</v>
      </c>
      <c r="I196">
        <v>0.08803785362939065</v>
      </c>
      <c r="J196" t="s">
        <v>777</v>
      </c>
      <c r="K196" t="s">
        <v>776</v>
      </c>
      <c r="L196">
        <v>1.8</v>
      </c>
      <c r="M196">
        <v>1.41</v>
      </c>
      <c r="N196">
        <v>0.7833333333333332</v>
      </c>
      <c r="O196">
        <v>49</v>
      </c>
      <c r="P196">
        <v>0.02560510523091319</v>
      </c>
      <c r="Q196">
        <v>0.130627009646302</v>
      </c>
      <c r="R196" t="s">
        <v>780</v>
      </c>
      <c r="S196" t="s">
        <v>789</v>
      </c>
      <c r="T196">
        <v>5528.490084</v>
      </c>
      <c r="U196" s="2">
        <v>44502</v>
      </c>
      <c r="V196" t="s">
        <v>795</v>
      </c>
    </row>
    <row r="197" spans="1:22">
      <c r="A197" s="1" t="s">
        <v>217</v>
      </c>
      <c r="B197">
        <f>HYPERLINK("https://www.suredividend.com/sure-analysis-MSM/","MSC Industrial Direct Co., Inc.")</f>
        <v>0</v>
      </c>
      <c r="C197">
        <v>84.14</v>
      </c>
      <c r="D197">
        <v>86</v>
      </c>
      <c r="E197">
        <v>0.9783720930232558</v>
      </c>
      <c r="F197">
        <v>0.03565486094604231</v>
      </c>
      <c r="G197">
        <v>0.004382619326712245</v>
      </c>
      <c r="H197">
        <v>0.05</v>
      </c>
      <c r="I197">
        <v>0.08611519744834517</v>
      </c>
      <c r="J197" t="s">
        <v>777</v>
      </c>
      <c r="K197" t="s">
        <v>777</v>
      </c>
      <c r="L197">
        <v>5.55</v>
      </c>
      <c r="M197">
        <v>3</v>
      </c>
      <c r="N197">
        <v>0.5405405405405406</v>
      </c>
      <c r="O197">
        <v>16</v>
      </c>
      <c r="P197">
        <v>0.05006335758366887</v>
      </c>
      <c r="Q197">
        <v>0.038943719971698</v>
      </c>
      <c r="R197" t="s">
        <v>780</v>
      </c>
      <c r="S197" t="s">
        <v>787</v>
      </c>
      <c r="T197">
        <v>3939.457097</v>
      </c>
      <c r="U197" s="2">
        <v>44494</v>
      </c>
      <c r="V197" t="s">
        <v>801</v>
      </c>
    </row>
    <row r="198" spans="1:22">
      <c r="A198" s="1" t="s">
        <v>218</v>
      </c>
      <c r="B198">
        <f>HYPERLINK("https://www.suredividend.com/sure-analysis-MDLZ/","Mondelez International Inc.")</f>
        <v>0</v>
      </c>
      <c r="C198">
        <v>61.32</v>
      </c>
      <c r="D198">
        <v>57</v>
      </c>
      <c r="E198">
        <v>1.075789473684211</v>
      </c>
      <c r="F198">
        <v>0.0228310502283105</v>
      </c>
      <c r="G198">
        <v>-0.01450473516283013</v>
      </c>
      <c r="H198">
        <v>0.08</v>
      </c>
      <c r="I198">
        <v>0.08600018972912249</v>
      </c>
      <c r="J198" t="s">
        <v>777</v>
      </c>
      <c r="K198" t="s">
        <v>367</v>
      </c>
      <c r="L198">
        <v>2.85</v>
      </c>
      <c r="M198">
        <v>1.4</v>
      </c>
      <c r="N198">
        <v>0.4912280701754386</v>
      </c>
      <c r="O198">
        <v>8</v>
      </c>
      <c r="P198">
        <v>0.08030860883184343</v>
      </c>
      <c r="Q198">
        <v>0.08372155496016401</v>
      </c>
      <c r="R198" t="s">
        <v>780</v>
      </c>
      <c r="S198" t="s">
        <v>792</v>
      </c>
      <c r="T198">
        <v>85539.69113399999</v>
      </c>
      <c r="U198" s="2">
        <v>44514</v>
      </c>
      <c r="V198" t="s">
        <v>805</v>
      </c>
    </row>
    <row r="199" spans="1:22">
      <c r="A199" s="1" t="s">
        <v>219</v>
      </c>
      <c r="B199">
        <f>HYPERLINK("https://www.suredividend.com/sure-analysis-IBM/","International Business Machines Corp.")</f>
        <v>0</v>
      </c>
      <c r="C199">
        <v>116.73</v>
      </c>
      <c r="D199">
        <v>114</v>
      </c>
      <c r="E199">
        <v>1.023947368421053</v>
      </c>
      <c r="F199">
        <v>0.05619806390816413</v>
      </c>
      <c r="G199">
        <v>-0.004721842339319937</v>
      </c>
      <c r="H199">
        <v>0.04</v>
      </c>
      <c r="I199">
        <v>0.08515494131490953</v>
      </c>
      <c r="J199" t="s">
        <v>777</v>
      </c>
      <c r="K199" t="s">
        <v>776</v>
      </c>
      <c r="L199">
        <v>10.32</v>
      </c>
      <c r="M199">
        <v>6.56</v>
      </c>
      <c r="N199">
        <v>0.6356589147286821</v>
      </c>
      <c r="O199">
        <v>26</v>
      </c>
      <c r="P199">
        <v>0.03996760299438673</v>
      </c>
      <c r="Q199">
        <v>-0.014603253928122</v>
      </c>
      <c r="R199" t="s">
        <v>780</v>
      </c>
      <c r="S199" t="s">
        <v>786</v>
      </c>
      <c r="T199">
        <v>104627.442121</v>
      </c>
      <c r="U199" s="2">
        <v>44494</v>
      </c>
      <c r="V199" t="s">
        <v>802</v>
      </c>
    </row>
    <row r="200" spans="1:22">
      <c r="A200" s="1" t="s">
        <v>220</v>
      </c>
      <c r="B200">
        <f>HYPERLINK("https://www.suredividend.com/sure-analysis-MRK/","Merck &amp; Co Inc")</f>
        <v>0</v>
      </c>
      <c r="C200">
        <v>82.28</v>
      </c>
      <c r="D200">
        <v>85</v>
      </c>
      <c r="E200">
        <v>0.968</v>
      </c>
      <c r="F200">
        <v>0.03159941662615459</v>
      </c>
      <c r="G200">
        <v>0.006525839444661896</v>
      </c>
      <c r="H200">
        <v>0.05</v>
      </c>
      <c r="I200">
        <v>0.08474157403193372</v>
      </c>
      <c r="J200" t="s">
        <v>777</v>
      </c>
      <c r="K200" t="s">
        <v>777</v>
      </c>
      <c r="L200">
        <v>5.68</v>
      </c>
      <c r="M200">
        <v>2.6</v>
      </c>
      <c r="N200">
        <v>0.4577464788732395</v>
      </c>
      <c r="O200">
        <v>10</v>
      </c>
      <c r="P200">
        <v>0.05010553388446692</v>
      </c>
      <c r="Q200">
        <v>0.06231206514343401</v>
      </c>
      <c r="R200" t="s">
        <v>780</v>
      </c>
      <c r="S200" t="s">
        <v>785</v>
      </c>
      <c r="T200">
        <v>207834.667054</v>
      </c>
      <c r="U200" s="2">
        <v>44500</v>
      </c>
      <c r="V200" t="s">
        <v>796</v>
      </c>
    </row>
    <row r="201" spans="1:22">
      <c r="A201" s="1" t="s">
        <v>221</v>
      </c>
      <c r="B201">
        <f>HYPERLINK("https://www.suredividend.com/sure-analysis-HRB/","H&amp;R Block Inc.")</f>
        <v>0</v>
      </c>
      <c r="C201">
        <v>25.48</v>
      </c>
      <c r="D201">
        <v>26.6</v>
      </c>
      <c r="E201">
        <v>0.9578947368421052</v>
      </c>
      <c r="F201">
        <v>0.0423861852433281</v>
      </c>
      <c r="G201">
        <v>0.008640593291774579</v>
      </c>
      <c r="H201">
        <v>0.037</v>
      </c>
      <c r="I201">
        <v>0.08450411664097057</v>
      </c>
      <c r="J201" t="s">
        <v>777</v>
      </c>
      <c r="K201" t="s">
        <v>776</v>
      </c>
      <c r="L201">
        <v>2.84</v>
      </c>
      <c r="M201">
        <v>1.08</v>
      </c>
      <c r="N201">
        <v>0.3802816901408451</v>
      </c>
      <c r="O201">
        <v>1</v>
      </c>
      <c r="P201">
        <v>0.05327276858309027</v>
      </c>
      <c r="Q201">
        <v>0.394124759940251</v>
      </c>
      <c r="R201" t="s">
        <v>780</v>
      </c>
      <c r="S201" t="s">
        <v>791</v>
      </c>
      <c r="T201">
        <v>4475.037698</v>
      </c>
      <c r="U201" s="2">
        <v>44509</v>
      </c>
      <c r="V201" t="s">
        <v>803</v>
      </c>
    </row>
    <row r="202" spans="1:22">
      <c r="A202" s="1" t="s">
        <v>222</v>
      </c>
      <c r="B202">
        <f>HYPERLINK("https://www.suredividend.com/sure-analysis-UNH/","Unitedhealth Group Inc")</f>
        <v>0</v>
      </c>
      <c r="C202">
        <v>450.16</v>
      </c>
      <c r="D202">
        <v>358</v>
      </c>
      <c r="E202">
        <v>1.257430167597765</v>
      </c>
      <c r="F202">
        <v>0.01288430780167052</v>
      </c>
      <c r="G202">
        <v>-0.0447804004332204</v>
      </c>
      <c r="H202">
        <v>0.12</v>
      </c>
      <c r="I202">
        <v>0.08427606851835057</v>
      </c>
      <c r="J202" t="s">
        <v>777</v>
      </c>
      <c r="K202" t="s">
        <v>367</v>
      </c>
      <c r="L202">
        <v>18.65</v>
      </c>
      <c r="M202">
        <v>5.8</v>
      </c>
      <c r="N202">
        <v>0.3109919571045577</v>
      </c>
      <c r="O202">
        <v>12</v>
      </c>
      <c r="P202">
        <v>0.1400529846685179</v>
      </c>
      <c r="Q202">
        <v>0.35901420148104</v>
      </c>
      <c r="R202" t="s">
        <v>780</v>
      </c>
      <c r="S202" t="s">
        <v>785</v>
      </c>
      <c r="T202">
        <v>423983.7587</v>
      </c>
      <c r="U202" s="2">
        <v>44491</v>
      </c>
      <c r="V202" t="s">
        <v>798</v>
      </c>
    </row>
    <row r="203" spans="1:22">
      <c r="A203" s="1" t="s">
        <v>223</v>
      </c>
      <c r="B203">
        <f>HYPERLINK("https://www.suredividend.com/sure-analysis-EMN/","Eastman Chemical Co")</f>
        <v>0</v>
      </c>
      <c r="C203">
        <v>113.04</v>
      </c>
      <c r="D203">
        <v>120</v>
      </c>
      <c r="E203">
        <v>0.9420000000000001</v>
      </c>
      <c r="F203">
        <v>0.02441613588110403</v>
      </c>
      <c r="G203">
        <v>0.01202168740845155</v>
      </c>
      <c r="H203">
        <v>0.05</v>
      </c>
      <c r="I203">
        <v>0.08395952274952045</v>
      </c>
      <c r="J203" t="s">
        <v>777</v>
      </c>
      <c r="K203" t="s">
        <v>777</v>
      </c>
      <c r="L203">
        <v>8.9</v>
      </c>
      <c r="M203">
        <v>2.76</v>
      </c>
      <c r="N203">
        <v>0.3101123595505618</v>
      </c>
      <c r="O203">
        <v>11</v>
      </c>
      <c r="P203">
        <v>0.04984870359842875</v>
      </c>
      <c r="Q203">
        <v>0.122208996534296</v>
      </c>
      <c r="R203" t="s">
        <v>780</v>
      </c>
      <c r="S203" t="s">
        <v>788</v>
      </c>
      <c r="T203">
        <v>15197.129138</v>
      </c>
      <c r="U203" s="2">
        <v>44502</v>
      </c>
      <c r="V203" t="s">
        <v>795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35.12</v>
      </c>
      <c r="D204">
        <v>39</v>
      </c>
      <c r="E204">
        <v>0.9005128205128204</v>
      </c>
      <c r="F204">
        <v>0.02363325740318907</v>
      </c>
      <c r="G204">
        <v>0.02117934040098834</v>
      </c>
      <c r="H204">
        <v>0.04</v>
      </c>
      <c r="I204">
        <v>0.08391687075714938</v>
      </c>
      <c r="J204" t="s">
        <v>777</v>
      </c>
      <c r="K204" t="s">
        <v>777</v>
      </c>
      <c r="L204">
        <v>2.8</v>
      </c>
      <c r="M204">
        <v>0.83</v>
      </c>
      <c r="N204">
        <v>0.2964285714285714</v>
      </c>
      <c r="O204">
        <v>6</v>
      </c>
      <c r="P204">
        <v>0.06924192562875131</v>
      </c>
      <c r="Q204">
        <v>0.889116601311408</v>
      </c>
      <c r="R204" t="s">
        <v>780</v>
      </c>
      <c r="S204" t="s">
        <v>793</v>
      </c>
      <c r="T204">
        <v>24329.893876</v>
      </c>
      <c r="U204" s="2">
        <v>44502</v>
      </c>
      <c r="V204" t="s">
        <v>804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225.86</v>
      </c>
      <c r="D205">
        <v>207</v>
      </c>
      <c r="E205">
        <v>1.091111111111111</v>
      </c>
      <c r="F205">
        <v>0.02567962454617905</v>
      </c>
      <c r="G205">
        <v>-0.01728812438423288</v>
      </c>
      <c r="H205">
        <v>0.08</v>
      </c>
      <c r="I205">
        <v>0.083834118405826</v>
      </c>
      <c r="J205" t="s">
        <v>777</v>
      </c>
      <c r="K205" t="s">
        <v>777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-0.014792507083932</v>
      </c>
      <c r="R205" t="s">
        <v>780</v>
      </c>
      <c r="S205" t="s">
        <v>787</v>
      </c>
      <c r="T205">
        <v>32305.173189</v>
      </c>
      <c r="U205" s="2">
        <v>44502</v>
      </c>
      <c r="V205" t="s">
        <v>796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104.3</v>
      </c>
      <c r="D206">
        <v>94.92</v>
      </c>
      <c r="E206">
        <v>1.09882005899705</v>
      </c>
      <c r="F206">
        <v>0.03221476510067114</v>
      </c>
      <c r="G206">
        <v>-0.0186708847092758</v>
      </c>
      <c r="H206">
        <v>0.07000000000000001</v>
      </c>
      <c r="I206">
        <v>0.0819189774605229</v>
      </c>
      <c r="J206" t="s">
        <v>777</v>
      </c>
      <c r="K206" t="s">
        <v>777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0.305293509575072</v>
      </c>
      <c r="R206" t="s">
        <v>780</v>
      </c>
      <c r="S206" t="s">
        <v>790</v>
      </c>
      <c r="T206">
        <v>148514.856</v>
      </c>
      <c r="U206" s="2">
        <v>44444</v>
      </c>
      <c r="V206" t="s">
        <v>805</v>
      </c>
    </row>
    <row r="207" spans="1:22">
      <c r="A207" s="1" t="s">
        <v>227</v>
      </c>
      <c r="B207">
        <f>HYPERLINK("https://www.suredividend.com/sure-analysis-RBGLY/","Reckitt Benckiser Group Plc")</f>
        <v>0</v>
      </c>
      <c r="C207">
        <v>16.495</v>
      </c>
      <c r="D207">
        <v>18</v>
      </c>
      <c r="E207">
        <v>0.9163888888888889</v>
      </c>
      <c r="F207">
        <v>0.02667474992421946</v>
      </c>
      <c r="G207">
        <v>0.01761625836517666</v>
      </c>
      <c r="H207">
        <v>0.04</v>
      </c>
      <c r="I207">
        <v>0.08112495187437196</v>
      </c>
      <c r="J207" t="s">
        <v>777</v>
      </c>
      <c r="K207" t="s">
        <v>777</v>
      </c>
      <c r="L207">
        <v>1.2</v>
      </c>
      <c r="M207">
        <v>0.44</v>
      </c>
      <c r="N207">
        <v>0.3666666666666667</v>
      </c>
      <c r="O207">
        <v>0</v>
      </c>
      <c r="P207">
        <v>0.03792181163298758</v>
      </c>
      <c r="Q207">
        <v>-0.038472748469833</v>
      </c>
      <c r="R207" t="s">
        <v>780</v>
      </c>
      <c r="S207" t="s">
        <v>792</v>
      </c>
      <c r="T207">
        <v>58912.871231</v>
      </c>
      <c r="U207" s="2">
        <v>44497</v>
      </c>
      <c r="V207" t="s">
        <v>806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215.43</v>
      </c>
      <c r="D208">
        <v>231</v>
      </c>
      <c r="E208">
        <v>0.9325974025974026</v>
      </c>
      <c r="F208">
        <v>0.02636587290535208</v>
      </c>
      <c r="G208">
        <v>0.014054180255616</v>
      </c>
      <c r="H208">
        <v>0.04</v>
      </c>
      <c r="I208">
        <v>0.08034712161042612</v>
      </c>
      <c r="J208" t="s">
        <v>777</v>
      </c>
      <c r="K208" t="s">
        <v>777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0.231631014942166</v>
      </c>
      <c r="R208" t="s">
        <v>780</v>
      </c>
      <c r="S208" t="s">
        <v>787</v>
      </c>
      <c r="T208">
        <v>11574.072401</v>
      </c>
      <c r="U208" s="2">
        <v>44498</v>
      </c>
      <c r="V208" t="s">
        <v>798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117.64</v>
      </c>
      <c r="D209">
        <v>113</v>
      </c>
      <c r="E209">
        <v>1.041061946902655</v>
      </c>
      <c r="F209">
        <v>0.0393573614416865</v>
      </c>
      <c r="G209">
        <v>-0.008015958470682372</v>
      </c>
      <c r="H209">
        <v>0.05</v>
      </c>
      <c r="I209">
        <v>0.07778309989605736</v>
      </c>
      <c r="J209" t="s">
        <v>777</v>
      </c>
      <c r="K209" t="s">
        <v>776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0.4457523344156401</v>
      </c>
      <c r="R209" t="s">
        <v>780</v>
      </c>
      <c r="S209" t="s">
        <v>790</v>
      </c>
      <c r="T209">
        <v>53036.149758</v>
      </c>
      <c r="U209" s="2">
        <v>44442</v>
      </c>
      <c r="V209" t="s">
        <v>805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38.5</v>
      </c>
      <c r="D210">
        <v>42</v>
      </c>
      <c r="E210">
        <v>0.9166666666666666</v>
      </c>
      <c r="F210">
        <v>0.01194805194805195</v>
      </c>
      <c r="G210">
        <v>0.01755457717558762</v>
      </c>
      <c r="H210">
        <v>0.05</v>
      </c>
      <c r="I210">
        <v>0.07744760427807829</v>
      </c>
      <c r="J210" t="s">
        <v>777</v>
      </c>
      <c r="K210" t="s">
        <v>367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0.321661517336079</v>
      </c>
      <c r="R210" t="s">
        <v>780</v>
      </c>
      <c r="S210" t="s">
        <v>784</v>
      </c>
      <c r="T210">
        <v>21276.058681</v>
      </c>
      <c r="U210" s="2">
        <v>44425</v>
      </c>
      <c r="V210" t="s">
        <v>797</v>
      </c>
    </row>
    <row r="211" spans="1:22">
      <c r="A211" s="1" t="s">
        <v>231</v>
      </c>
      <c r="B211">
        <f>HYPERLINK("https://www.suredividend.com/sure-analysis-BMO/","Bank of Montreal")</f>
        <v>0</v>
      </c>
      <c r="C211">
        <v>110.71</v>
      </c>
      <c r="D211">
        <v>110</v>
      </c>
      <c r="E211">
        <v>1.006454545454545</v>
      </c>
      <c r="F211">
        <v>0.02989793153283353</v>
      </c>
      <c r="G211">
        <v>-0.001285933294072228</v>
      </c>
      <c r="H211">
        <v>0.05</v>
      </c>
      <c r="I211">
        <v>0.07733077476764705</v>
      </c>
      <c r="J211" t="s">
        <v>777</v>
      </c>
      <c r="K211" t="s">
        <v>777</v>
      </c>
      <c r="L211">
        <v>9.779999999999999</v>
      </c>
      <c r="M211">
        <v>3.31</v>
      </c>
      <c r="N211">
        <v>0.3384458077709612</v>
      </c>
      <c r="O211">
        <v>9</v>
      </c>
      <c r="P211">
        <v>0.06850014718252129</v>
      </c>
      <c r="Q211">
        <v>0.5343209198996061</v>
      </c>
      <c r="R211" t="s">
        <v>780</v>
      </c>
      <c r="S211" t="s">
        <v>790</v>
      </c>
      <c r="T211">
        <v>71748.418788</v>
      </c>
      <c r="U211" s="2">
        <v>44442</v>
      </c>
      <c r="V211" t="s">
        <v>805</v>
      </c>
    </row>
    <row r="212" spans="1:22">
      <c r="A212" s="1" t="s">
        <v>232</v>
      </c>
      <c r="B212">
        <f>HYPERLINK("https://www.suredividend.com/sure-analysis-TD/","Toronto Dominion Bank")</f>
        <v>0</v>
      </c>
      <c r="C212">
        <v>75.62</v>
      </c>
      <c r="D212">
        <v>74</v>
      </c>
      <c r="E212">
        <v>1.021891891891892</v>
      </c>
      <c r="F212">
        <v>0.03319227717535043</v>
      </c>
      <c r="G212">
        <v>-0.00432177518682475</v>
      </c>
      <c r="H212">
        <v>0.05</v>
      </c>
      <c r="I212">
        <v>0.07586126010805239</v>
      </c>
      <c r="J212" t="s">
        <v>777</v>
      </c>
      <c r="K212" t="s">
        <v>777</v>
      </c>
      <c r="L212">
        <v>6.08</v>
      </c>
      <c r="M212">
        <v>2.51</v>
      </c>
      <c r="N212">
        <v>0.412828947368421</v>
      </c>
      <c r="O212">
        <v>9</v>
      </c>
      <c r="P212">
        <v>0.04977264413928073</v>
      </c>
      <c r="Q212">
        <v>0.421166777548496</v>
      </c>
      <c r="R212" t="s">
        <v>780</v>
      </c>
      <c r="S212" t="s">
        <v>790</v>
      </c>
      <c r="T212">
        <v>137925.785934</v>
      </c>
      <c r="U212" s="2">
        <v>44444</v>
      </c>
      <c r="V212" t="s">
        <v>805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48.7</v>
      </c>
      <c r="D213">
        <v>50</v>
      </c>
      <c r="E213">
        <v>0.9740000000000001</v>
      </c>
      <c r="F213">
        <v>0.06406570841889117</v>
      </c>
      <c r="G213">
        <v>0.005282699577933148</v>
      </c>
      <c r="H213">
        <v>0.015</v>
      </c>
      <c r="I213">
        <v>0.07507948558780875</v>
      </c>
      <c r="J213" t="s">
        <v>777</v>
      </c>
      <c r="K213" t="s">
        <v>776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0.105035057067005</v>
      </c>
      <c r="R213" t="s">
        <v>780</v>
      </c>
      <c r="S213" t="s">
        <v>792</v>
      </c>
      <c r="T213">
        <v>1198.379601</v>
      </c>
      <c r="U213" s="2">
        <v>44440</v>
      </c>
      <c r="V213" t="s">
        <v>800</v>
      </c>
    </row>
    <row r="214" spans="1:22">
      <c r="A214" s="1" t="s">
        <v>234</v>
      </c>
      <c r="B214">
        <f>HYPERLINK("https://www.suredividend.com/sure-analysis-NTIOF/","National Bank of Canada")</f>
        <v>0</v>
      </c>
      <c r="C214">
        <v>82.13</v>
      </c>
      <c r="D214">
        <v>77</v>
      </c>
      <c r="E214">
        <v>1.066623376623377</v>
      </c>
      <c r="F214">
        <v>0.02727383416534762</v>
      </c>
      <c r="G214">
        <v>-0.0128167441014051</v>
      </c>
      <c r="H214">
        <v>0.06</v>
      </c>
      <c r="I214">
        <v>0.07376467858991154</v>
      </c>
      <c r="J214" t="s">
        <v>777</v>
      </c>
      <c r="K214" t="s">
        <v>777</v>
      </c>
      <c r="L214">
        <v>6.73</v>
      </c>
      <c r="M214">
        <v>2.24</v>
      </c>
      <c r="N214">
        <v>0.3328380386329866</v>
      </c>
      <c r="O214">
        <v>9</v>
      </c>
      <c r="P214">
        <v>0.0799150058822331</v>
      </c>
      <c r="Q214">
        <v>0.453551138877581</v>
      </c>
      <c r="R214" t="s">
        <v>780</v>
      </c>
      <c r="S214" t="s">
        <v>790</v>
      </c>
      <c r="T214">
        <v>27744.289554</v>
      </c>
      <c r="U214" s="2">
        <v>44436</v>
      </c>
      <c r="V214" t="s">
        <v>805</v>
      </c>
    </row>
    <row r="215" spans="1:22">
      <c r="A215" s="1" t="s">
        <v>235</v>
      </c>
      <c r="B215">
        <f>HYPERLINK("https://www.suredividend.com/sure-analysis-ORI/","Old Republic International Corp.")</f>
        <v>0</v>
      </c>
      <c r="C215">
        <v>25.85</v>
      </c>
      <c r="D215">
        <v>35</v>
      </c>
      <c r="E215">
        <v>0.7385714285714287</v>
      </c>
      <c r="F215">
        <v>0.03404255319148936</v>
      </c>
      <c r="G215">
        <v>0.06248179983960256</v>
      </c>
      <c r="H215">
        <v>-0.02</v>
      </c>
      <c r="I215">
        <v>0.07280742449183752</v>
      </c>
      <c r="J215" t="s">
        <v>777</v>
      </c>
      <c r="K215" t="s">
        <v>777</v>
      </c>
      <c r="L215">
        <v>2.9</v>
      </c>
      <c r="M215">
        <v>0.88</v>
      </c>
      <c r="N215">
        <v>0.303448275862069</v>
      </c>
      <c r="O215">
        <v>40</v>
      </c>
      <c r="P215">
        <v>0.04941452284458392</v>
      </c>
      <c r="Q215">
        <v>0.5897908979089791</v>
      </c>
      <c r="R215" t="s">
        <v>780</v>
      </c>
      <c r="S215" t="s">
        <v>790</v>
      </c>
      <c r="T215">
        <v>7936.175774</v>
      </c>
      <c r="U215" s="2">
        <v>44518</v>
      </c>
      <c r="V215" t="s">
        <v>798</v>
      </c>
    </row>
    <row r="216" spans="1:22">
      <c r="A216" s="1" t="s">
        <v>236</v>
      </c>
      <c r="B216">
        <f>HYPERLINK("https://www.suredividend.com/sure-analysis-PB/","Prosperity Bancshares Inc.")</f>
        <v>0</v>
      </c>
      <c r="C216">
        <v>75.87</v>
      </c>
      <c r="D216">
        <v>82</v>
      </c>
      <c r="E216">
        <v>0.9252439024390244</v>
      </c>
      <c r="F216">
        <v>0.02741531567154343</v>
      </c>
      <c r="G216">
        <v>0.01566094669937423</v>
      </c>
      <c r="H216">
        <v>0.03</v>
      </c>
      <c r="I216">
        <v>0.07202757751607614</v>
      </c>
      <c r="J216" t="s">
        <v>777</v>
      </c>
      <c r="K216" t="s">
        <v>777</v>
      </c>
      <c r="L216">
        <v>5.75</v>
      </c>
      <c r="M216">
        <v>2.08</v>
      </c>
      <c r="N216">
        <v>0.3617391304347826</v>
      </c>
      <c r="O216">
        <v>18</v>
      </c>
      <c r="P216">
        <v>0.05820339229333826</v>
      </c>
      <c r="Q216">
        <v>0.195976525000118</v>
      </c>
      <c r="R216" t="s">
        <v>780</v>
      </c>
      <c r="S216" t="s">
        <v>790</v>
      </c>
      <c r="T216">
        <v>6992.555136</v>
      </c>
      <c r="U216" s="2">
        <v>44498</v>
      </c>
      <c r="V216" t="s">
        <v>804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86.98999999999999</v>
      </c>
      <c r="D217">
        <v>76</v>
      </c>
      <c r="E217">
        <v>1.144605263157895</v>
      </c>
      <c r="F217">
        <v>0.0170134498218186</v>
      </c>
      <c r="G217">
        <v>-0.02665040549730535</v>
      </c>
      <c r="H217">
        <v>0.08</v>
      </c>
      <c r="I217">
        <v>0.07034348142774638</v>
      </c>
      <c r="J217" t="s">
        <v>777</v>
      </c>
      <c r="K217" t="s">
        <v>367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0.007906603821679001</v>
      </c>
      <c r="R217" t="s">
        <v>780</v>
      </c>
      <c r="S217" t="s">
        <v>787</v>
      </c>
      <c r="T217">
        <v>11647.670105</v>
      </c>
      <c r="U217" s="2">
        <v>44508</v>
      </c>
      <c r="V217" t="s">
        <v>802</v>
      </c>
    </row>
    <row r="218" spans="1:22">
      <c r="A218" s="1" t="s">
        <v>238</v>
      </c>
      <c r="B218">
        <f>HYPERLINK("https://www.suredividend.com/sure-analysis-TTC/","Toro Co.")</f>
        <v>0</v>
      </c>
      <c r="C218">
        <v>105.02</v>
      </c>
      <c r="D218">
        <v>83</v>
      </c>
      <c r="E218">
        <v>1.265301204819277</v>
      </c>
      <c r="F218">
        <v>0.009998095600837937</v>
      </c>
      <c r="G218">
        <v>-0.0459717922345152</v>
      </c>
      <c r="H218">
        <v>0.11</v>
      </c>
      <c r="I218">
        <v>0.06943639499994569</v>
      </c>
      <c r="J218" t="s">
        <v>777</v>
      </c>
      <c r="K218" t="s">
        <v>515</v>
      </c>
      <c r="L218">
        <v>3.55</v>
      </c>
      <c r="M218">
        <v>1.05</v>
      </c>
      <c r="N218">
        <v>0.295774647887324</v>
      </c>
      <c r="O218">
        <v>11</v>
      </c>
      <c r="P218">
        <v>0.09986525071768737</v>
      </c>
      <c r="Q218">
        <v>0.15406720227165</v>
      </c>
      <c r="R218" t="s">
        <v>780</v>
      </c>
      <c r="S218" t="s">
        <v>787</v>
      </c>
      <c r="T218">
        <v>11178.819558</v>
      </c>
      <c r="U218" s="2">
        <v>44453</v>
      </c>
      <c r="V218" t="s">
        <v>801</v>
      </c>
    </row>
    <row r="219" spans="1:22">
      <c r="A219" s="1" t="s">
        <v>239</v>
      </c>
      <c r="B219">
        <f>HYPERLINK("https://www.suredividend.com/sure-analysis-LNT/","Alliant Energy Corp.")</f>
        <v>0</v>
      </c>
      <c r="C219">
        <v>57.62</v>
      </c>
      <c r="D219">
        <v>53</v>
      </c>
      <c r="E219">
        <v>1.087169811320755</v>
      </c>
      <c r="F219">
        <v>0.02794168691426588</v>
      </c>
      <c r="G219">
        <v>-0.01657663336795567</v>
      </c>
      <c r="H219">
        <v>0.06</v>
      </c>
      <c r="I219">
        <v>0.06925364938136802</v>
      </c>
      <c r="J219" t="s">
        <v>777</v>
      </c>
      <c r="K219" t="s">
        <v>777</v>
      </c>
      <c r="L219">
        <v>2.63</v>
      </c>
      <c r="M219">
        <v>1.61</v>
      </c>
      <c r="N219">
        <v>0.6121673003802282</v>
      </c>
      <c r="O219">
        <v>18</v>
      </c>
      <c r="P219">
        <v>0.05955258842469102</v>
      </c>
      <c r="Q219">
        <v>0.111917314416716</v>
      </c>
      <c r="R219" t="s">
        <v>780</v>
      </c>
      <c r="S219" t="s">
        <v>789</v>
      </c>
      <c r="T219">
        <v>14419.857663</v>
      </c>
      <c r="U219" s="2">
        <v>44513</v>
      </c>
      <c r="V219" t="s">
        <v>797</v>
      </c>
    </row>
    <row r="220" spans="1:22">
      <c r="A220" s="1" t="s">
        <v>240</v>
      </c>
      <c r="B220">
        <f>HYPERLINK("https://www.suredividend.com/sure-analysis-UHT/","Universal Health Realty Income Trust")</f>
        <v>0</v>
      </c>
      <c r="C220">
        <v>58.57</v>
      </c>
      <c r="D220">
        <v>58</v>
      </c>
      <c r="E220">
        <v>1.009827586206897</v>
      </c>
      <c r="F220">
        <v>0.04780604404985487</v>
      </c>
      <c r="G220">
        <v>-0.00195401034228937</v>
      </c>
      <c r="H220">
        <v>0.03</v>
      </c>
      <c r="I220">
        <v>0.06855923866619107</v>
      </c>
      <c r="J220" t="s">
        <v>777</v>
      </c>
      <c r="K220" t="s">
        <v>776</v>
      </c>
      <c r="L220">
        <v>3.35</v>
      </c>
      <c r="M220">
        <v>2.8</v>
      </c>
      <c r="N220">
        <v>0.835820895522388</v>
      </c>
      <c r="O220">
        <v>36</v>
      </c>
      <c r="P220">
        <v>0.008428158438618549</v>
      </c>
      <c r="Q220">
        <v>-0.034837791118266</v>
      </c>
      <c r="R220" t="s">
        <v>782</v>
      </c>
      <c r="S220" t="s">
        <v>794</v>
      </c>
      <c r="T220">
        <v>807.353011</v>
      </c>
      <c r="U220" s="2">
        <v>44411</v>
      </c>
      <c r="V220" t="s">
        <v>803</v>
      </c>
    </row>
    <row r="221" spans="1:22">
      <c r="A221" s="1" t="s">
        <v>241</v>
      </c>
      <c r="B221">
        <f>HYPERLINK("https://www.suredividend.com/sure-analysis-CSCO/","Cisco Systems, Inc.")</f>
        <v>0</v>
      </c>
      <c r="C221">
        <v>55.54</v>
      </c>
      <c r="D221">
        <v>51</v>
      </c>
      <c r="E221">
        <v>1.089019607843137</v>
      </c>
      <c r="F221">
        <v>0.02664746128916097</v>
      </c>
      <c r="G221">
        <v>-0.01691094697541329</v>
      </c>
      <c r="H221">
        <v>0.06</v>
      </c>
      <c r="I221">
        <v>0.0677755879598112</v>
      </c>
      <c r="J221" t="s">
        <v>777</v>
      </c>
      <c r="K221" t="s">
        <v>777</v>
      </c>
      <c r="L221">
        <v>3.42</v>
      </c>
      <c r="M221">
        <v>1.48</v>
      </c>
      <c r="N221">
        <v>0.4327485380116959</v>
      </c>
      <c r="O221">
        <v>11</v>
      </c>
      <c r="P221">
        <v>0.05993856763806171</v>
      </c>
      <c r="Q221">
        <v>0.341672283137783</v>
      </c>
      <c r="R221" t="s">
        <v>780</v>
      </c>
      <c r="S221" t="s">
        <v>786</v>
      </c>
      <c r="T221">
        <v>234245.868065</v>
      </c>
      <c r="U221" s="2">
        <v>44518</v>
      </c>
      <c r="V221" t="s">
        <v>796</v>
      </c>
    </row>
    <row r="222" spans="1:22">
      <c r="A222" s="1" t="s">
        <v>242</v>
      </c>
      <c r="B222">
        <f>HYPERLINK("https://www.suredividend.com/sure-analysis-EQIX/","Equinix Inc")</f>
        <v>0</v>
      </c>
      <c r="C222">
        <v>797.59</v>
      </c>
      <c r="D222">
        <v>638</v>
      </c>
      <c r="E222">
        <v>1.250141065830721</v>
      </c>
      <c r="F222">
        <v>0.01439335999699094</v>
      </c>
      <c r="G222">
        <v>-0.04366908413407822</v>
      </c>
      <c r="H222">
        <v>0.1</v>
      </c>
      <c r="I222">
        <v>0.06729726112344014</v>
      </c>
      <c r="J222" t="s">
        <v>777</v>
      </c>
      <c r="K222" t="s">
        <v>515</v>
      </c>
      <c r="L222">
        <v>27.14</v>
      </c>
      <c r="M222">
        <v>11.48</v>
      </c>
      <c r="N222">
        <v>0.4229918938835667</v>
      </c>
      <c r="O222">
        <v>5</v>
      </c>
      <c r="P222">
        <v>0.1000160063233719</v>
      </c>
      <c r="Q222">
        <v>0.169865551779814</v>
      </c>
      <c r="R222" t="s">
        <v>782</v>
      </c>
      <c r="S222" t="s">
        <v>794</v>
      </c>
      <c r="T222">
        <v>71815.960708</v>
      </c>
      <c r="U222" s="2">
        <v>44505</v>
      </c>
      <c r="V222" t="s">
        <v>801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193.6</v>
      </c>
      <c r="D223">
        <v>162</v>
      </c>
      <c r="E223">
        <v>1.195061728395062</v>
      </c>
      <c r="F223">
        <v>0.02376033057851239</v>
      </c>
      <c r="G223">
        <v>-0.03501195654503442</v>
      </c>
      <c r="H223">
        <v>0.08</v>
      </c>
      <c r="I223">
        <v>0.06723581594314298</v>
      </c>
      <c r="J223" t="s">
        <v>777</v>
      </c>
      <c r="K223" t="s">
        <v>367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0.24351586125035</v>
      </c>
      <c r="R223" t="s">
        <v>780</v>
      </c>
      <c r="S223" t="s">
        <v>786</v>
      </c>
      <c r="T223">
        <v>178794.642699</v>
      </c>
      <c r="U223" s="2">
        <v>44504</v>
      </c>
      <c r="V223" t="s">
        <v>800</v>
      </c>
    </row>
    <row r="224" spans="1:22">
      <c r="A224" s="1" t="s">
        <v>244</v>
      </c>
      <c r="B224">
        <f>HYPERLINK("https://www.suredividend.com/sure-analysis-AMX/","America Movil S.A.B.DE C.V.")</f>
        <v>0</v>
      </c>
      <c r="C224">
        <v>17.53</v>
      </c>
      <c r="D224">
        <v>18</v>
      </c>
      <c r="E224">
        <v>0.9738888888888889</v>
      </c>
      <c r="F224">
        <v>0.02281802624073018</v>
      </c>
      <c r="G224">
        <v>0.005305637098197424</v>
      </c>
      <c r="H224">
        <v>0.04</v>
      </c>
      <c r="I224">
        <v>0.06653174283814756</v>
      </c>
      <c r="J224" t="s">
        <v>777</v>
      </c>
      <c r="K224" t="s">
        <v>777</v>
      </c>
      <c r="L224">
        <v>1.35</v>
      </c>
      <c r="M224">
        <v>0.4</v>
      </c>
      <c r="N224">
        <v>0.2962962962962963</v>
      </c>
      <c r="O224">
        <v>0</v>
      </c>
      <c r="P224">
        <v>0.04563955259127317</v>
      </c>
      <c r="Q224">
        <v>0.24750925135212</v>
      </c>
      <c r="R224" t="s">
        <v>780</v>
      </c>
      <c r="S224" t="s">
        <v>784</v>
      </c>
      <c r="T224">
        <v>38958.274824</v>
      </c>
      <c r="U224" s="2">
        <v>44494</v>
      </c>
      <c r="V224" t="s">
        <v>804</v>
      </c>
    </row>
    <row r="225" spans="1:22">
      <c r="A225" s="1" t="s">
        <v>245</v>
      </c>
      <c r="B225">
        <f>HYPERLINK("https://www.suredividend.com/sure-analysis-PBCT/","People`s United Financial Inc")</f>
        <v>0</v>
      </c>
      <c r="C225">
        <v>18.73</v>
      </c>
      <c r="D225">
        <v>18</v>
      </c>
      <c r="E225">
        <v>1.040555555555556</v>
      </c>
      <c r="F225">
        <v>0.0389749065670048</v>
      </c>
      <c r="G225">
        <v>-0.007919426502539739</v>
      </c>
      <c r="H225">
        <v>0.04</v>
      </c>
      <c r="I225">
        <v>0.06530448130787292</v>
      </c>
      <c r="J225" t="s">
        <v>777</v>
      </c>
      <c r="K225" t="s">
        <v>776</v>
      </c>
      <c r="L225">
        <v>1.33</v>
      </c>
      <c r="M225">
        <v>0.73</v>
      </c>
      <c r="N225">
        <v>0.5488721804511277</v>
      </c>
      <c r="O225">
        <v>29</v>
      </c>
      <c r="P225">
        <v>0.01333804570728625</v>
      </c>
      <c r="Q225">
        <v>0.448995064288035</v>
      </c>
      <c r="R225" t="s">
        <v>780</v>
      </c>
      <c r="S225" t="s">
        <v>790</v>
      </c>
      <c r="T225">
        <v>8016.814769</v>
      </c>
      <c r="U225" s="2">
        <v>44495</v>
      </c>
      <c r="V225" t="s">
        <v>804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52.58</v>
      </c>
      <c r="D226">
        <v>54</v>
      </c>
      <c r="E226">
        <v>0.9737037037037036</v>
      </c>
      <c r="F226">
        <v>0.03195131228604032</v>
      </c>
      <c r="G226">
        <v>0.005343873278024214</v>
      </c>
      <c r="H226">
        <v>0.03</v>
      </c>
      <c r="I226">
        <v>0.0642762561349588</v>
      </c>
      <c r="J226" t="s">
        <v>777</v>
      </c>
      <c r="K226" t="s">
        <v>776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0.017121611609655</v>
      </c>
      <c r="R226" t="s">
        <v>780</v>
      </c>
      <c r="S226" t="s">
        <v>790</v>
      </c>
      <c r="T226">
        <v>4457.384163</v>
      </c>
      <c r="U226" s="2">
        <v>44512</v>
      </c>
      <c r="V226" t="s">
        <v>798</v>
      </c>
    </row>
    <row r="227" spans="1:22">
      <c r="A227" s="1" t="s">
        <v>247</v>
      </c>
      <c r="B227">
        <f>HYPERLINK("https://www.suredividend.com/sure-analysis-XOM/","Exxon Mobil Corp.")</f>
        <v>0</v>
      </c>
      <c r="C227">
        <v>63.48</v>
      </c>
      <c r="D227">
        <v>65</v>
      </c>
      <c r="E227">
        <v>0.9766153846153846</v>
      </c>
      <c r="F227">
        <v>0.05545053560176433</v>
      </c>
      <c r="G227">
        <v>0.00474369069249847</v>
      </c>
      <c r="H227">
        <v>0.01</v>
      </c>
      <c r="I227">
        <v>0.06298869879717195</v>
      </c>
      <c r="J227" t="s">
        <v>777</v>
      </c>
      <c r="K227" t="s">
        <v>776</v>
      </c>
      <c r="L227">
        <v>5</v>
      </c>
      <c r="M227">
        <v>3.52</v>
      </c>
      <c r="N227">
        <v>0.704</v>
      </c>
      <c r="O227">
        <v>39</v>
      </c>
      <c r="P227">
        <v>0.004504686905032917</v>
      </c>
      <c r="Q227">
        <v>0.605134001380597</v>
      </c>
      <c r="R227" t="s">
        <v>780</v>
      </c>
      <c r="S227" t="s">
        <v>793</v>
      </c>
      <c r="T227">
        <v>268746.82294</v>
      </c>
      <c r="U227" s="2">
        <v>44501</v>
      </c>
      <c r="V227" t="s">
        <v>804</v>
      </c>
    </row>
    <row r="228" spans="1:22">
      <c r="A228" s="1" t="s">
        <v>248</v>
      </c>
      <c r="B228">
        <f>HYPERLINK("https://www.suredividend.com/sure-analysis-EIX/","Edison International")</f>
        <v>0</v>
      </c>
      <c r="C228">
        <v>66.15000000000001</v>
      </c>
      <c r="D228">
        <v>56.6</v>
      </c>
      <c r="E228">
        <v>1.168727915194346</v>
      </c>
      <c r="F228">
        <v>0.0400604686318972</v>
      </c>
      <c r="G228">
        <v>-0.03070200023261238</v>
      </c>
      <c r="H228">
        <v>0.058</v>
      </c>
      <c r="I228">
        <v>0.06257355536726128</v>
      </c>
      <c r="J228" t="s">
        <v>777</v>
      </c>
      <c r="K228" t="s">
        <v>776</v>
      </c>
      <c r="L228">
        <v>4.49</v>
      </c>
      <c r="M228">
        <v>2.65</v>
      </c>
      <c r="N228">
        <v>0.5902004454342984</v>
      </c>
      <c r="O228">
        <v>17</v>
      </c>
      <c r="P228">
        <v>0.03186567045409161</v>
      </c>
      <c r="Q228">
        <v>0.05711961672022801</v>
      </c>
      <c r="R228" t="s">
        <v>780</v>
      </c>
      <c r="S228" t="s">
        <v>789</v>
      </c>
      <c r="T228">
        <v>25117.472454</v>
      </c>
      <c r="U228" s="2">
        <v>44509</v>
      </c>
      <c r="V228" t="s">
        <v>803</v>
      </c>
    </row>
    <row r="229" spans="1:22">
      <c r="A229" s="1" t="s">
        <v>249</v>
      </c>
      <c r="B229">
        <f>HYPERLINK("https://www.suredividend.com/sure-analysis-RELX/","RELX Plc")</f>
        <v>0</v>
      </c>
      <c r="C229">
        <v>31.27</v>
      </c>
      <c r="D229">
        <v>28.6</v>
      </c>
      <c r="E229">
        <v>1.093356643356643</v>
      </c>
      <c r="F229">
        <v>0.02078669651423089</v>
      </c>
      <c r="G229">
        <v>-0.01769211448385843</v>
      </c>
      <c r="H229">
        <v>0.06</v>
      </c>
      <c r="I229">
        <v>0.06157253137577978</v>
      </c>
      <c r="J229" t="s">
        <v>777</v>
      </c>
      <c r="K229" t="s">
        <v>367</v>
      </c>
      <c r="L229">
        <v>1.19</v>
      </c>
      <c r="M229">
        <v>0.65</v>
      </c>
      <c r="N229">
        <v>0.546218487394958</v>
      </c>
      <c r="O229">
        <v>10</v>
      </c>
      <c r="P229">
        <v>0.06003737798448272</v>
      </c>
      <c r="Q229">
        <v>0.366062925392956</v>
      </c>
      <c r="R229" t="s">
        <v>780</v>
      </c>
      <c r="S229" t="s">
        <v>784</v>
      </c>
      <c r="T229">
        <v>60495.632692</v>
      </c>
      <c r="U229" s="2">
        <v>44411</v>
      </c>
      <c r="V229" t="s">
        <v>795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47.93</v>
      </c>
      <c r="D230">
        <v>45</v>
      </c>
      <c r="E230">
        <v>1.065111111111111</v>
      </c>
      <c r="F230">
        <v>0.01564781973711663</v>
      </c>
      <c r="G230">
        <v>-0.01253657876497849</v>
      </c>
      <c r="H230">
        <v>0.06</v>
      </c>
      <c r="I230">
        <v>0.0609786202093181</v>
      </c>
      <c r="J230" t="s">
        <v>777</v>
      </c>
      <c r="K230" t="s">
        <v>515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0.036194379948028</v>
      </c>
      <c r="R230" t="s">
        <v>780</v>
      </c>
      <c r="S230" t="s">
        <v>789</v>
      </c>
      <c r="T230">
        <v>628.103909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112.18</v>
      </c>
      <c r="D231">
        <v>102</v>
      </c>
      <c r="E231">
        <v>1.099803921568627</v>
      </c>
      <c r="F231">
        <v>0.03155642717061865</v>
      </c>
      <c r="G231">
        <v>-0.01884652304586032</v>
      </c>
      <c r="H231">
        <v>0.05</v>
      </c>
      <c r="I231">
        <v>0.06085000445654343</v>
      </c>
      <c r="J231" t="s">
        <v>777</v>
      </c>
      <c r="K231" t="s">
        <v>777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0.03510479767106</v>
      </c>
      <c r="R231" t="s">
        <v>780</v>
      </c>
      <c r="S231" t="s">
        <v>789</v>
      </c>
      <c r="T231">
        <v>21732.326046</v>
      </c>
      <c r="U231" s="2">
        <v>44498</v>
      </c>
      <c r="V231" t="s">
        <v>804</v>
      </c>
    </row>
    <row r="232" spans="1:22">
      <c r="A232" s="1" t="s">
        <v>252</v>
      </c>
      <c r="B232">
        <f>HYPERLINK("https://www.suredividend.com/sure-analysis-K/","Kellogg Co")</f>
        <v>0</v>
      </c>
      <c r="C232">
        <v>63.2</v>
      </c>
      <c r="D232">
        <v>62</v>
      </c>
      <c r="E232">
        <v>1.019354838709677</v>
      </c>
      <c r="F232">
        <v>0.03670886075949367</v>
      </c>
      <c r="G232">
        <v>-0.003826642891769261</v>
      </c>
      <c r="H232">
        <v>0.03</v>
      </c>
      <c r="I232">
        <v>0.05996802419917535</v>
      </c>
      <c r="J232" t="s">
        <v>777</v>
      </c>
      <c r="K232" t="s">
        <v>777</v>
      </c>
      <c r="L232">
        <v>4.1</v>
      </c>
      <c r="M232">
        <v>2.32</v>
      </c>
      <c r="N232">
        <v>0.5658536585365854</v>
      </c>
      <c r="O232">
        <v>17</v>
      </c>
      <c r="P232">
        <v>0.03003707999335203</v>
      </c>
      <c r="Q232">
        <v>0.049882718797552</v>
      </c>
      <c r="R232" t="s">
        <v>780</v>
      </c>
      <c r="S232" t="s">
        <v>792</v>
      </c>
      <c r="T232">
        <v>21558.96115</v>
      </c>
      <c r="U232" s="2">
        <v>44436</v>
      </c>
      <c r="V232" t="s">
        <v>798</v>
      </c>
    </row>
    <row r="233" spans="1:22">
      <c r="A233" s="1" t="s">
        <v>253</v>
      </c>
      <c r="B233">
        <f>HYPERLINK("https://www.suredividend.com/sure-analysis-CVS/","CVS Health Corp")</f>
        <v>0</v>
      </c>
      <c r="C233">
        <v>92.65000000000001</v>
      </c>
      <c r="D233">
        <v>87</v>
      </c>
      <c r="E233">
        <v>1.064942528735632</v>
      </c>
      <c r="F233">
        <v>0.02158661629789531</v>
      </c>
      <c r="G233">
        <v>-0.01250531728657489</v>
      </c>
      <c r="H233">
        <v>0.05</v>
      </c>
      <c r="I233">
        <v>0.05767553371134393</v>
      </c>
      <c r="J233" t="s">
        <v>777</v>
      </c>
      <c r="K233" t="s">
        <v>777</v>
      </c>
      <c r="L233">
        <v>7.95</v>
      </c>
      <c r="M233">
        <v>2</v>
      </c>
      <c r="N233">
        <v>0.2515723270440252</v>
      </c>
      <c r="O233">
        <v>0</v>
      </c>
      <c r="P233">
        <v>0.04978904632428516</v>
      </c>
      <c r="Q233">
        <v>0.38826663709826</v>
      </c>
      <c r="R233" t="s">
        <v>780</v>
      </c>
      <c r="S233" t="s">
        <v>785</v>
      </c>
      <c r="T233">
        <v>122303.434571</v>
      </c>
      <c r="U233" s="2">
        <v>44503</v>
      </c>
      <c r="V233" t="s">
        <v>796</v>
      </c>
    </row>
    <row r="234" spans="1:22">
      <c r="A234" s="1" t="s">
        <v>254</v>
      </c>
      <c r="B234">
        <f>HYPERLINK("https://www.suredividend.com/sure-analysis-ICE/","Intercontinental Exchange Inc")</f>
        <v>0</v>
      </c>
      <c r="C234">
        <v>132.27</v>
      </c>
      <c r="D234">
        <v>107</v>
      </c>
      <c r="E234">
        <v>1.236168224299065</v>
      </c>
      <c r="F234">
        <v>0.00997958720798367</v>
      </c>
      <c r="G234">
        <v>-0.04151684474067607</v>
      </c>
      <c r="H234">
        <v>0.09</v>
      </c>
      <c r="I234">
        <v>0.0564155485310458</v>
      </c>
      <c r="J234" t="s">
        <v>777</v>
      </c>
      <c r="K234" t="s">
        <v>515</v>
      </c>
      <c r="L234">
        <v>5.1</v>
      </c>
      <c r="M234">
        <v>1.32</v>
      </c>
      <c r="N234">
        <v>0.2588235294117647</v>
      </c>
      <c r="O234">
        <v>9</v>
      </c>
      <c r="P234">
        <v>0.1203569122523565</v>
      </c>
      <c r="Q234">
        <v>0.297912467692018</v>
      </c>
      <c r="R234" t="s">
        <v>780</v>
      </c>
      <c r="S234" t="s">
        <v>790</v>
      </c>
      <c r="T234">
        <v>74521.491523</v>
      </c>
      <c r="U234" s="2">
        <v>44522</v>
      </c>
      <c r="V234" t="s">
        <v>802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83.23999999999999</v>
      </c>
      <c r="D235">
        <v>81</v>
      </c>
      <c r="E235">
        <v>1.027654320987654</v>
      </c>
      <c r="F235">
        <v>0.02138395002402691</v>
      </c>
      <c r="G235">
        <v>-0.005440913689554683</v>
      </c>
      <c r="H235">
        <v>0.04</v>
      </c>
      <c r="I235">
        <v>0.05575129519187905</v>
      </c>
      <c r="J235" t="s">
        <v>777</v>
      </c>
      <c r="K235" t="s">
        <v>777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0.316726091234375</v>
      </c>
      <c r="R235" t="s">
        <v>780</v>
      </c>
      <c r="S235" t="s">
        <v>792</v>
      </c>
      <c r="T235">
        <v>30310.68064</v>
      </c>
      <c r="U235" s="2">
        <v>44515</v>
      </c>
      <c r="V235" t="s">
        <v>799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70.34</v>
      </c>
      <c r="D236">
        <v>53</v>
      </c>
      <c r="E236">
        <v>1.327169811320755</v>
      </c>
      <c r="F236">
        <v>0.01421666192777936</v>
      </c>
      <c r="G236">
        <v>-0.05503722396062627</v>
      </c>
      <c r="H236">
        <v>0.1</v>
      </c>
      <c r="I236">
        <v>0.05532048020108293</v>
      </c>
      <c r="J236" t="s">
        <v>777</v>
      </c>
      <c r="K236" t="s">
        <v>515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0.07600406905149801</v>
      </c>
      <c r="R236" t="s">
        <v>780</v>
      </c>
      <c r="S236" t="s">
        <v>787</v>
      </c>
      <c r="T236">
        <v>7779.850964</v>
      </c>
      <c r="U236" s="2">
        <v>44515</v>
      </c>
      <c r="V236" t="s">
        <v>795</v>
      </c>
    </row>
    <row r="237" spans="1:22">
      <c r="A237" s="1" t="s">
        <v>257</v>
      </c>
      <c r="B237">
        <f>HYPERLINK("https://www.suredividend.com/sure-analysis-HD/","Home Depot, Inc.")</f>
        <v>0</v>
      </c>
      <c r="C237">
        <v>412.11</v>
      </c>
      <c r="D237">
        <v>320</v>
      </c>
      <c r="E237">
        <v>1.28784375</v>
      </c>
      <c r="F237">
        <v>0.01601514158841086</v>
      </c>
      <c r="G237">
        <v>-0.04933530646488837</v>
      </c>
      <c r="H237">
        <v>0.09</v>
      </c>
      <c r="I237">
        <v>0.05373914806362312</v>
      </c>
      <c r="J237" t="s">
        <v>777</v>
      </c>
      <c r="K237" t="s">
        <v>367</v>
      </c>
      <c r="L237">
        <v>14.55</v>
      </c>
      <c r="M237">
        <v>6.6</v>
      </c>
      <c r="N237">
        <v>0.4536082474226804</v>
      </c>
      <c r="O237">
        <v>12</v>
      </c>
      <c r="P237">
        <v>0.08989440052011655</v>
      </c>
      <c r="Q237">
        <v>0.541366797498266</v>
      </c>
      <c r="R237" t="s">
        <v>780</v>
      </c>
      <c r="S237" t="s">
        <v>791</v>
      </c>
      <c r="T237">
        <v>430341.407233</v>
      </c>
      <c r="U237" s="2">
        <v>44427</v>
      </c>
      <c r="V237" t="s">
        <v>801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135.23</v>
      </c>
      <c r="D238">
        <v>112</v>
      </c>
      <c r="E238">
        <v>1.207410714285714</v>
      </c>
      <c r="F238">
        <v>0.03372032832951268</v>
      </c>
      <c r="G238">
        <v>-0.03699399572830631</v>
      </c>
      <c r="H238">
        <v>0.06</v>
      </c>
      <c r="I238">
        <v>0.05353500726590021</v>
      </c>
      <c r="J238" t="s">
        <v>777</v>
      </c>
      <c r="K238" t="s">
        <v>776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0.004459643347376</v>
      </c>
      <c r="R238" t="s">
        <v>780</v>
      </c>
      <c r="S238" t="s">
        <v>792</v>
      </c>
      <c r="T238">
        <v>45534.202316</v>
      </c>
      <c r="U238" s="2">
        <v>44499</v>
      </c>
      <c r="V238" t="s">
        <v>798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113.97</v>
      </c>
      <c r="D239">
        <v>92</v>
      </c>
      <c r="E239">
        <v>1.238804347826087</v>
      </c>
      <c r="F239">
        <v>0.01719750811617092</v>
      </c>
      <c r="G239">
        <v>-0.04192511476616823</v>
      </c>
      <c r="H239">
        <v>0.08</v>
      </c>
      <c r="I239">
        <v>0.0530702663626863</v>
      </c>
      <c r="J239" t="s">
        <v>777</v>
      </c>
      <c r="K239" t="s">
        <v>367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0.178575306484387</v>
      </c>
      <c r="R239" t="s">
        <v>780</v>
      </c>
      <c r="S239" t="s">
        <v>791</v>
      </c>
      <c r="T239">
        <v>133709.604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208.47</v>
      </c>
      <c r="D240">
        <v>191</v>
      </c>
      <c r="E240">
        <v>1.091465968586387</v>
      </c>
      <c r="F240">
        <v>0.01957116131817528</v>
      </c>
      <c r="G240">
        <v>-0.01735203256363249</v>
      </c>
      <c r="H240">
        <v>0.05</v>
      </c>
      <c r="I240">
        <v>0.05181301554938744</v>
      </c>
      <c r="J240" t="s">
        <v>777</v>
      </c>
      <c r="K240" t="s">
        <v>367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0.233167940827814</v>
      </c>
      <c r="R240" t="s">
        <v>780</v>
      </c>
      <c r="S240" t="s">
        <v>787</v>
      </c>
      <c r="T240">
        <v>180201.468</v>
      </c>
      <c r="U240" s="2">
        <v>44495</v>
      </c>
      <c r="V240" t="s">
        <v>799</v>
      </c>
    </row>
    <row r="241" spans="1:22">
      <c r="A241" s="1" t="s">
        <v>261</v>
      </c>
      <c r="B241">
        <f>HYPERLINK("https://www.suredividend.com/sure-analysis-CVX/","Chevron Corp.")</f>
        <v>0</v>
      </c>
      <c r="C241">
        <v>117.19</v>
      </c>
      <c r="D241">
        <v>122</v>
      </c>
      <c r="E241">
        <v>0.9605737704918033</v>
      </c>
      <c r="F241">
        <v>0.04573769092926018</v>
      </c>
      <c r="G241">
        <v>0.008077346246248451</v>
      </c>
      <c r="H241">
        <v>0</v>
      </c>
      <c r="I241">
        <v>0.04992748318224294</v>
      </c>
      <c r="J241" t="s">
        <v>777</v>
      </c>
      <c r="K241" t="s">
        <v>776</v>
      </c>
      <c r="L241">
        <v>8.699999999999999</v>
      </c>
      <c r="M241">
        <v>5.36</v>
      </c>
      <c r="N241">
        <v>0.6160919540229886</v>
      </c>
      <c r="O241">
        <v>34</v>
      </c>
      <c r="P241">
        <v>0.008799010229586735</v>
      </c>
      <c r="Q241">
        <v>0.27183990814188</v>
      </c>
      <c r="R241" t="s">
        <v>780</v>
      </c>
      <c r="S241" t="s">
        <v>793</v>
      </c>
      <c r="T241">
        <v>225905.512848</v>
      </c>
      <c r="U241" s="2">
        <v>44501</v>
      </c>
      <c r="V241" t="s">
        <v>804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533.98</v>
      </c>
      <c r="D242">
        <v>370</v>
      </c>
      <c r="E242">
        <v>1.443189189189189</v>
      </c>
      <c r="F242">
        <v>0.007041462227049702</v>
      </c>
      <c r="G242">
        <v>-0.0707440584332869</v>
      </c>
      <c r="H242">
        <v>0.12</v>
      </c>
      <c r="I242">
        <v>0.04986224705018771</v>
      </c>
      <c r="J242" t="s">
        <v>777</v>
      </c>
      <c r="K242" t="s">
        <v>515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0.405742118795976</v>
      </c>
      <c r="R242" t="s">
        <v>780</v>
      </c>
      <c r="S242" t="s">
        <v>791</v>
      </c>
      <c r="T242">
        <v>19429.811182</v>
      </c>
      <c r="U242" s="2">
        <v>44486</v>
      </c>
      <c r="V242" t="s">
        <v>804</v>
      </c>
    </row>
    <row r="243" spans="1:22">
      <c r="A243" s="1" t="s">
        <v>263</v>
      </c>
      <c r="B243">
        <f>HYPERLINK("https://www.suredividend.com/sure-analysis-SIEGY/","Siemens AG")</f>
        <v>0</v>
      </c>
      <c r="C243">
        <v>84.92</v>
      </c>
      <c r="D243">
        <v>74</v>
      </c>
      <c r="E243">
        <v>1.147567567567568</v>
      </c>
      <c r="F243">
        <v>0.0248469147432878</v>
      </c>
      <c r="G243">
        <v>-0.02715344160782984</v>
      </c>
      <c r="H243">
        <v>0.05</v>
      </c>
      <c r="I243">
        <v>0.04739215774346173</v>
      </c>
      <c r="J243" t="s">
        <v>777</v>
      </c>
      <c r="K243" t="s">
        <v>367</v>
      </c>
      <c r="L243">
        <v>4.6</v>
      </c>
      <c r="M243">
        <v>2.11</v>
      </c>
      <c r="N243">
        <v>0.4586956521739131</v>
      </c>
      <c r="O243">
        <v>0</v>
      </c>
      <c r="P243">
        <v>0.0597253677135221</v>
      </c>
      <c r="Q243">
        <v>0.269167538484531</v>
      </c>
      <c r="R243" t="s">
        <v>780</v>
      </c>
      <c r="S243" t="s">
        <v>787</v>
      </c>
      <c r="T243">
        <v>144364</v>
      </c>
      <c r="U243" s="2">
        <v>44513</v>
      </c>
      <c r="V243" t="s">
        <v>800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80.73999999999999</v>
      </c>
      <c r="D244">
        <v>65</v>
      </c>
      <c r="E244">
        <v>1.242153846153846</v>
      </c>
      <c r="F244">
        <v>0.01189001733960862</v>
      </c>
      <c r="G244">
        <v>-0.04244236746900976</v>
      </c>
      <c r="H244">
        <v>0.08</v>
      </c>
      <c r="I244">
        <v>0.04672662572281694</v>
      </c>
      <c r="J244" t="s">
        <v>777</v>
      </c>
      <c r="K244" t="s">
        <v>515</v>
      </c>
      <c r="L244">
        <v>4.05</v>
      </c>
      <c r="M244">
        <v>0.96</v>
      </c>
      <c r="N244">
        <v>0.237037037037037</v>
      </c>
      <c r="O244">
        <v>2</v>
      </c>
      <c r="P244">
        <v>0.07214502590085092</v>
      </c>
      <c r="Q244">
        <v>0.038320374690394</v>
      </c>
      <c r="R244" t="s">
        <v>780</v>
      </c>
      <c r="S244" t="s">
        <v>786</v>
      </c>
      <c r="T244">
        <v>42408.825003</v>
      </c>
      <c r="U244" s="2">
        <v>44504</v>
      </c>
      <c r="V244" t="s">
        <v>804</v>
      </c>
    </row>
    <row r="245" spans="1:22">
      <c r="A245" s="1" t="s">
        <v>265</v>
      </c>
      <c r="B245">
        <f>HYPERLINK("https://www.suredividend.com/sure-analysis-SPTN/","SpartanNash Co")</f>
        <v>0</v>
      </c>
      <c r="C245">
        <v>25.01</v>
      </c>
      <c r="D245">
        <v>21</v>
      </c>
      <c r="E245">
        <v>1.190952380952381</v>
      </c>
      <c r="F245">
        <v>0.03198720511795282</v>
      </c>
      <c r="G245">
        <v>-0.03434694097981816</v>
      </c>
      <c r="H245">
        <v>0.05</v>
      </c>
      <c r="I245">
        <v>0.04588239072586919</v>
      </c>
      <c r="J245" t="s">
        <v>777</v>
      </c>
      <c r="K245" t="s">
        <v>777</v>
      </c>
      <c r="L245">
        <v>1.78</v>
      </c>
      <c r="M245">
        <v>0.8</v>
      </c>
      <c r="N245">
        <v>0.4494382022471911</v>
      </c>
      <c r="O245">
        <v>10</v>
      </c>
      <c r="P245">
        <v>0.03928904495613805</v>
      </c>
      <c r="Q245">
        <v>0.335583336448448</v>
      </c>
      <c r="R245" t="s">
        <v>780</v>
      </c>
      <c r="S245" t="s">
        <v>792</v>
      </c>
      <c r="T245">
        <v>898.968394</v>
      </c>
      <c r="U245" s="2">
        <v>44513</v>
      </c>
      <c r="V245" t="s">
        <v>801</v>
      </c>
    </row>
    <row r="246" spans="1:22">
      <c r="A246" s="1" t="s">
        <v>266</v>
      </c>
      <c r="B246">
        <f>HYPERLINK("https://www.suredividend.com/sure-analysis-ARTNA/","Artesian Resources Corp.")</f>
        <v>0</v>
      </c>
      <c r="C246">
        <v>44.69</v>
      </c>
      <c r="D246">
        <v>44.6</v>
      </c>
      <c r="E246">
        <v>1.002017937219731</v>
      </c>
      <c r="F246">
        <v>0.0239427164913851</v>
      </c>
      <c r="G246">
        <v>-0.0004030995174181262</v>
      </c>
      <c r="H246">
        <v>0.023</v>
      </c>
      <c r="I246">
        <v>0.04558988108972906</v>
      </c>
      <c r="J246" t="s">
        <v>777</v>
      </c>
      <c r="K246" t="s">
        <v>777</v>
      </c>
      <c r="L246">
        <v>2.23</v>
      </c>
      <c r="M246">
        <v>1.07</v>
      </c>
      <c r="N246">
        <v>0.4798206278026906</v>
      </c>
      <c r="O246">
        <v>24</v>
      </c>
      <c r="P246">
        <v>0.03158554278749115</v>
      </c>
      <c r="Q246">
        <v>0.202404270431993</v>
      </c>
      <c r="R246" t="s">
        <v>780</v>
      </c>
      <c r="S246" t="s">
        <v>789</v>
      </c>
      <c r="T246">
        <v>380.974966</v>
      </c>
      <c r="U246" s="2">
        <v>44509</v>
      </c>
      <c r="V246" t="s">
        <v>803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132.3</v>
      </c>
      <c r="D247">
        <v>112</v>
      </c>
      <c r="E247">
        <v>1.18125</v>
      </c>
      <c r="F247">
        <v>0.02993197278911564</v>
      </c>
      <c r="G247">
        <v>-0.03276581882233354</v>
      </c>
      <c r="H247">
        <v>0.05</v>
      </c>
      <c r="I247">
        <v>0.04548899270050843</v>
      </c>
      <c r="J247" t="s">
        <v>777</v>
      </c>
      <c r="K247" t="s">
        <v>777</v>
      </c>
      <c r="L247">
        <v>7</v>
      </c>
      <c r="M247">
        <v>3.96</v>
      </c>
      <c r="N247">
        <v>0.5657142857142857</v>
      </c>
      <c r="O247">
        <v>24</v>
      </c>
      <c r="P247">
        <v>0.04008868188296377</v>
      </c>
      <c r="Q247">
        <v>0.157159387991257</v>
      </c>
      <c r="R247" t="s">
        <v>780</v>
      </c>
      <c r="S247" t="s">
        <v>792</v>
      </c>
      <c r="T247">
        <v>14336.453477</v>
      </c>
      <c r="U247" s="2">
        <v>44525</v>
      </c>
      <c r="V247" t="s">
        <v>799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57.82</v>
      </c>
      <c r="D248">
        <v>57</v>
      </c>
      <c r="E248">
        <v>1.014385964912281</v>
      </c>
      <c r="F248">
        <v>0.02905569007263922</v>
      </c>
      <c r="G248">
        <v>-0.002852617283800374</v>
      </c>
      <c r="H248">
        <v>0.02</v>
      </c>
      <c r="I248">
        <v>0.0443663591439929</v>
      </c>
      <c r="J248" t="s">
        <v>777</v>
      </c>
      <c r="K248" t="s">
        <v>777</v>
      </c>
      <c r="L248">
        <v>3.15</v>
      </c>
      <c r="M248">
        <v>1.68</v>
      </c>
      <c r="N248">
        <v>0.5333333333333333</v>
      </c>
      <c r="O248">
        <v>29</v>
      </c>
      <c r="P248">
        <v>0.01946539682289394</v>
      </c>
      <c r="Q248">
        <v>-0.003534677234507</v>
      </c>
      <c r="R248" t="s">
        <v>780</v>
      </c>
      <c r="S248" t="s">
        <v>790</v>
      </c>
      <c r="T248">
        <v>1553.398365</v>
      </c>
      <c r="U248" s="2">
        <v>44490</v>
      </c>
      <c r="V248" t="s">
        <v>796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106.4</v>
      </c>
      <c r="D249">
        <v>90</v>
      </c>
      <c r="E249">
        <v>1.182222222222222</v>
      </c>
      <c r="F249">
        <v>0.03796992481203007</v>
      </c>
      <c r="G249">
        <v>-0.03292495574789245</v>
      </c>
      <c r="H249">
        <v>0.04</v>
      </c>
      <c r="I249">
        <v>0.04289334990271598</v>
      </c>
      <c r="J249" t="s">
        <v>777</v>
      </c>
      <c r="K249" t="s">
        <v>777</v>
      </c>
      <c r="L249">
        <v>6</v>
      </c>
      <c r="M249">
        <v>4.04</v>
      </c>
      <c r="N249">
        <v>0.6733333333333333</v>
      </c>
      <c r="O249">
        <v>28</v>
      </c>
      <c r="P249">
        <v>0.02496011802205444</v>
      </c>
      <c r="Q249">
        <v>-0.001402166506803</v>
      </c>
      <c r="R249" t="s">
        <v>780</v>
      </c>
      <c r="S249" t="s">
        <v>789</v>
      </c>
      <c r="T249">
        <v>21384.410107</v>
      </c>
      <c r="U249" s="2">
        <v>44510</v>
      </c>
      <c r="V249" t="s">
        <v>800</v>
      </c>
    </row>
    <row r="250" spans="1:22">
      <c r="A250" s="1" t="s">
        <v>270</v>
      </c>
      <c r="B250">
        <f>HYPERLINK("https://www.suredividend.com/sure-analysis-CONE/","CyrusOne Inc")</f>
        <v>0</v>
      </c>
      <c r="C250">
        <v>89.39</v>
      </c>
      <c r="D250">
        <v>73</v>
      </c>
      <c r="E250">
        <v>1.224520547945205</v>
      </c>
      <c r="F250">
        <v>0.02326882201588545</v>
      </c>
      <c r="G250">
        <v>-0.03970031906160409</v>
      </c>
      <c r="H250">
        <v>0.06</v>
      </c>
      <c r="I250">
        <v>0.0409108114293899</v>
      </c>
      <c r="J250" t="s">
        <v>777</v>
      </c>
      <c r="K250" t="s">
        <v>367</v>
      </c>
      <c r="L250">
        <v>4.06</v>
      </c>
      <c r="M250">
        <v>2.08</v>
      </c>
      <c r="N250">
        <v>0.5123152709359606</v>
      </c>
      <c r="O250">
        <v>8</v>
      </c>
      <c r="P250">
        <v>0.03496752704080697</v>
      </c>
      <c r="Q250">
        <v>0.3405175516471911</v>
      </c>
      <c r="R250" t="s">
        <v>782</v>
      </c>
      <c r="S250" t="s">
        <v>794</v>
      </c>
      <c r="T250">
        <v>11344.687905</v>
      </c>
      <c r="U250" s="2">
        <v>44500</v>
      </c>
      <c r="V250" t="s">
        <v>795</v>
      </c>
    </row>
    <row r="251" spans="1:22">
      <c r="A251" s="1" t="s">
        <v>271</v>
      </c>
      <c r="B251">
        <f>HYPERLINK("https://www.suredividend.com/sure-analysis-AAP/","Advance Auto Parts Inc")</f>
        <v>0</v>
      </c>
      <c r="C251">
        <v>233.37</v>
      </c>
      <c r="D251">
        <v>204</v>
      </c>
      <c r="E251">
        <v>1.143970588235294</v>
      </c>
      <c r="F251">
        <v>0.01714016368856322</v>
      </c>
      <c r="G251">
        <v>-0.02654242657947514</v>
      </c>
      <c r="H251">
        <v>0.05</v>
      </c>
      <c r="I251">
        <v>0.04050140459277607</v>
      </c>
      <c r="J251" t="s">
        <v>777</v>
      </c>
      <c r="K251" t="s">
        <v>367</v>
      </c>
      <c r="L251">
        <v>12</v>
      </c>
      <c r="M251">
        <v>4</v>
      </c>
      <c r="N251">
        <v>0.3333333333333333</v>
      </c>
      <c r="O251">
        <v>2</v>
      </c>
      <c r="P251">
        <v>0.06498652656427617</v>
      </c>
      <c r="Q251">
        <v>0.577753919877116</v>
      </c>
      <c r="R251" t="s">
        <v>780</v>
      </c>
      <c r="S251" t="s">
        <v>791</v>
      </c>
      <c r="T251">
        <v>14551.827656</v>
      </c>
      <c r="U251" s="2">
        <v>44517</v>
      </c>
      <c r="V251" t="s">
        <v>799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138.39</v>
      </c>
      <c r="D252">
        <v>107</v>
      </c>
      <c r="E252">
        <v>1.293364485981308</v>
      </c>
      <c r="F252">
        <v>0.01329575836404365</v>
      </c>
      <c r="G252">
        <v>-0.05014827959602963</v>
      </c>
      <c r="H252">
        <v>0.08</v>
      </c>
      <c r="I252">
        <v>0.04000013981106365</v>
      </c>
      <c r="J252" t="s">
        <v>777</v>
      </c>
      <c r="K252" t="s">
        <v>515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0.438631288749173</v>
      </c>
      <c r="R252" t="s">
        <v>780</v>
      </c>
      <c r="S252" t="s">
        <v>787</v>
      </c>
      <c r="T252">
        <v>43882.74868</v>
      </c>
      <c r="U252" s="2">
        <v>44502</v>
      </c>
      <c r="V252" t="s">
        <v>795</v>
      </c>
    </row>
    <row r="253" spans="1:22">
      <c r="A253" s="1" t="s">
        <v>273</v>
      </c>
      <c r="B253">
        <f>HYPERLINK("https://www.suredividend.com/sure-analysis-WEYS/","Weyco Group, Inc")</f>
        <v>0</v>
      </c>
      <c r="C253">
        <v>24.64</v>
      </c>
      <c r="D253">
        <v>23</v>
      </c>
      <c r="E253">
        <v>1.071304347826087</v>
      </c>
      <c r="F253">
        <v>0.04058441558441558</v>
      </c>
      <c r="G253">
        <v>-0.01368093811355264</v>
      </c>
      <c r="H253">
        <v>0.01</v>
      </c>
      <c r="I253">
        <v>0.0388694860216332</v>
      </c>
      <c r="J253" t="s">
        <v>777</v>
      </c>
      <c r="K253" t="s">
        <v>776</v>
      </c>
      <c r="L253">
        <v>1.5</v>
      </c>
      <c r="M253">
        <v>1</v>
      </c>
      <c r="N253">
        <v>0.6666666666666666</v>
      </c>
      <c r="O253">
        <v>39</v>
      </c>
      <c r="P253">
        <v>0.04057159395880827</v>
      </c>
      <c r="Q253">
        <v>0.39263328642239</v>
      </c>
      <c r="R253" t="s">
        <v>780</v>
      </c>
      <c r="S253" t="s">
        <v>791</v>
      </c>
      <c r="T253">
        <v>240.249585</v>
      </c>
      <c r="U253" s="2">
        <v>44509</v>
      </c>
      <c r="V253" t="s">
        <v>802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87.19</v>
      </c>
      <c r="D254">
        <v>66</v>
      </c>
      <c r="E254">
        <v>1.321060606060606</v>
      </c>
      <c r="F254">
        <v>0.02339717857552472</v>
      </c>
      <c r="G254">
        <v>-0.05416484576745606</v>
      </c>
      <c r="H254">
        <v>0.07000000000000001</v>
      </c>
      <c r="I254">
        <v>0.03810653772677197</v>
      </c>
      <c r="J254" t="s">
        <v>777</v>
      </c>
      <c r="K254" t="s">
        <v>777</v>
      </c>
      <c r="L254">
        <v>4.15</v>
      </c>
      <c r="M254">
        <v>2.04</v>
      </c>
      <c r="N254">
        <v>0.4915662650602409</v>
      </c>
      <c r="O254">
        <v>27</v>
      </c>
      <c r="P254">
        <v>0.06990981876632385</v>
      </c>
      <c r="Q254">
        <v>0.200985692581272</v>
      </c>
      <c r="R254" t="s">
        <v>780</v>
      </c>
      <c r="S254" t="s">
        <v>787</v>
      </c>
      <c r="T254">
        <v>130504.051325</v>
      </c>
      <c r="U254" s="2">
        <v>44497</v>
      </c>
      <c r="V254" t="s">
        <v>799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87.69</v>
      </c>
      <c r="D255">
        <v>72.8</v>
      </c>
      <c r="E255">
        <v>1.204532967032967</v>
      </c>
      <c r="F255">
        <v>0.03124643630972745</v>
      </c>
      <c r="G255">
        <v>-0.03653429169402533</v>
      </c>
      <c r="H255">
        <v>0.039</v>
      </c>
      <c r="I255">
        <v>0.03754916532593544</v>
      </c>
      <c r="J255" t="s">
        <v>777</v>
      </c>
      <c r="K255" t="s">
        <v>777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0.430767122214825</v>
      </c>
      <c r="R255" t="s">
        <v>781</v>
      </c>
      <c r="S255" t="s">
        <v>789</v>
      </c>
      <c r="T255">
        <v>6718.755449</v>
      </c>
      <c r="U255" s="2">
        <v>44494</v>
      </c>
      <c r="V255" t="s">
        <v>803</v>
      </c>
    </row>
    <row r="256" spans="1:22">
      <c r="A256" s="1" t="s">
        <v>276</v>
      </c>
      <c r="B256">
        <f>HYPERLINK("https://www.suredividend.com/sure-analysis-LRLCF/","L'Oréal SA")</f>
        <v>0</v>
      </c>
      <c r="C256">
        <v>462.77</v>
      </c>
      <c r="D256">
        <v>400</v>
      </c>
      <c r="E256">
        <v>1.156925</v>
      </c>
      <c r="F256">
        <v>0.01123668344966182</v>
      </c>
      <c r="G256">
        <v>-0.02873227195994177</v>
      </c>
      <c r="H256">
        <v>0.055</v>
      </c>
      <c r="I256">
        <v>0.03625402152984858</v>
      </c>
      <c r="J256" t="s">
        <v>777</v>
      </c>
      <c r="K256" t="s">
        <v>515</v>
      </c>
      <c r="L256">
        <v>10</v>
      </c>
      <c r="M256">
        <v>5.2</v>
      </c>
      <c r="N256">
        <v>0.52</v>
      </c>
      <c r="O256">
        <v>21</v>
      </c>
      <c r="P256">
        <v>0.05010553388446692</v>
      </c>
      <c r="Q256">
        <v>0.317344644026303</v>
      </c>
      <c r="R256" t="s">
        <v>780</v>
      </c>
      <c r="S256" t="s">
        <v>792</v>
      </c>
      <c r="T256">
        <v>258074.036186</v>
      </c>
      <c r="U256" s="2">
        <v>44505</v>
      </c>
      <c r="V256" t="s">
        <v>795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69</v>
      </c>
      <c r="D257">
        <v>72</v>
      </c>
      <c r="E257">
        <v>0.9583333333333334</v>
      </c>
      <c r="F257">
        <v>0.02260869565217391</v>
      </c>
      <c r="G257">
        <v>0.008548252303932413</v>
      </c>
      <c r="H257">
        <v>0.005</v>
      </c>
      <c r="I257">
        <v>0.03608817430205935</v>
      </c>
      <c r="J257" t="s">
        <v>777</v>
      </c>
      <c r="K257" t="s">
        <v>367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0.6989173710607891</v>
      </c>
      <c r="R257" t="s">
        <v>780</v>
      </c>
      <c r="S257" t="s">
        <v>789</v>
      </c>
      <c r="T257">
        <v>2866.258896</v>
      </c>
      <c r="U257" s="2">
        <v>44506</v>
      </c>
      <c r="V257" t="s">
        <v>803</v>
      </c>
    </row>
    <row r="258" spans="1:22">
      <c r="A258" s="1" t="s">
        <v>278</v>
      </c>
      <c r="B258">
        <f>HYPERLINK("https://www.suredividend.com/sure-analysis-ED/","Consolidated Edison, Inc.")</f>
        <v>0</v>
      </c>
      <c r="C258">
        <v>79.22</v>
      </c>
      <c r="D258">
        <v>65</v>
      </c>
      <c r="E258">
        <v>1.218769230769231</v>
      </c>
      <c r="F258">
        <v>0.03913153244130271</v>
      </c>
      <c r="G258">
        <v>-0.03879570279181344</v>
      </c>
      <c r="H258">
        <v>0.035</v>
      </c>
      <c r="I258">
        <v>0.03568403988383384</v>
      </c>
      <c r="J258" t="s">
        <v>777</v>
      </c>
      <c r="K258" t="s">
        <v>776</v>
      </c>
      <c r="L258">
        <v>4.25</v>
      </c>
      <c r="M258">
        <v>3.1</v>
      </c>
      <c r="N258">
        <v>0.7294117647058824</v>
      </c>
      <c r="O258">
        <v>47</v>
      </c>
      <c r="P258">
        <v>0.03489723107282572</v>
      </c>
      <c r="Q258">
        <v>0.041220338626619</v>
      </c>
      <c r="R258" t="s">
        <v>780</v>
      </c>
      <c r="S258" t="s">
        <v>789</v>
      </c>
      <c r="T258">
        <v>27994.90683</v>
      </c>
      <c r="U258" s="2">
        <v>44507</v>
      </c>
      <c r="V258" t="s">
        <v>796</v>
      </c>
    </row>
    <row r="259" spans="1:22">
      <c r="A259" s="1" t="s">
        <v>279</v>
      </c>
      <c r="B259">
        <f>HYPERLINK("https://www.suredividend.com/sure-analysis-DE/","Deere &amp; Co.")</f>
        <v>0</v>
      </c>
      <c r="C259">
        <v>367.86</v>
      </c>
      <c r="D259">
        <v>370</v>
      </c>
      <c r="E259">
        <v>0.9942162162162163</v>
      </c>
      <c r="F259">
        <v>0.01141738704942098</v>
      </c>
      <c r="G259">
        <v>0.001160788120747824</v>
      </c>
      <c r="H259">
        <v>0.02</v>
      </c>
      <c r="I259">
        <v>0.03378874791683351</v>
      </c>
      <c r="J259" t="s">
        <v>777</v>
      </c>
      <c r="K259" t="s">
        <v>367</v>
      </c>
      <c r="L259">
        <v>21.75</v>
      </c>
      <c r="M259">
        <v>4.2</v>
      </c>
      <c r="N259">
        <v>0.1931034482758621</v>
      </c>
      <c r="O259">
        <v>1</v>
      </c>
      <c r="P259">
        <v>0.06997394153840619</v>
      </c>
      <c r="Q259">
        <v>0.422041684771095</v>
      </c>
      <c r="R259" t="s">
        <v>780</v>
      </c>
      <c r="S259" t="s">
        <v>787</v>
      </c>
      <c r="T259">
        <v>114059.215297</v>
      </c>
      <c r="U259" s="2">
        <v>44525</v>
      </c>
      <c r="V259" t="s">
        <v>799</v>
      </c>
    </row>
    <row r="260" spans="1:22">
      <c r="A260" s="1" t="s">
        <v>280</v>
      </c>
      <c r="B260">
        <f>HYPERLINK("https://www.suredividend.com/sure-analysis-AMT/","American Tower Corp.")</f>
        <v>0</v>
      </c>
      <c r="C260">
        <v>265.48</v>
      </c>
      <c r="D260">
        <v>209</v>
      </c>
      <c r="E260">
        <v>1.270239234449761</v>
      </c>
      <c r="F260">
        <v>0.01973783335844508</v>
      </c>
      <c r="G260">
        <v>-0.04671470146949142</v>
      </c>
      <c r="H260">
        <v>0.06</v>
      </c>
      <c r="I260">
        <v>0.03215251456273638</v>
      </c>
      <c r="J260" t="s">
        <v>777</v>
      </c>
      <c r="K260" t="s">
        <v>367</v>
      </c>
      <c r="L260">
        <v>9.5</v>
      </c>
      <c r="M260">
        <v>5.24</v>
      </c>
      <c r="N260">
        <v>0.5515789473684211</v>
      </c>
      <c r="O260">
        <v>9</v>
      </c>
      <c r="P260">
        <v>0.0599303946492904</v>
      </c>
      <c r="Q260">
        <v>0.187812439458388</v>
      </c>
      <c r="R260" t="s">
        <v>782</v>
      </c>
      <c r="S260" t="s">
        <v>794</v>
      </c>
      <c r="T260">
        <v>120903.22828</v>
      </c>
      <c r="U260" s="2">
        <v>44502</v>
      </c>
      <c r="V260" t="s">
        <v>799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354.46</v>
      </c>
      <c r="D261">
        <v>244</v>
      </c>
      <c r="E261">
        <v>1.452704918032787</v>
      </c>
      <c r="F261">
        <v>0.006545167296733058</v>
      </c>
      <c r="G261">
        <v>-0.07196465150130893</v>
      </c>
      <c r="H261">
        <v>0.1</v>
      </c>
      <c r="I261">
        <v>0.03137922253874836</v>
      </c>
      <c r="J261" t="s">
        <v>777</v>
      </c>
      <c r="K261" t="s">
        <v>515</v>
      </c>
      <c r="L261">
        <v>10.6</v>
      </c>
      <c r="M261">
        <v>2.32</v>
      </c>
      <c r="N261">
        <v>0.2188679245283019</v>
      </c>
      <c r="O261">
        <v>2</v>
      </c>
      <c r="P261">
        <v>0.1998793126786198</v>
      </c>
      <c r="Q261">
        <v>0.276217160703053</v>
      </c>
      <c r="R261" t="s">
        <v>780</v>
      </c>
      <c r="S261" t="s">
        <v>786</v>
      </c>
      <c r="T261">
        <v>38832.316596</v>
      </c>
      <c r="U261" s="2">
        <v>44502</v>
      </c>
      <c r="V261" t="s">
        <v>795</v>
      </c>
    </row>
    <row r="262" spans="1:22">
      <c r="A262" s="1" t="s">
        <v>282</v>
      </c>
      <c r="B262">
        <f>HYPERLINK("https://www.suredividend.com/sure-analysis-CLX/","Clorox Co.")</f>
        <v>0</v>
      </c>
      <c r="C262">
        <v>168.07</v>
      </c>
      <c r="D262">
        <v>127</v>
      </c>
      <c r="E262">
        <v>1.323385826771653</v>
      </c>
      <c r="F262">
        <v>0.02760754447551615</v>
      </c>
      <c r="G262">
        <v>-0.05449745062822675</v>
      </c>
      <c r="H262">
        <v>0.06</v>
      </c>
      <c r="I262">
        <v>0.03133499477733048</v>
      </c>
      <c r="J262" t="s">
        <v>777</v>
      </c>
      <c r="K262" t="s">
        <v>777</v>
      </c>
      <c r="L262">
        <v>5.5</v>
      </c>
      <c r="M262">
        <v>4.64</v>
      </c>
      <c r="N262">
        <v>0.8436363636363636</v>
      </c>
      <c r="O262">
        <v>44</v>
      </c>
      <c r="P262">
        <v>0.04017423812999366</v>
      </c>
      <c r="Q262">
        <v>-0.136750582707481</v>
      </c>
      <c r="R262" t="s">
        <v>780</v>
      </c>
      <c r="S262" t="s">
        <v>792</v>
      </c>
      <c r="T262">
        <v>20649.545082</v>
      </c>
      <c r="U262" s="2">
        <v>44519</v>
      </c>
      <c r="V262" t="s">
        <v>798</v>
      </c>
    </row>
    <row r="263" spans="1:22">
      <c r="A263" s="1" t="s">
        <v>283</v>
      </c>
      <c r="B263">
        <f>HYPERLINK("https://www.suredividend.com/sure-analysis-NSC/","Norfolk Southern Corp.")</f>
        <v>0</v>
      </c>
      <c r="C263">
        <v>277.78</v>
      </c>
      <c r="D263">
        <v>216</v>
      </c>
      <c r="E263">
        <v>1.286018518518518</v>
      </c>
      <c r="F263">
        <v>0.01569587443300454</v>
      </c>
      <c r="G263">
        <v>-0.04906560601349352</v>
      </c>
      <c r="H263">
        <v>0.065</v>
      </c>
      <c r="I263">
        <v>0.0309898695426214</v>
      </c>
      <c r="J263" t="s">
        <v>777</v>
      </c>
      <c r="K263" t="s">
        <v>367</v>
      </c>
      <c r="L263">
        <v>12</v>
      </c>
      <c r="M263">
        <v>4.36</v>
      </c>
      <c r="N263">
        <v>0.3633333333333333</v>
      </c>
      <c r="O263">
        <v>5</v>
      </c>
      <c r="P263">
        <v>0.0801257210213755</v>
      </c>
      <c r="Q263">
        <v>0.163367290356841</v>
      </c>
      <c r="R263" t="s">
        <v>780</v>
      </c>
      <c r="S263" t="s">
        <v>787</v>
      </c>
      <c r="T263">
        <v>70551.951078</v>
      </c>
      <c r="U263" s="2">
        <v>44503</v>
      </c>
      <c r="V263" t="s">
        <v>800</v>
      </c>
    </row>
    <row r="264" spans="1:22">
      <c r="A264" s="1" t="s">
        <v>284</v>
      </c>
      <c r="B264">
        <f>HYPERLINK("https://www.suredividend.com/sure-analysis-PRGO/","Perrigo Company plc")</f>
        <v>0</v>
      </c>
      <c r="C264">
        <v>38.83</v>
      </c>
      <c r="D264">
        <v>31</v>
      </c>
      <c r="E264">
        <v>1.25258064516129</v>
      </c>
      <c r="F264">
        <v>0.02472315220190574</v>
      </c>
      <c r="G264">
        <v>-0.04404189283850934</v>
      </c>
      <c r="H264">
        <v>0.05</v>
      </c>
      <c r="I264">
        <v>0.03060965579879205</v>
      </c>
      <c r="J264" t="s">
        <v>777</v>
      </c>
      <c r="K264" t="s">
        <v>777</v>
      </c>
      <c r="L264">
        <v>2.05</v>
      </c>
      <c r="M264">
        <v>0.96</v>
      </c>
      <c r="N264">
        <v>0.4682926829268293</v>
      </c>
      <c r="O264">
        <v>19</v>
      </c>
      <c r="P264">
        <v>0.05081623913789235</v>
      </c>
      <c r="Q264">
        <v>-0.184238556125353</v>
      </c>
      <c r="R264" t="s">
        <v>780</v>
      </c>
      <c r="S264" t="s">
        <v>785</v>
      </c>
      <c r="T264">
        <v>5194.439799</v>
      </c>
      <c r="U264" s="2">
        <v>44510</v>
      </c>
      <c r="V264" t="s">
        <v>796</v>
      </c>
    </row>
    <row r="265" spans="1:22">
      <c r="A265" s="1" t="s">
        <v>285</v>
      </c>
      <c r="B265">
        <f>HYPERLINK("https://www.suredividend.com/sure-analysis-PEG/","Public Service Enterprise Group Inc.")</f>
        <v>0</v>
      </c>
      <c r="C265">
        <v>64.59</v>
      </c>
      <c r="D265">
        <v>54</v>
      </c>
      <c r="E265">
        <v>1.196111111111111</v>
      </c>
      <c r="F265">
        <v>0.03158383650719926</v>
      </c>
      <c r="G265">
        <v>-0.03518133835575066</v>
      </c>
      <c r="H265">
        <v>0.03</v>
      </c>
      <c r="I265">
        <v>0.02781440056125284</v>
      </c>
      <c r="J265" t="s">
        <v>777</v>
      </c>
      <c r="K265" t="s">
        <v>777</v>
      </c>
      <c r="L265">
        <v>3.63</v>
      </c>
      <c r="M265">
        <v>2.04</v>
      </c>
      <c r="N265">
        <v>0.5619834710743802</v>
      </c>
      <c r="O265">
        <v>9</v>
      </c>
      <c r="P265">
        <v>0.0398346919425614</v>
      </c>
      <c r="Q265">
        <v>0.110851222641483</v>
      </c>
      <c r="R265" t="s">
        <v>780</v>
      </c>
      <c r="S265" t="s">
        <v>789</v>
      </c>
      <c r="T265">
        <v>32655.22308</v>
      </c>
      <c r="U265" s="2">
        <v>44513</v>
      </c>
      <c r="V265" t="s">
        <v>797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163.74</v>
      </c>
      <c r="D266">
        <v>124</v>
      </c>
      <c r="E266">
        <v>1.320483870967742</v>
      </c>
      <c r="F266">
        <v>0.02626114571882252</v>
      </c>
      <c r="G266">
        <v>-0.05408223952560998</v>
      </c>
      <c r="H266">
        <v>0.055</v>
      </c>
      <c r="I266">
        <v>0.02734083924004582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0.17047854944725</v>
      </c>
      <c r="R266" t="s">
        <v>780</v>
      </c>
      <c r="S266" t="s">
        <v>792</v>
      </c>
      <c r="T266">
        <v>226395.592887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HYPERLINK("https://www.suredividend.com/sure-analysis-MTB/","M &amp; T Bank Corp")</f>
        <v>0</v>
      </c>
      <c r="C267">
        <v>161.47</v>
      </c>
      <c r="D267">
        <v>120</v>
      </c>
      <c r="E267">
        <v>1.345583333333333</v>
      </c>
      <c r="F267">
        <v>0.02972688425094445</v>
      </c>
      <c r="G267">
        <v>-0.0576377505980773</v>
      </c>
      <c r="H267">
        <v>0.057</v>
      </c>
      <c r="I267">
        <v>0.02725501863325652</v>
      </c>
      <c r="J267" t="s">
        <v>777</v>
      </c>
      <c r="K267" t="s">
        <v>777</v>
      </c>
      <c r="L267">
        <v>12.02</v>
      </c>
      <c r="M267">
        <v>4.8</v>
      </c>
      <c r="N267">
        <v>0.3993344425956739</v>
      </c>
      <c r="O267">
        <v>5</v>
      </c>
      <c r="P267">
        <v>0.03167836877916708</v>
      </c>
      <c r="Q267">
        <v>0.346777476028745</v>
      </c>
      <c r="R267" t="s">
        <v>780</v>
      </c>
      <c r="S267" t="s">
        <v>790</v>
      </c>
      <c r="T267">
        <v>20778.697033</v>
      </c>
      <c r="U267" s="2">
        <v>44490</v>
      </c>
      <c r="V267" t="s">
        <v>796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65.55</v>
      </c>
      <c r="D268">
        <v>53</v>
      </c>
      <c r="E268">
        <v>1.236792452830189</v>
      </c>
      <c r="F268">
        <v>0.02791762013729977</v>
      </c>
      <c r="G268">
        <v>-0.04161361657307538</v>
      </c>
      <c r="H268">
        <v>0.04</v>
      </c>
      <c r="I268">
        <v>0.02675525998845085</v>
      </c>
      <c r="J268" t="s">
        <v>777</v>
      </c>
      <c r="K268" t="s">
        <v>777</v>
      </c>
      <c r="L268">
        <v>2.96</v>
      </c>
      <c r="M268">
        <v>1.83</v>
      </c>
      <c r="N268">
        <v>0.6182432432432433</v>
      </c>
      <c r="O268">
        <v>18</v>
      </c>
      <c r="P268">
        <v>0.04032911905890546</v>
      </c>
      <c r="Q268">
        <v>-0.011222735089148</v>
      </c>
      <c r="R268" t="s">
        <v>780</v>
      </c>
      <c r="S268" t="s">
        <v>789</v>
      </c>
      <c r="T268">
        <v>35310.183614</v>
      </c>
      <c r="U268" s="2">
        <v>44502</v>
      </c>
      <c r="V268" t="s">
        <v>799</v>
      </c>
    </row>
    <row r="269" spans="1:22">
      <c r="A269" s="1" t="s">
        <v>289</v>
      </c>
      <c r="B269">
        <f>HYPERLINK("https://www.suredividend.com/sure-analysis-RHHBY/","Roche Holding AG")</f>
        <v>0</v>
      </c>
      <c r="C269">
        <v>48.33</v>
      </c>
      <c r="D269">
        <v>42</v>
      </c>
      <c r="E269">
        <v>1.150714285714286</v>
      </c>
      <c r="F269">
        <v>0.02420856610800745</v>
      </c>
      <c r="G269">
        <v>-0.02768608954294827</v>
      </c>
      <c r="H269">
        <v>0.03</v>
      </c>
      <c r="I269">
        <v>0.02634360763365118</v>
      </c>
      <c r="J269" t="s">
        <v>777</v>
      </c>
      <c r="K269" t="s">
        <v>777</v>
      </c>
      <c r="L269">
        <v>2.3</v>
      </c>
      <c r="M269">
        <v>1.17</v>
      </c>
      <c r="N269">
        <v>0.5086956521739131</v>
      </c>
      <c r="O269">
        <v>34</v>
      </c>
      <c r="P269">
        <v>0.0275046295579735</v>
      </c>
      <c r="Q269">
        <v>0.215980596643158</v>
      </c>
      <c r="R269" t="s">
        <v>780</v>
      </c>
      <c r="S269" t="s">
        <v>785</v>
      </c>
      <c r="T269">
        <v>271638.842328</v>
      </c>
      <c r="U269" s="2">
        <v>44490</v>
      </c>
      <c r="V269" t="s">
        <v>806</v>
      </c>
    </row>
    <row r="270" spans="1:22">
      <c r="A270" s="1" t="s">
        <v>290</v>
      </c>
      <c r="B270">
        <f>HYPERLINK("https://www.suredividend.com/sure-analysis-GEF/","Greif Inc")</f>
        <v>0</v>
      </c>
      <c r="C270">
        <v>69.06999999999999</v>
      </c>
      <c r="D270">
        <v>62</v>
      </c>
      <c r="E270">
        <v>1.114032258064516</v>
      </c>
      <c r="F270">
        <v>0.02663964094396989</v>
      </c>
      <c r="G270">
        <v>-0.02136566960492514</v>
      </c>
      <c r="H270">
        <v>0.02</v>
      </c>
      <c r="I270">
        <v>0.02510471486194299</v>
      </c>
      <c r="J270" t="s">
        <v>777</v>
      </c>
      <c r="K270" t="s">
        <v>777</v>
      </c>
      <c r="L270">
        <v>4.4</v>
      </c>
      <c r="M270">
        <v>1.84</v>
      </c>
      <c r="N270">
        <v>0.4181818181818182</v>
      </c>
      <c r="O270">
        <v>1</v>
      </c>
      <c r="P270">
        <v>0.01884169405651681</v>
      </c>
      <c r="Q270">
        <v>0.398305513660151</v>
      </c>
      <c r="R270" t="s">
        <v>780</v>
      </c>
      <c r="S270" t="s">
        <v>791</v>
      </c>
      <c r="T270">
        <v>3373.092607</v>
      </c>
      <c r="U270" s="2">
        <v>44441</v>
      </c>
      <c r="V270" t="s">
        <v>799</v>
      </c>
    </row>
    <row r="271" spans="1:22">
      <c r="A271" s="1" t="s">
        <v>291</v>
      </c>
      <c r="B271">
        <f>HYPERLINK("https://www.suredividend.com/sure-analysis-SBSI/","Southside Bancshares Inc")</f>
        <v>0</v>
      </c>
      <c r="C271">
        <v>43.87</v>
      </c>
      <c r="D271">
        <v>36</v>
      </c>
      <c r="E271">
        <v>1.218611111111111</v>
      </c>
      <c r="F271">
        <v>0.03008889901983132</v>
      </c>
      <c r="G271">
        <v>-0.03877076006713176</v>
      </c>
      <c r="H271">
        <v>0.03</v>
      </c>
      <c r="I271">
        <v>0.02216173892735673</v>
      </c>
      <c r="J271" t="s">
        <v>777</v>
      </c>
      <c r="K271" t="s">
        <v>776</v>
      </c>
      <c r="L271">
        <v>3.01</v>
      </c>
      <c r="M271">
        <v>1.32</v>
      </c>
      <c r="N271">
        <v>0.4385382059800665</v>
      </c>
      <c r="O271">
        <v>27</v>
      </c>
      <c r="P271">
        <v>0.02996744995959233</v>
      </c>
      <c r="Q271">
        <v>0.438299351175195</v>
      </c>
      <c r="R271" t="s">
        <v>780</v>
      </c>
      <c r="S271" t="s">
        <v>790</v>
      </c>
      <c r="T271">
        <v>1415.950621</v>
      </c>
      <c r="U271" s="2">
        <v>44495</v>
      </c>
      <c r="V271" t="s">
        <v>796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212.21</v>
      </c>
      <c r="D272">
        <v>137</v>
      </c>
      <c r="E272">
        <v>1.548978102189781</v>
      </c>
      <c r="F272">
        <v>0.01847226803637906</v>
      </c>
      <c r="G272">
        <v>-0.08379861414518552</v>
      </c>
      <c r="H272">
        <v>0.09</v>
      </c>
      <c r="I272">
        <v>0.02178923507007191</v>
      </c>
      <c r="J272" t="s">
        <v>777</v>
      </c>
      <c r="K272" t="s">
        <v>367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0.038223107643789</v>
      </c>
      <c r="R272" t="s">
        <v>780</v>
      </c>
      <c r="S272" t="s">
        <v>787</v>
      </c>
      <c r="T272">
        <v>146090.239525</v>
      </c>
      <c r="U272" s="2">
        <v>44491</v>
      </c>
      <c r="V272" t="s">
        <v>796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166.42</v>
      </c>
      <c r="D273">
        <v>136</v>
      </c>
      <c r="E273">
        <v>1.223676470588235</v>
      </c>
      <c r="F273">
        <v>0.0115370748708088</v>
      </c>
      <c r="G273">
        <v>-0.03956787495881042</v>
      </c>
      <c r="H273">
        <v>0.05</v>
      </c>
      <c r="I273">
        <v>0.02107638631338804</v>
      </c>
      <c r="J273" t="s">
        <v>777</v>
      </c>
      <c r="K273" t="s">
        <v>515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0.4502440456946261</v>
      </c>
      <c r="R273" t="s">
        <v>780</v>
      </c>
      <c r="S273" t="s">
        <v>790</v>
      </c>
      <c r="T273">
        <v>34495.20476</v>
      </c>
      <c r="U273" s="2">
        <v>44518</v>
      </c>
      <c r="V273" t="s">
        <v>798</v>
      </c>
    </row>
    <row r="274" spans="1:22">
      <c r="A274" s="1" t="s">
        <v>294</v>
      </c>
      <c r="B274">
        <f>HYPERLINK("https://www.suredividend.com/sure-analysis-HSY/","Hershey Company")</f>
        <v>0</v>
      </c>
      <c r="C274">
        <v>180.97</v>
      </c>
      <c r="D274">
        <v>141</v>
      </c>
      <c r="E274">
        <v>1.283475177304965</v>
      </c>
      <c r="F274">
        <v>0.01989279991158756</v>
      </c>
      <c r="G274">
        <v>-0.04868902905908412</v>
      </c>
      <c r="H274">
        <v>0.05</v>
      </c>
      <c r="I274">
        <v>0.0210434504900876</v>
      </c>
      <c r="J274" t="s">
        <v>777</v>
      </c>
      <c r="K274" t="s">
        <v>367</v>
      </c>
      <c r="L274">
        <v>7.05</v>
      </c>
      <c r="M274">
        <v>3.6</v>
      </c>
      <c r="N274">
        <v>0.5106382978723405</v>
      </c>
      <c r="O274">
        <v>12</v>
      </c>
      <c r="P274">
        <v>0.04978904632428516</v>
      </c>
      <c r="Q274">
        <v>0.245799033760554</v>
      </c>
      <c r="R274" t="s">
        <v>780</v>
      </c>
      <c r="S274" t="s">
        <v>792</v>
      </c>
      <c r="T274">
        <v>37667.45774</v>
      </c>
      <c r="U274" s="2">
        <v>44500</v>
      </c>
      <c r="V274" t="s">
        <v>799</v>
      </c>
    </row>
    <row r="275" spans="1:22">
      <c r="A275" s="1" t="s">
        <v>295</v>
      </c>
      <c r="B275">
        <f>HYPERLINK("https://www.suredividend.com/sure-analysis-NEE/","NextEra Energy Inc")</f>
        <v>0</v>
      </c>
      <c r="C275">
        <v>87.20999999999999</v>
      </c>
      <c r="D275">
        <v>61</v>
      </c>
      <c r="E275">
        <v>1.429672131147541</v>
      </c>
      <c r="F275">
        <v>0.01765852539846348</v>
      </c>
      <c r="G275">
        <v>-0.0689935072839517</v>
      </c>
      <c r="H275">
        <v>0.07000000000000001</v>
      </c>
      <c r="I275">
        <v>0.01814400989808629</v>
      </c>
      <c r="J275" t="s">
        <v>777</v>
      </c>
      <c r="K275" t="s">
        <v>367</v>
      </c>
      <c r="L275">
        <v>2.47</v>
      </c>
      <c r="M275">
        <v>1.54</v>
      </c>
      <c r="N275">
        <v>0.6234817813765182</v>
      </c>
      <c r="O275">
        <v>25</v>
      </c>
      <c r="P275">
        <v>0.08353120449915608</v>
      </c>
      <c r="Q275">
        <v>0.185298546816642</v>
      </c>
      <c r="R275" t="s">
        <v>780</v>
      </c>
      <c r="S275" t="s">
        <v>789</v>
      </c>
      <c r="T275">
        <v>170850.490514</v>
      </c>
      <c r="U275" s="2">
        <v>44498</v>
      </c>
      <c r="V275" t="s">
        <v>805</v>
      </c>
    </row>
    <row r="276" spans="1:22">
      <c r="A276" s="1" t="s">
        <v>296</v>
      </c>
      <c r="B276">
        <f>HYPERLINK("https://www.suredividend.com/sure-analysis-AWK/","American Water Works Co. Inc.")</f>
        <v>0</v>
      </c>
      <c r="C276">
        <v>173.41</v>
      </c>
      <c r="D276">
        <v>136</v>
      </c>
      <c r="E276">
        <v>1.275073529411765</v>
      </c>
      <c r="F276">
        <v>0.01389769909463122</v>
      </c>
      <c r="G276">
        <v>-0.04743865458012408</v>
      </c>
      <c r="H276">
        <v>0.05</v>
      </c>
      <c r="I276">
        <v>0.01769023698413608</v>
      </c>
      <c r="J276" t="s">
        <v>777</v>
      </c>
      <c r="K276" t="s">
        <v>515</v>
      </c>
      <c r="L276">
        <v>4.25</v>
      </c>
      <c r="M276">
        <v>2.41</v>
      </c>
      <c r="N276">
        <v>0.5670588235294118</v>
      </c>
      <c r="O276">
        <v>13</v>
      </c>
      <c r="P276">
        <v>0.0901126350638779</v>
      </c>
      <c r="Q276">
        <v>0.14820224674463</v>
      </c>
      <c r="R276" t="s">
        <v>780</v>
      </c>
      <c r="S276" t="s">
        <v>789</v>
      </c>
      <c r="T276">
        <v>31480.460881</v>
      </c>
      <c r="U276" s="2">
        <v>44504</v>
      </c>
      <c r="V276" t="s">
        <v>795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255</v>
      </c>
      <c r="D277">
        <v>151</v>
      </c>
      <c r="E277">
        <v>1.688741721854305</v>
      </c>
      <c r="F277">
        <v>0.006588235294117646</v>
      </c>
      <c r="G277">
        <v>-0.0994924603544044</v>
      </c>
      <c r="H277">
        <v>0.12</v>
      </c>
      <c r="I277">
        <v>0.016987378740138</v>
      </c>
      <c r="J277" t="s">
        <v>777</v>
      </c>
      <c r="K277" t="s">
        <v>515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0.243423266155969</v>
      </c>
      <c r="R277" t="s">
        <v>780</v>
      </c>
      <c r="S277" t="s">
        <v>785</v>
      </c>
      <c r="T277">
        <v>37159.40121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98.16</v>
      </c>
      <c r="D278">
        <v>79</v>
      </c>
      <c r="E278">
        <v>1.24253164556962</v>
      </c>
      <c r="F278">
        <v>0.02648736756316218</v>
      </c>
      <c r="G278">
        <v>-0.04250060481405871</v>
      </c>
      <c r="H278">
        <v>0.03</v>
      </c>
      <c r="I278">
        <v>0.01677167657541068</v>
      </c>
      <c r="J278" t="s">
        <v>777</v>
      </c>
      <c r="K278" t="s">
        <v>777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0.247940440593153</v>
      </c>
      <c r="R278" t="s">
        <v>780</v>
      </c>
      <c r="S278" t="s">
        <v>792</v>
      </c>
      <c r="T278">
        <v>6531.167085</v>
      </c>
      <c r="U278" s="2">
        <v>44509</v>
      </c>
      <c r="V278" t="s">
        <v>806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14.42</v>
      </c>
      <c r="D279">
        <v>11</v>
      </c>
      <c r="E279">
        <v>1.310909090909091</v>
      </c>
      <c r="F279">
        <v>0.0159500693481276</v>
      </c>
      <c r="G279">
        <v>-0.05270447665548883</v>
      </c>
      <c r="H279">
        <v>0.05</v>
      </c>
      <c r="I279">
        <v>0.01238252960951702</v>
      </c>
      <c r="J279" t="s">
        <v>777</v>
      </c>
      <c r="K279" t="s">
        <v>515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0.171786120591581</v>
      </c>
      <c r="R279" t="s">
        <v>780</v>
      </c>
      <c r="S279" t="s">
        <v>787</v>
      </c>
      <c r="T279">
        <v>2278.346114</v>
      </c>
      <c r="U279" s="2">
        <v>44511</v>
      </c>
      <c r="V279" t="s">
        <v>795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79.84</v>
      </c>
      <c r="D280">
        <v>65</v>
      </c>
      <c r="E280">
        <v>1.228307692307692</v>
      </c>
      <c r="F280">
        <v>0.02179358717434869</v>
      </c>
      <c r="G280">
        <v>-0.04029321399773034</v>
      </c>
      <c r="H280">
        <v>0.03</v>
      </c>
      <c r="I280">
        <v>0.01230874179224806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0.218574097363826</v>
      </c>
      <c r="R280" t="s">
        <v>780</v>
      </c>
      <c r="S280" t="s">
        <v>787</v>
      </c>
      <c r="T280">
        <v>1935.845989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246.6</v>
      </c>
      <c r="D281">
        <v>169</v>
      </c>
      <c r="E281">
        <v>1.459171597633136</v>
      </c>
      <c r="F281">
        <v>0.01735604217356042</v>
      </c>
      <c r="G281">
        <v>-0.07278867715439075</v>
      </c>
      <c r="H281">
        <v>0.07000000000000001</v>
      </c>
      <c r="I281">
        <v>0.01207811586194829</v>
      </c>
      <c r="J281" t="s">
        <v>777</v>
      </c>
      <c r="K281" t="s">
        <v>367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0.198546580011003</v>
      </c>
      <c r="R281" t="s">
        <v>780</v>
      </c>
      <c r="S281" t="s">
        <v>787</v>
      </c>
      <c r="T281">
        <v>158533.14762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147.47</v>
      </c>
      <c r="D282">
        <v>113</v>
      </c>
      <c r="E282">
        <v>1.305044247787611</v>
      </c>
      <c r="F282">
        <v>0.02142808706855632</v>
      </c>
      <c r="G282">
        <v>-0.05185457757597134</v>
      </c>
      <c r="H282">
        <v>0.04</v>
      </c>
      <c r="I282">
        <v>0.01035990461762215</v>
      </c>
      <c r="J282" t="s">
        <v>777</v>
      </c>
      <c r="K282" t="s">
        <v>367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0.311785431860899</v>
      </c>
      <c r="R282" t="s">
        <v>780</v>
      </c>
      <c r="S282" t="s">
        <v>788</v>
      </c>
      <c r="T282">
        <v>37538.045205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297.84</v>
      </c>
      <c r="D283">
        <v>200</v>
      </c>
      <c r="E283">
        <v>1.4892</v>
      </c>
      <c r="F283">
        <v>0.0201450443190975</v>
      </c>
      <c r="G283">
        <v>-0.07655848641393148</v>
      </c>
      <c r="H283">
        <v>0.06</v>
      </c>
      <c r="I283">
        <v>0.004484021762896306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0.071207381346806</v>
      </c>
      <c r="R283" t="s">
        <v>780</v>
      </c>
      <c r="S283" t="s">
        <v>788</v>
      </c>
      <c r="T283">
        <v>65959.760175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HYPERLINK("https://www.suredividend.com/sure-analysis-CARR/","Carrier Global Corp")</f>
        <v>0</v>
      </c>
      <c r="C284">
        <v>55.69</v>
      </c>
      <c r="D284">
        <v>40</v>
      </c>
      <c r="E284">
        <v>1.39225</v>
      </c>
      <c r="F284">
        <v>0.008619141677141317</v>
      </c>
      <c r="G284">
        <v>-0.06404158199296062</v>
      </c>
      <c r="H284">
        <v>0.06</v>
      </c>
      <c r="I284">
        <v>0.003663994186124953</v>
      </c>
      <c r="J284" t="s">
        <v>777</v>
      </c>
      <c r="K284" t="s">
        <v>515</v>
      </c>
      <c r="L284">
        <v>2.2</v>
      </c>
      <c r="M284">
        <v>0.48</v>
      </c>
      <c r="N284">
        <v>0.2181818181818181</v>
      </c>
      <c r="O284">
        <v>1</v>
      </c>
      <c r="P284">
        <v>0.09626227935295417</v>
      </c>
      <c r="Q284">
        <v>0.4297560762707731</v>
      </c>
      <c r="R284" t="s">
        <v>780</v>
      </c>
      <c r="S284" t="s">
        <v>787</v>
      </c>
      <c r="T284">
        <v>48260.114863</v>
      </c>
      <c r="U284" s="2">
        <v>44502</v>
      </c>
      <c r="V284" t="s">
        <v>799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109.04</v>
      </c>
      <c r="D285">
        <v>75</v>
      </c>
      <c r="E285">
        <v>1.453866666666667</v>
      </c>
      <c r="F285">
        <v>0.01449009537784299</v>
      </c>
      <c r="G285">
        <v>-0.0721130129151154</v>
      </c>
      <c r="H285">
        <v>0.06</v>
      </c>
      <c r="I285">
        <v>0.001936781250713393</v>
      </c>
      <c r="J285" t="s">
        <v>777</v>
      </c>
      <c r="K285" t="s">
        <v>515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0.6868864074455671</v>
      </c>
      <c r="R285" t="s">
        <v>780</v>
      </c>
      <c r="S285" t="s">
        <v>785</v>
      </c>
      <c r="T285">
        <v>193280.37856</v>
      </c>
      <c r="U285" s="2">
        <v>44516</v>
      </c>
      <c r="V285" t="s">
        <v>802</v>
      </c>
    </row>
    <row r="286" spans="1:22">
      <c r="A286" s="1" t="s">
        <v>306</v>
      </c>
      <c r="B286">
        <f>HYPERLINK("https://www.suredividend.com/sure-analysis-WTRG/","Essential Utilities Inc")</f>
        <v>0</v>
      </c>
      <c r="C286">
        <v>48.01</v>
      </c>
      <c r="D286">
        <v>30</v>
      </c>
      <c r="E286">
        <v>1.600333333333333</v>
      </c>
      <c r="F286">
        <v>0.02228702353676318</v>
      </c>
      <c r="G286">
        <v>-0.08975582216752787</v>
      </c>
      <c r="H286">
        <v>0.07000000000000001</v>
      </c>
      <c r="I286">
        <v>0.001887675185452409</v>
      </c>
      <c r="J286" t="s">
        <v>777</v>
      </c>
      <c r="K286" t="s">
        <v>367</v>
      </c>
      <c r="L286">
        <v>1.68</v>
      </c>
      <c r="M286">
        <v>1.07</v>
      </c>
      <c r="N286">
        <v>0.636904761904762</v>
      </c>
      <c r="O286">
        <v>30</v>
      </c>
      <c r="P286">
        <v>0.05971834352437777</v>
      </c>
      <c r="Q286">
        <v>0.07498953223065301</v>
      </c>
      <c r="R286" t="s">
        <v>780</v>
      </c>
      <c r="S286" t="s">
        <v>789</v>
      </c>
      <c r="T286">
        <v>12134.185765</v>
      </c>
      <c r="U286" s="2">
        <v>44502</v>
      </c>
      <c r="V286" t="s">
        <v>804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130.97</v>
      </c>
      <c r="D287">
        <v>79</v>
      </c>
      <c r="E287">
        <v>1.657848101265823</v>
      </c>
      <c r="F287">
        <v>0.01519431930976559</v>
      </c>
      <c r="G287">
        <v>-0.09616105023405896</v>
      </c>
      <c r="H287">
        <v>0.07000000000000001</v>
      </c>
      <c r="I287">
        <v>-0.01240816730022076</v>
      </c>
      <c r="J287" t="s">
        <v>777</v>
      </c>
      <c r="K287" t="s">
        <v>367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0.197091954065012</v>
      </c>
      <c r="R287" t="s">
        <v>780</v>
      </c>
      <c r="S287" t="s">
        <v>787</v>
      </c>
      <c r="T287">
        <v>92595.999945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344.94</v>
      </c>
      <c r="D288">
        <v>216</v>
      </c>
      <c r="E288">
        <v>1.596944444444444</v>
      </c>
      <c r="F288">
        <v>0.01298776598828782</v>
      </c>
      <c r="G288">
        <v>-0.08936982235652413</v>
      </c>
      <c r="H288">
        <v>0.065</v>
      </c>
      <c r="I288">
        <v>-0.01275469548407981</v>
      </c>
      <c r="J288" t="s">
        <v>777</v>
      </c>
      <c r="K288" t="s">
        <v>515</v>
      </c>
      <c r="L288">
        <v>10.8</v>
      </c>
      <c r="M288">
        <v>4.48</v>
      </c>
      <c r="N288">
        <v>0.4148148148148148</v>
      </c>
      <c r="O288">
        <v>12</v>
      </c>
      <c r="P288">
        <v>0.06988309640706269</v>
      </c>
      <c r="Q288">
        <v>0.363742570757934</v>
      </c>
      <c r="R288" t="s">
        <v>780</v>
      </c>
      <c r="S288" t="s">
        <v>787</v>
      </c>
      <c r="T288">
        <v>40006.791412</v>
      </c>
      <c r="U288" s="2">
        <v>44503</v>
      </c>
      <c r="V288" t="s">
        <v>800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84.45999999999999</v>
      </c>
      <c r="D289">
        <v>52</v>
      </c>
      <c r="E289">
        <v>1.624230769230769</v>
      </c>
      <c r="F289">
        <v>0.01136632725550557</v>
      </c>
      <c r="G289">
        <v>-0.0924502252926559</v>
      </c>
      <c r="H289">
        <v>0.07000000000000001</v>
      </c>
      <c r="I289">
        <v>-0.01365307031596308</v>
      </c>
      <c r="J289" t="s">
        <v>777</v>
      </c>
      <c r="K289" t="s">
        <v>515</v>
      </c>
      <c r="L289">
        <v>2.95</v>
      </c>
      <c r="M289">
        <v>0.96</v>
      </c>
      <c r="N289">
        <v>0.3254237288135593</v>
      </c>
      <c r="O289">
        <v>1</v>
      </c>
      <c r="P289">
        <v>0.07056368416916192</v>
      </c>
      <c r="Q289">
        <v>0.26777983920841</v>
      </c>
      <c r="R289" t="s">
        <v>780</v>
      </c>
      <c r="S289" t="s">
        <v>787</v>
      </c>
      <c r="T289">
        <v>35875.986784</v>
      </c>
      <c r="U289" s="2">
        <v>44495</v>
      </c>
      <c r="V289" t="s">
        <v>799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131.7</v>
      </c>
      <c r="D290">
        <v>78.2</v>
      </c>
      <c r="E290">
        <v>1.684143222506394</v>
      </c>
      <c r="F290">
        <v>0.03249810174639332</v>
      </c>
      <c r="G290">
        <v>-0.09900123514923453</v>
      </c>
      <c r="H290">
        <v>0.05</v>
      </c>
      <c r="I290">
        <v>-0.01540946781878849</v>
      </c>
      <c r="J290" t="s">
        <v>777</v>
      </c>
      <c r="K290" t="s">
        <v>777</v>
      </c>
      <c r="L290">
        <v>5.21</v>
      </c>
      <c r="M290">
        <v>4.28</v>
      </c>
      <c r="N290">
        <v>0.8214971209213052</v>
      </c>
      <c r="O290">
        <v>54</v>
      </c>
      <c r="P290">
        <v>0.0100752948556313</v>
      </c>
      <c r="Q290">
        <v>0.4647036449656231</v>
      </c>
      <c r="R290" t="s">
        <v>782</v>
      </c>
      <c r="S290" t="s">
        <v>794</v>
      </c>
      <c r="T290">
        <v>10244.875965</v>
      </c>
      <c r="U290" s="2">
        <v>44509</v>
      </c>
      <c r="V290" t="s">
        <v>803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200.09</v>
      </c>
      <c r="D291">
        <v>130</v>
      </c>
      <c r="E291">
        <v>1.539153846153846</v>
      </c>
      <c r="F291">
        <v>0.005997301214453496</v>
      </c>
      <c r="G291">
        <v>-0.08263198565344254</v>
      </c>
      <c r="H291">
        <v>0.063</v>
      </c>
      <c r="I291">
        <v>-0.01609596101307731</v>
      </c>
      <c r="J291" t="s">
        <v>777</v>
      </c>
      <c r="K291" t="s">
        <v>515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0.041214050691601</v>
      </c>
      <c r="R291" t="s">
        <v>780</v>
      </c>
      <c r="S291" t="s">
        <v>787</v>
      </c>
      <c r="T291">
        <v>3046.594551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107.47</v>
      </c>
      <c r="D292">
        <v>97</v>
      </c>
      <c r="E292">
        <v>1.107938144329897</v>
      </c>
      <c r="F292">
        <v>0.01377128500977017</v>
      </c>
      <c r="G292">
        <v>-0.02029145250970943</v>
      </c>
      <c r="H292">
        <v>-0.015</v>
      </c>
      <c r="I292">
        <v>-0.01818841209834243</v>
      </c>
      <c r="J292" t="s">
        <v>777</v>
      </c>
      <c r="K292" t="s">
        <v>515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0.505996238863026</v>
      </c>
      <c r="R292" t="s">
        <v>780</v>
      </c>
      <c r="S292" t="s">
        <v>790</v>
      </c>
      <c r="T292">
        <v>5197.119914</v>
      </c>
      <c r="U292" s="2">
        <v>44512</v>
      </c>
      <c r="V292" t="s">
        <v>798</v>
      </c>
    </row>
    <row r="293" spans="1:22">
      <c r="A293" s="1" t="s">
        <v>313</v>
      </c>
      <c r="B293">
        <f>HYPERLINK("https://www.suredividend.com/sure-analysis-ERIE/","Erie Indemnity Co.")</f>
        <v>0</v>
      </c>
      <c r="C293">
        <v>212.04</v>
      </c>
      <c r="D293">
        <v>128</v>
      </c>
      <c r="E293">
        <v>1.6565625</v>
      </c>
      <c r="F293">
        <v>0.01952461799660441</v>
      </c>
      <c r="G293">
        <v>-0.09602080608899766</v>
      </c>
      <c r="H293">
        <v>0.055</v>
      </c>
      <c r="I293">
        <v>-0.02037587504901117</v>
      </c>
      <c r="J293" t="s">
        <v>777</v>
      </c>
      <c r="K293" t="s">
        <v>367</v>
      </c>
      <c r="L293">
        <v>5.8</v>
      </c>
      <c r="M293">
        <v>4.14</v>
      </c>
      <c r="N293">
        <v>0.7137931034482758</v>
      </c>
      <c r="O293">
        <v>31</v>
      </c>
      <c r="P293">
        <v>0.04984870359842875</v>
      </c>
      <c r="Q293">
        <v>-0.054371835586283</v>
      </c>
      <c r="R293" t="s">
        <v>780</v>
      </c>
      <c r="S293" t="s">
        <v>790</v>
      </c>
      <c r="T293">
        <v>9793.929979</v>
      </c>
      <c r="U293" s="2">
        <v>44504</v>
      </c>
      <c r="V293" t="s">
        <v>800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195.48</v>
      </c>
      <c r="D294">
        <v>121</v>
      </c>
      <c r="E294">
        <v>1.615537190082645</v>
      </c>
      <c r="F294">
        <v>0.01207284632698997</v>
      </c>
      <c r="G294">
        <v>-0.0914755739360914</v>
      </c>
      <c r="H294">
        <v>0.06</v>
      </c>
      <c r="I294">
        <v>-0.02074032943218673</v>
      </c>
      <c r="J294" t="s">
        <v>777</v>
      </c>
      <c r="K294" t="s">
        <v>515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0.347376895394945</v>
      </c>
      <c r="R294" t="s">
        <v>780</v>
      </c>
      <c r="S294" t="s">
        <v>787</v>
      </c>
      <c r="T294">
        <v>46434.353995</v>
      </c>
      <c r="U294" s="2">
        <v>44511</v>
      </c>
      <c r="V294" t="s">
        <v>799</v>
      </c>
    </row>
    <row r="295" spans="1:22">
      <c r="A295" s="1" t="s">
        <v>315</v>
      </c>
      <c r="B295">
        <f>HYPERLINK("https://www.suredividend.com/sure-analysis-ESS/","Essex Property Trust, Inc.")</f>
        <v>0</v>
      </c>
      <c r="C295">
        <v>357.25</v>
      </c>
      <c r="D295">
        <v>224</v>
      </c>
      <c r="E295">
        <v>1.594866071428571</v>
      </c>
      <c r="F295">
        <v>0.02340097970608817</v>
      </c>
      <c r="G295">
        <v>-0.08913260577385518</v>
      </c>
      <c r="H295">
        <v>0.038</v>
      </c>
      <c r="I295">
        <v>-0.02571377105012607</v>
      </c>
      <c r="J295" t="s">
        <v>777</v>
      </c>
      <c r="K295" t="s">
        <v>367</v>
      </c>
      <c r="L295">
        <v>12.44</v>
      </c>
      <c r="M295">
        <v>8.359999999999999</v>
      </c>
      <c r="N295">
        <v>0.6720257234726688</v>
      </c>
      <c r="O295">
        <v>27</v>
      </c>
      <c r="P295">
        <v>0.01486259611873031</v>
      </c>
      <c r="Q295">
        <v>0.4290342968231231</v>
      </c>
      <c r="R295" t="s">
        <v>782</v>
      </c>
      <c r="S295" t="s">
        <v>794</v>
      </c>
      <c r="T295">
        <v>23252.627625</v>
      </c>
      <c r="U295" s="2">
        <v>44503</v>
      </c>
      <c r="V295" t="s">
        <v>803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136.49</v>
      </c>
      <c r="D296">
        <v>86</v>
      </c>
      <c r="E296">
        <v>1.587093023255814</v>
      </c>
      <c r="F296">
        <v>0.02197963220748773</v>
      </c>
      <c r="G296">
        <v>-0.0882421241140956</v>
      </c>
      <c r="H296">
        <v>0.03</v>
      </c>
      <c r="I296">
        <v>-0.031015073302889</v>
      </c>
      <c r="J296" t="s">
        <v>777</v>
      </c>
      <c r="K296" t="s">
        <v>777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0.5511972369618851</v>
      </c>
      <c r="R296" t="s">
        <v>780</v>
      </c>
      <c r="S296" t="s">
        <v>790</v>
      </c>
      <c r="T296">
        <v>8696.461442</v>
      </c>
      <c r="U296" s="2">
        <v>44504</v>
      </c>
      <c r="V296" t="s">
        <v>799</v>
      </c>
    </row>
    <row r="297" spans="1:22">
      <c r="A297" s="1" t="s">
        <v>317</v>
      </c>
      <c r="B297">
        <f>HYPERLINK("https://www.suredividend.com/sure-analysis-DDS/","Dillard`s Inc.")</f>
        <v>0</v>
      </c>
      <c r="C297">
        <v>377.67</v>
      </c>
      <c r="D297">
        <v>288</v>
      </c>
      <c r="E297">
        <v>1.311354166666667</v>
      </c>
      <c r="F297">
        <v>0.002118251383482935</v>
      </c>
      <c r="G297">
        <v>-0.05276878811828845</v>
      </c>
      <c r="H297">
        <v>0.02</v>
      </c>
      <c r="I297">
        <v>-0.0314054837954687</v>
      </c>
      <c r="J297" t="s">
        <v>777</v>
      </c>
      <c r="K297" t="s">
        <v>515</v>
      </c>
      <c r="L297">
        <v>26.2</v>
      </c>
      <c r="M297">
        <v>0.8</v>
      </c>
      <c r="N297">
        <v>0.03053435114503817</v>
      </c>
      <c r="O297">
        <v>11</v>
      </c>
      <c r="P297">
        <v>0</v>
      </c>
      <c r="Q297">
        <v>7.011616387676787</v>
      </c>
      <c r="R297" t="s">
        <v>780</v>
      </c>
      <c r="S297" t="s">
        <v>791</v>
      </c>
      <c r="T297">
        <v>6279.524755</v>
      </c>
      <c r="U297" s="2">
        <v>44434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165.72</v>
      </c>
      <c r="D298">
        <v>98</v>
      </c>
      <c r="E298">
        <v>1.691020408163265</v>
      </c>
      <c r="F298">
        <v>0.01387883176442192</v>
      </c>
      <c r="G298">
        <v>-0.09973528192161896</v>
      </c>
      <c r="H298">
        <v>0.05</v>
      </c>
      <c r="I298">
        <v>-0.03534321710977817</v>
      </c>
      <c r="J298" t="s">
        <v>777</v>
      </c>
      <c r="K298" t="s">
        <v>515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0.399912822228304</v>
      </c>
      <c r="R298" t="s">
        <v>780</v>
      </c>
      <c r="S298" t="s">
        <v>787</v>
      </c>
      <c r="T298">
        <v>69323.386682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74.79000000000001</v>
      </c>
      <c r="D299">
        <v>55</v>
      </c>
      <c r="E299">
        <v>1.359818181818182</v>
      </c>
      <c r="F299">
        <v>0.0229977269688461</v>
      </c>
      <c r="G299">
        <v>-0.0596190315078905</v>
      </c>
      <c r="H299">
        <v>-0.02</v>
      </c>
      <c r="I299">
        <v>-0.04767143172297172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0.140778365021621</v>
      </c>
      <c r="R299" t="s">
        <v>780</v>
      </c>
      <c r="S299" t="s">
        <v>790</v>
      </c>
      <c r="T299">
        <v>4033.503529</v>
      </c>
      <c r="U299" s="2">
        <v>44501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262</v>
      </c>
      <c r="D300">
        <v>140</v>
      </c>
      <c r="E300">
        <v>1.871428571428571</v>
      </c>
      <c r="F300">
        <v>0.01297709923664122</v>
      </c>
      <c r="G300">
        <v>-0.1178034625568003</v>
      </c>
      <c r="H300">
        <v>0.04</v>
      </c>
      <c r="I300">
        <v>-0.0616043158620101</v>
      </c>
      <c r="J300" t="s">
        <v>777</v>
      </c>
      <c r="K300" t="s">
        <v>515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0.8355475501395221</v>
      </c>
      <c r="R300" t="s">
        <v>780</v>
      </c>
      <c r="S300" t="s">
        <v>785</v>
      </c>
      <c r="T300">
        <v>250627.206966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125.04</v>
      </c>
      <c r="D301">
        <v>54</v>
      </c>
      <c r="E301">
        <v>2.315555555555556</v>
      </c>
      <c r="F301">
        <v>0.008957133717210493</v>
      </c>
      <c r="G301">
        <v>-0.1545869275297439</v>
      </c>
      <c r="H301">
        <v>0.09</v>
      </c>
      <c r="I301">
        <v>-0.06263075127966278</v>
      </c>
      <c r="J301" t="s">
        <v>777</v>
      </c>
      <c r="K301" t="s">
        <v>515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0.294434057777474</v>
      </c>
      <c r="R301" t="s">
        <v>780</v>
      </c>
      <c r="S301" t="s">
        <v>787</v>
      </c>
      <c r="T301">
        <v>22547.872011</v>
      </c>
      <c r="U301" s="2">
        <v>44507</v>
      </c>
      <c r="V301" t="s">
        <v>800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4.57</v>
      </c>
      <c r="D302">
        <v>12</v>
      </c>
      <c r="E302">
        <v>0.3808333333333334</v>
      </c>
      <c r="F302">
        <v>0.008752735229759299</v>
      </c>
      <c r="G302">
        <v>0.2129782377797635</v>
      </c>
      <c r="H302">
        <v>0</v>
      </c>
      <c r="I302">
        <v>0.2594196711476326</v>
      </c>
      <c r="J302" t="s">
        <v>367</v>
      </c>
      <c r="K302" t="s">
        <v>515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-0.66186219959749</v>
      </c>
      <c r="R302" t="s">
        <v>781</v>
      </c>
      <c r="S302" t="s">
        <v>793</v>
      </c>
      <c r="T302">
        <v>152.459962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89.47</v>
      </c>
      <c r="D303">
        <v>130</v>
      </c>
      <c r="E303">
        <v>0.6882307692307692</v>
      </c>
      <c r="F303">
        <v>0.01967139823404493</v>
      </c>
      <c r="G303">
        <v>0.07758908317547553</v>
      </c>
      <c r="H303">
        <v>0.09</v>
      </c>
      <c r="I303">
        <v>0.1876720518998543</v>
      </c>
      <c r="J303" t="s">
        <v>367</v>
      </c>
      <c r="K303" t="s">
        <v>515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-0.014878668330006</v>
      </c>
      <c r="R303" t="s">
        <v>780</v>
      </c>
      <c r="S303" t="s">
        <v>791</v>
      </c>
      <c r="T303">
        <v>1880.065409</v>
      </c>
      <c r="U303" s="2">
        <v>44524</v>
      </c>
      <c r="V303" t="s">
        <v>804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13.05</v>
      </c>
      <c r="D304">
        <v>26.6</v>
      </c>
      <c r="E304">
        <v>0.4906015037593985</v>
      </c>
      <c r="F304">
        <v>0.01685823754789272</v>
      </c>
      <c r="G304">
        <v>0.1530661554075681</v>
      </c>
      <c r="H304">
        <v>0.02</v>
      </c>
      <c r="I304">
        <v>0.1852696146758877</v>
      </c>
      <c r="J304" t="s">
        <v>367</v>
      </c>
      <c r="K304" t="s">
        <v>515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-0.209809264305177</v>
      </c>
      <c r="R304" t="s">
        <v>780</v>
      </c>
      <c r="S304" t="s">
        <v>785</v>
      </c>
      <c r="T304">
        <v>15782.584079</v>
      </c>
      <c r="U304" s="2">
        <v>44515</v>
      </c>
      <c r="V304" t="s">
        <v>806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5.31</v>
      </c>
      <c r="D305">
        <v>9.17</v>
      </c>
      <c r="E305">
        <v>0.579062159214831</v>
      </c>
      <c r="F305">
        <v>0.03389830508474576</v>
      </c>
      <c r="G305">
        <v>0.1154624699823901</v>
      </c>
      <c r="H305">
        <v>0.04</v>
      </c>
      <c r="I305">
        <v>0.1804950707122559</v>
      </c>
      <c r="J305" t="s">
        <v>367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0.134130713370354</v>
      </c>
      <c r="R305" t="s">
        <v>780</v>
      </c>
      <c r="S305" t="s">
        <v>786</v>
      </c>
      <c r="T305">
        <v>1782.283765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49.84</v>
      </c>
      <c r="D306">
        <v>86</v>
      </c>
      <c r="E306">
        <v>0.5795348837209303</v>
      </c>
      <c r="F306">
        <v>0.02407704654895666</v>
      </c>
      <c r="G306">
        <v>0.1152804348390202</v>
      </c>
      <c r="H306">
        <v>0.03</v>
      </c>
      <c r="I306">
        <v>0.1694025166961708</v>
      </c>
      <c r="J306" t="s">
        <v>367</v>
      </c>
      <c r="K306" t="s">
        <v>515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0.301322471572736</v>
      </c>
      <c r="R306" t="s">
        <v>780</v>
      </c>
      <c r="S306" t="s">
        <v>791</v>
      </c>
      <c r="T306">
        <v>5173.774721</v>
      </c>
      <c r="U306" s="2">
        <v>44437</v>
      </c>
      <c r="V306" t="s">
        <v>798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50.71</v>
      </c>
      <c r="D307">
        <v>65</v>
      </c>
      <c r="E307">
        <v>0.7801538461538462</v>
      </c>
      <c r="F307">
        <v>0.03943995267205679</v>
      </c>
      <c r="G307">
        <v>0.05090618785227741</v>
      </c>
      <c r="H307">
        <v>0.08</v>
      </c>
      <c r="I307">
        <v>0.1636226033147987</v>
      </c>
      <c r="J307" t="s">
        <v>367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0.160895384347714</v>
      </c>
      <c r="R307" t="s">
        <v>780</v>
      </c>
      <c r="S307" t="s">
        <v>790</v>
      </c>
      <c r="T307">
        <v>3584.151765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17.84</v>
      </c>
      <c r="D308">
        <v>27.88</v>
      </c>
      <c r="E308">
        <v>0.6398852223816356</v>
      </c>
      <c r="F308">
        <v>0.02690582959641255</v>
      </c>
      <c r="G308">
        <v>0.09340129488085225</v>
      </c>
      <c r="H308">
        <v>0.04</v>
      </c>
      <c r="I308">
        <v>0.1527917892464319</v>
      </c>
      <c r="J308" t="s">
        <v>367</v>
      </c>
      <c r="K308" t="s">
        <v>367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-0.327320442822237</v>
      </c>
      <c r="R308" t="s">
        <v>780</v>
      </c>
      <c r="S308" t="s">
        <v>791</v>
      </c>
      <c r="T308">
        <v>6709.71436</v>
      </c>
      <c r="U308" s="2">
        <v>44460</v>
      </c>
      <c r="V308" t="s">
        <v>797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60.55</v>
      </c>
      <c r="D309">
        <v>81</v>
      </c>
      <c r="E309">
        <v>0.7475308641975308</v>
      </c>
      <c r="F309">
        <v>0.04293971924029728</v>
      </c>
      <c r="G309">
        <v>0.05992265336140568</v>
      </c>
      <c r="H309">
        <v>0.05</v>
      </c>
      <c r="I309">
        <v>0.1454293349757387</v>
      </c>
      <c r="J309" t="s">
        <v>367</v>
      </c>
      <c r="K309" t="s">
        <v>777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0.379164256071283</v>
      </c>
      <c r="R309" t="s">
        <v>780</v>
      </c>
      <c r="S309" t="s">
        <v>787</v>
      </c>
      <c r="T309">
        <v>4043.012024</v>
      </c>
      <c r="U309" s="2">
        <v>44497</v>
      </c>
      <c r="V309" t="s">
        <v>795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38.4</v>
      </c>
      <c r="D310">
        <v>135</v>
      </c>
      <c r="E310">
        <v>0.2844444444444444</v>
      </c>
      <c r="F310">
        <v>0.05468750000000001</v>
      </c>
      <c r="G310">
        <v>0.2858801991887603</v>
      </c>
      <c r="H310">
        <v>-0.15</v>
      </c>
      <c r="I310">
        <v>0.1389505609209598</v>
      </c>
      <c r="J310" t="s">
        <v>367</v>
      </c>
      <c r="K310" t="s">
        <v>776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0.5319311907573481</v>
      </c>
      <c r="R310" t="s">
        <v>780</v>
      </c>
      <c r="S310" t="s">
        <v>788</v>
      </c>
      <c r="T310">
        <v>7698.21481</v>
      </c>
      <c r="U310" s="2">
        <v>44513</v>
      </c>
      <c r="V310" t="s">
        <v>801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47.89</v>
      </c>
      <c r="D311">
        <v>60</v>
      </c>
      <c r="E311">
        <v>0.7981666666666667</v>
      </c>
      <c r="F311">
        <v>0.08665692211317604</v>
      </c>
      <c r="G311">
        <v>0.04611946413310841</v>
      </c>
      <c r="H311">
        <v>0.03</v>
      </c>
      <c r="I311">
        <v>0.138223097814395</v>
      </c>
      <c r="J311" t="s">
        <v>367</v>
      </c>
      <c r="K311" t="s">
        <v>776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0.187362240938584</v>
      </c>
      <c r="R311" t="s">
        <v>781</v>
      </c>
      <c r="S311" t="s">
        <v>793</v>
      </c>
      <c r="T311">
        <v>10221.892448</v>
      </c>
      <c r="U311" s="2">
        <v>44504</v>
      </c>
      <c r="V311" t="s">
        <v>804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91.56</v>
      </c>
      <c r="D312">
        <v>190</v>
      </c>
      <c r="E312">
        <v>0.4818947368421053</v>
      </c>
      <c r="F312">
        <v>0.04936653560506771</v>
      </c>
      <c r="G312">
        <v>0.1572030333669907</v>
      </c>
      <c r="H312">
        <v>-0.05</v>
      </c>
      <c r="I312">
        <v>0.1370610266458894</v>
      </c>
      <c r="J312" t="s">
        <v>367</v>
      </c>
      <c r="K312" t="s">
        <v>777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0.039341977110865</v>
      </c>
      <c r="R312" t="s">
        <v>780</v>
      </c>
      <c r="S312" t="s">
        <v>788</v>
      </c>
      <c r="T312">
        <v>30469.697913</v>
      </c>
      <c r="U312" s="2">
        <v>44502</v>
      </c>
      <c r="V312" t="s">
        <v>795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127.3</v>
      </c>
      <c r="D313">
        <v>158.96</v>
      </c>
      <c r="E313">
        <v>0.8008303975842979</v>
      </c>
      <c r="F313">
        <v>0.01374705420267086</v>
      </c>
      <c r="G313">
        <v>0.04542261354220112</v>
      </c>
      <c r="H313">
        <v>0.075</v>
      </c>
      <c r="I313">
        <v>0.1348479143160028</v>
      </c>
      <c r="J313" t="s">
        <v>367</v>
      </c>
      <c r="K313" t="s">
        <v>515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1.281954988303412</v>
      </c>
      <c r="R313" t="s">
        <v>780</v>
      </c>
      <c r="S313" t="s">
        <v>791</v>
      </c>
      <c r="T313">
        <v>8008.480681</v>
      </c>
      <c r="U313" s="2">
        <v>44439</v>
      </c>
      <c r="V313" t="s">
        <v>801</v>
      </c>
    </row>
    <row r="314" spans="1:22">
      <c r="A314" s="1" t="s">
        <v>334</v>
      </c>
      <c r="B314">
        <f>HYPERLINK("https://www.suredividend.com/sure-analysis-BTI/","British American Tobacco Plc")</f>
        <v>0</v>
      </c>
      <c r="C314">
        <v>34.59</v>
      </c>
      <c r="D314">
        <v>42</v>
      </c>
      <c r="E314">
        <v>0.8235714285714286</v>
      </c>
      <c r="F314">
        <v>0.08383925990170568</v>
      </c>
      <c r="G314">
        <v>0.03958438042015389</v>
      </c>
      <c r="H314">
        <v>0.03</v>
      </c>
      <c r="I314">
        <v>0.1320527650917795</v>
      </c>
      <c r="J314" t="s">
        <v>367</v>
      </c>
      <c r="K314" t="s">
        <v>776</v>
      </c>
      <c r="L314">
        <v>4.4</v>
      </c>
      <c r="M314">
        <v>2.9</v>
      </c>
      <c r="N314">
        <v>0.6590909090909091</v>
      </c>
      <c r="O314">
        <v>2</v>
      </c>
      <c r="P314">
        <v>0.02493227484012395</v>
      </c>
      <c r="Q314">
        <v>0.03335165623058101</v>
      </c>
      <c r="R314" t="s">
        <v>780</v>
      </c>
      <c r="S314" t="s">
        <v>792</v>
      </c>
      <c r="T314">
        <v>79371.169895</v>
      </c>
      <c r="U314" s="2">
        <v>44462</v>
      </c>
      <c r="V314" t="s">
        <v>800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101.09</v>
      </c>
      <c r="D315">
        <v>127</v>
      </c>
      <c r="E315">
        <v>0.795984251968504</v>
      </c>
      <c r="F315">
        <v>0.008902957760411515</v>
      </c>
      <c r="G315">
        <v>0.04669248218779987</v>
      </c>
      <c r="H315">
        <v>0.07000000000000001</v>
      </c>
      <c r="I315">
        <v>0.1274620428295792</v>
      </c>
      <c r="J315" t="s">
        <v>367</v>
      </c>
      <c r="K315" t="s">
        <v>515</v>
      </c>
      <c r="L315">
        <v>13.35</v>
      </c>
      <c r="M315">
        <v>0.9</v>
      </c>
      <c r="N315">
        <v>0.06741573033707865</v>
      </c>
      <c r="O315">
        <v>7</v>
      </c>
      <c r="P315">
        <v>0.100082101138866</v>
      </c>
      <c r="Q315">
        <v>0.370277091743094</v>
      </c>
      <c r="R315" t="s">
        <v>780</v>
      </c>
      <c r="S315" t="s">
        <v>791</v>
      </c>
      <c r="T315">
        <v>36041.567863</v>
      </c>
      <c r="U315" s="2">
        <v>44513</v>
      </c>
      <c r="V315" t="s">
        <v>801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49.93</v>
      </c>
      <c r="D316">
        <v>68</v>
      </c>
      <c r="E316">
        <v>0.7342647058823529</v>
      </c>
      <c r="F316">
        <v>0.02002803925495694</v>
      </c>
      <c r="G316">
        <v>0.06372525238588445</v>
      </c>
      <c r="H316">
        <v>0.04</v>
      </c>
      <c r="I316">
        <v>0.1236744429518846</v>
      </c>
      <c r="J316" t="s">
        <v>367</v>
      </c>
      <c r="K316" t="s">
        <v>515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0.637403503708999</v>
      </c>
      <c r="R316" t="s">
        <v>780</v>
      </c>
      <c r="S316" t="s">
        <v>790</v>
      </c>
      <c r="T316">
        <v>17297.94892</v>
      </c>
      <c r="U316" s="2">
        <v>44498</v>
      </c>
      <c r="V316" t="s">
        <v>800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48.59</v>
      </c>
      <c r="D317">
        <v>71</v>
      </c>
      <c r="E317">
        <v>0.6843661971830987</v>
      </c>
      <c r="F317">
        <v>0.0633875282980037</v>
      </c>
      <c r="G317">
        <v>0.07880335878566314</v>
      </c>
      <c r="H317">
        <v>0</v>
      </c>
      <c r="I317">
        <v>0.1233897626680571</v>
      </c>
      <c r="J317" t="s">
        <v>367</v>
      </c>
      <c r="K317" t="s">
        <v>776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0.106201238016532</v>
      </c>
      <c r="R317" t="s">
        <v>780</v>
      </c>
      <c r="S317" t="s">
        <v>793</v>
      </c>
      <c r="T317">
        <v>128298.461096</v>
      </c>
      <c r="U317" s="2">
        <v>44501</v>
      </c>
      <c r="V317" t="s">
        <v>804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108.23</v>
      </c>
      <c r="D318">
        <v>144</v>
      </c>
      <c r="E318">
        <v>0.7515972222222222</v>
      </c>
      <c r="F318">
        <v>0.01589208167790816</v>
      </c>
      <c r="G318">
        <v>0.05877326572537966</v>
      </c>
      <c r="H318">
        <v>0.05</v>
      </c>
      <c r="I318">
        <v>0.1230188496596336</v>
      </c>
      <c r="J318" t="s">
        <v>367</v>
      </c>
      <c r="K318" t="s">
        <v>515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0.151254381159551</v>
      </c>
      <c r="R318" t="s">
        <v>780</v>
      </c>
      <c r="S318" t="s">
        <v>791</v>
      </c>
      <c r="T318">
        <v>5992.288263</v>
      </c>
      <c r="U318" s="2">
        <v>44491</v>
      </c>
      <c r="V318" t="s">
        <v>801</v>
      </c>
    </row>
    <row r="319" spans="1:22">
      <c r="A319" s="1" t="s">
        <v>339</v>
      </c>
      <c r="B319">
        <f>HYPERLINK("https://www.suredividend.com/sure-analysis-MCHP/","Microchip Technology, Inc.")</f>
        <v>0</v>
      </c>
      <c r="C319">
        <v>83.91</v>
      </c>
      <c r="D319">
        <v>81</v>
      </c>
      <c r="E319">
        <v>1.035925925925926</v>
      </c>
      <c r="F319">
        <v>0.01108330353950662</v>
      </c>
      <c r="G319">
        <v>-0.007034271120400559</v>
      </c>
      <c r="H319">
        <v>0.12</v>
      </c>
      <c r="I319">
        <v>0.1222500165010711</v>
      </c>
      <c r="J319" t="s">
        <v>367</v>
      </c>
      <c r="K319" t="s">
        <v>515</v>
      </c>
      <c r="L319">
        <v>4.5</v>
      </c>
      <c r="M319">
        <v>0.93</v>
      </c>
      <c r="N319">
        <v>0.2066666666666667</v>
      </c>
      <c r="O319">
        <v>19</v>
      </c>
      <c r="P319">
        <v>0.1201396745310872</v>
      </c>
      <c r="Q319">
        <v>1.541225639394902</v>
      </c>
      <c r="R319" t="s">
        <v>780</v>
      </c>
      <c r="S319" t="s">
        <v>786</v>
      </c>
      <c r="T319">
        <v>46559.201444</v>
      </c>
      <c r="U319" s="2">
        <v>44513</v>
      </c>
      <c r="V319" t="s">
        <v>795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49.13</v>
      </c>
      <c r="D320">
        <v>61</v>
      </c>
      <c r="E320">
        <v>0.8054098360655738</v>
      </c>
      <c r="F320">
        <v>0.03928353348259719</v>
      </c>
      <c r="G320">
        <v>0.04423107752959954</v>
      </c>
      <c r="H320">
        <v>0.04</v>
      </c>
      <c r="I320">
        <v>0.1161156050578636</v>
      </c>
      <c r="J320" t="s">
        <v>367</v>
      </c>
      <c r="K320" t="s">
        <v>777</v>
      </c>
      <c r="L320">
        <v>3.79</v>
      </c>
      <c r="M320">
        <v>1.93</v>
      </c>
      <c r="N320">
        <v>0.5092348284960422</v>
      </c>
      <c r="O320">
        <v>27</v>
      </c>
      <c r="P320">
        <v>0.04016469901021225</v>
      </c>
      <c r="Q320">
        <v>0.021347896497315</v>
      </c>
      <c r="R320" t="s">
        <v>780</v>
      </c>
      <c r="S320" t="s">
        <v>785</v>
      </c>
      <c r="T320">
        <v>124144.928054</v>
      </c>
      <c r="U320" s="2">
        <v>44501</v>
      </c>
      <c r="V320" t="s">
        <v>796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66.77</v>
      </c>
      <c r="D321">
        <v>88</v>
      </c>
      <c r="E321">
        <v>0.7587499999999999</v>
      </c>
      <c r="F321">
        <v>0.05122060805751086</v>
      </c>
      <c r="G321">
        <v>0.0567694727604644</v>
      </c>
      <c r="H321">
        <v>0.02</v>
      </c>
      <c r="I321">
        <v>0.1154964495651005</v>
      </c>
      <c r="J321" t="s">
        <v>367</v>
      </c>
      <c r="K321" t="s">
        <v>776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-0.186946330177478</v>
      </c>
      <c r="R321" t="s">
        <v>780</v>
      </c>
      <c r="S321" t="s">
        <v>789</v>
      </c>
      <c r="T321">
        <v>7530.693711</v>
      </c>
      <c r="U321" s="2">
        <v>44513</v>
      </c>
      <c r="V321" t="s">
        <v>797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68.56999999999999</v>
      </c>
      <c r="D322">
        <v>77</v>
      </c>
      <c r="E322">
        <v>0.8905194805194804</v>
      </c>
      <c r="F322">
        <v>0.03383403820912936</v>
      </c>
      <c r="G322">
        <v>0.02346104018262052</v>
      </c>
      <c r="H322">
        <v>0.06</v>
      </c>
      <c r="I322">
        <v>0.1130014749849708</v>
      </c>
      <c r="J322" t="s">
        <v>367</v>
      </c>
      <c r="K322" t="s">
        <v>777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-0.135210805766102</v>
      </c>
      <c r="R322" t="s">
        <v>780</v>
      </c>
      <c r="S322" t="s">
        <v>789</v>
      </c>
      <c r="T322">
        <v>3674.495424</v>
      </c>
      <c r="U322" s="2">
        <v>44502</v>
      </c>
      <c r="V322" t="s">
        <v>795</v>
      </c>
    </row>
    <row r="323" spans="1:22">
      <c r="A323" s="1" t="s">
        <v>343</v>
      </c>
      <c r="B323">
        <f>HYPERLINK("https://www.suredividend.com/sure-analysis-EQNR/","Equinor ASA")</f>
        <v>0</v>
      </c>
      <c r="C323">
        <v>25.71</v>
      </c>
      <c r="D323">
        <v>34.8</v>
      </c>
      <c r="E323">
        <v>0.738793103448276</v>
      </c>
      <c r="F323">
        <v>0.02800466744457409</v>
      </c>
      <c r="G323">
        <v>0.06241803265122536</v>
      </c>
      <c r="H323">
        <v>0.02</v>
      </c>
      <c r="I323">
        <v>0.1119424639909665</v>
      </c>
      <c r="J323" t="s">
        <v>367</v>
      </c>
      <c r="K323" t="s">
        <v>367</v>
      </c>
      <c r="L323">
        <v>2.9</v>
      </c>
      <c r="M323">
        <v>0.72</v>
      </c>
      <c r="N323">
        <v>0.2482758620689655</v>
      </c>
      <c r="O323">
        <v>0</v>
      </c>
      <c r="P323">
        <v>0.1305865872992673</v>
      </c>
      <c r="Q323">
        <v>0.592216655416075</v>
      </c>
      <c r="R323" t="s">
        <v>780</v>
      </c>
      <c r="S323" t="s">
        <v>793</v>
      </c>
      <c r="T323">
        <v>83755.150947</v>
      </c>
      <c r="U323" s="2">
        <v>44502</v>
      </c>
      <c r="V323" t="s">
        <v>795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149.52</v>
      </c>
      <c r="D324">
        <v>206</v>
      </c>
      <c r="E324">
        <v>0.7258252427184466</v>
      </c>
      <c r="F324">
        <v>0.01658640984483681</v>
      </c>
      <c r="G324">
        <v>0.06618749964800186</v>
      </c>
      <c r="H324">
        <v>0.03</v>
      </c>
      <c r="I324">
        <v>0.1118663939529982</v>
      </c>
      <c r="J324" t="s">
        <v>367</v>
      </c>
      <c r="K324" t="s">
        <v>515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0.197529015170142</v>
      </c>
      <c r="R324" t="s">
        <v>780</v>
      </c>
      <c r="S324" t="s">
        <v>785</v>
      </c>
      <c r="T324">
        <v>18342.33176</v>
      </c>
      <c r="U324" s="2">
        <v>44490</v>
      </c>
      <c r="V324" t="s">
        <v>797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30.08</v>
      </c>
      <c r="D325">
        <v>34</v>
      </c>
      <c r="E325">
        <v>0.8847058823529411</v>
      </c>
      <c r="F325">
        <v>0.05219414893617022</v>
      </c>
      <c r="G325">
        <v>0.02480259634076765</v>
      </c>
      <c r="H325">
        <v>0.045</v>
      </c>
      <c r="I325">
        <v>0.1111751051307324</v>
      </c>
      <c r="J325" t="s">
        <v>367</v>
      </c>
      <c r="K325" t="s">
        <v>776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0.253333333333333</v>
      </c>
      <c r="R325" t="s">
        <v>780</v>
      </c>
      <c r="S325" t="s">
        <v>790</v>
      </c>
      <c r="T325">
        <v>27988.988379</v>
      </c>
      <c r="U325" s="2">
        <v>44514</v>
      </c>
      <c r="V325" t="s">
        <v>801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61.96</v>
      </c>
      <c r="D326">
        <v>73</v>
      </c>
      <c r="E326">
        <v>0.8487671232876712</v>
      </c>
      <c r="F326">
        <v>0.005164622336991607</v>
      </c>
      <c r="G326">
        <v>0.03333773771623871</v>
      </c>
      <c r="H326">
        <v>0.07000000000000001</v>
      </c>
      <c r="I326">
        <v>0.109662052054307</v>
      </c>
      <c r="J326" t="s">
        <v>367</v>
      </c>
      <c r="K326" t="s">
        <v>778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0.584792539504714</v>
      </c>
      <c r="R326" t="s">
        <v>780</v>
      </c>
      <c r="S326" t="s">
        <v>786</v>
      </c>
      <c r="T326">
        <v>8881.035175000001</v>
      </c>
      <c r="U326" s="2">
        <v>44491</v>
      </c>
      <c r="V326" t="s">
        <v>801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114.7</v>
      </c>
      <c r="D327">
        <v>143</v>
      </c>
      <c r="E327">
        <v>0.8020979020979021</v>
      </c>
      <c r="F327">
        <v>0.02824760244115083</v>
      </c>
      <c r="G327">
        <v>0.04509200146916092</v>
      </c>
      <c r="H327">
        <v>0.04</v>
      </c>
      <c r="I327">
        <v>0.1094447120612945</v>
      </c>
      <c r="J327" t="s">
        <v>367</v>
      </c>
      <c r="K327" t="s">
        <v>367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0.114771943124277</v>
      </c>
      <c r="R327" t="s">
        <v>780</v>
      </c>
      <c r="S327" t="s">
        <v>790</v>
      </c>
      <c r="T327">
        <v>32881.741903</v>
      </c>
      <c r="U327" s="2">
        <v>44505</v>
      </c>
      <c r="V327" t="s">
        <v>801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52.62</v>
      </c>
      <c r="D328">
        <v>75</v>
      </c>
      <c r="E328">
        <v>0.7016</v>
      </c>
      <c r="F328">
        <v>0.03344735841885215</v>
      </c>
      <c r="G328">
        <v>0.07345065153217378</v>
      </c>
      <c r="H328">
        <v>0.01</v>
      </c>
      <c r="I328">
        <v>0.1087226251485023</v>
      </c>
      <c r="J328" t="s">
        <v>367</v>
      </c>
      <c r="K328" t="s">
        <v>777</v>
      </c>
      <c r="L328">
        <v>7.5</v>
      </c>
      <c r="M328">
        <v>1.76</v>
      </c>
      <c r="N328">
        <v>0.2346666666666667</v>
      </c>
      <c r="O328">
        <v>11</v>
      </c>
      <c r="P328">
        <v>0.01966570441215199</v>
      </c>
      <c r="Q328">
        <v>0.469467087791023</v>
      </c>
      <c r="R328" t="s">
        <v>780</v>
      </c>
      <c r="S328" t="s">
        <v>790</v>
      </c>
      <c r="T328">
        <v>14972.060001</v>
      </c>
      <c r="U328" s="2">
        <v>44511</v>
      </c>
      <c r="V328" t="s">
        <v>799</v>
      </c>
    </row>
    <row r="329" spans="1:22">
      <c r="A329" s="1" t="s">
        <v>349</v>
      </c>
      <c r="B329">
        <f>HYPERLINK("https://www.suredividend.com/sure-analysis-HPE/","Hewlett Packard Enterprise Co")</f>
        <v>0</v>
      </c>
      <c r="C329">
        <v>14.86</v>
      </c>
      <c r="D329">
        <v>16.49</v>
      </c>
      <c r="E329">
        <v>0.9011522134627047</v>
      </c>
      <c r="F329">
        <v>0.03230148048452221</v>
      </c>
      <c r="G329">
        <v>0.02103438813869896</v>
      </c>
      <c r="H329">
        <v>0.06</v>
      </c>
      <c r="I329">
        <v>0.1082650838332209</v>
      </c>
      <c r="J329" t="s">
        <v>367</v>
      </c>
      <c r="K329" t="s">
        <v>367</v>
      </c>
      <c r="L329">
        <v>1.94</v>
      </c>
      <c r="M329">
        <v>0.48</v>
      </c>
      <c r="N329">
        <v>0.2474226804123711</v>
      </c>
      <c r="O329">
        <v>4</v>
      </c>
      <c r="P329">
        <v>0.04910201101938982</v>
      </c>
      <c r="Q329">
        <v>0.333381189096064</v>
      </c>
      <c r="R329" t="s">
        <v>780</v>
      </c>
      <c r="S329" t="s">
        <v>786</v>
      </c>
      <c r="T329">
        <v>19437.623208</v>
      </c>
      <c r="U329" s="2">
        <v>44443</v>
      </c>
      <c r="V329" t="s">
        <v>795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4.82</v>
      </c>
      <c r="D330">
        <v>5.6</v>
      </c>
      <c r="E330">
        <v>0.8607142857142858</v>
      </c>
      <c r="F330">
        <v>0.03526970954356846</v>
      </c>
      <c r="G330">
        <v>0.0304530232420388</v>
      </c>
      <c r="H330">
        <v>0.04</v>
      </c>
      <c r="I330">
        <v>0.1036120022673539</v>
      </c>
      <c r="J330" t="s">
        <v>367</v>
      </c>
      <c r="K330" t="s">
        <v>367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0.309355644898402</v>
      </c>
      <c r="R330" t="s">
        <v>780</v>
      </c>
      <c r="S330" t="s">
        <v>790</v>
      </c>
      <c r="T330">
        <v>10146.769426</v>
      </c>
      <c r="U330" s="2">
        <v>44517</v>
      </c>
      <c r="V330" t="s">
        <v>804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24.65</v>
      </c>
      <c r="D331">
        <v>29</v>
      </c>
      <c r="E331">
        <v>0.85</v>
      </c>
      <c r="F331">
        <v>0.0486815415821501</v>
      </c>
      <c r="G331">
        <v>0.03303780411393231</v>
      </c>
      <c r="H331">
        <v>0.03</v>
      </c>
      <c r="I331">
        <v>0.1027984090194969</v>
      </c>
      <c r="J331" t="s">
        <v>367</v>
      </c>
      <c r="K331" t="s">
        <v>776</v>
      </c>
      <c r="L331">
        <v>1.6</v>
      </c>
      <c r="M331">
        <v>1.2</v>
      </c>
      <c r="N331">
        <v>0.7499999999999999</v>
      </c>
      <c r="O331">
        <v>23</v>
      </c>
      <c r="P331">
        <v>0.03131030647754507</v>
      </c>
      <c r="Q331">
        <v>0.035040204908567</v>
      </c>
      <c r="R331" t="s">
        <v>780</v>
      </c>
      <c r="S331" t="s">
        <v>789</v>
      </c>
      <c r="T331">
        <v>2771.82099</v>
      </c>
      <c r="U331" s="2">
        <v>44517</v>
      </c>
      <c r="V331" t="s">
        <v>802</v>
      </c>
    </row>
    <row r="332" spans="1:22">
      <c r="A332" s="1" t="s">
        <v>352</v>
      </c>
      <c r="B332">
        <f>HYPERLINK("https://www.suredividend.com/sure-analysis-PHM/","PulteGroup Inc")</f>
        <v>0</v>
      </c>
      <c r="C332">
        <v>52.65</v>
      </c>
      <c r="D332">
        <v>61</v>
      </c>
      <c r="E332">
        <v>0.8631147540983606</v>
      </c>
      <c r="F332">
        <v>0.01063627730294397</v>
      </c>
      <c r="G332">
        <v>0.02987921164642837</v>
      </c>
      <c r="H332">
        <v>0.06</v>
      </c>
      <c r="I332">
        <v>0.1001924034748922</v>
      </c>
      <c r="J332" t="s">
        <v>367</v>
      </c>
      <c r="K332" t="s">
        <v>515</v>
      </c>
      <c r="L332">
        <v>7.13</v>
      </c>
      <c r="M332">
        <v>0.5600000000000001</v>
      </c>
      <c r="N332">
        <v>0.07854137447405331</v>
      </c>
      <c r="O332">
        <v>4</v>
      </c>
      <c r="P332">
        <v>0.04861016738492974</v>
      </c>
      <c r="Q332">
        <v>0.211124401913875</v>
      </c>
      <c r="R332" t="s">
        <v>780</v>
      </c>
      <c r="S332" t="s">
        <v>791</v>
      </c>
      <c r="T332">
        <v>13330.225368</v>
      </c>
      <c r="U332" s="2">
        <v>44498</v>
      </c>
      <c r="V332" t="s">
        <v>801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55.5</v>
      </c>
      <c r="D333">
        <v>61</v>
      </c>
      <c r="E333">
        <v>0.9098360655737705</v>
      </c>
      <c r="F333">
        <v>0.06486486486486487</v>
      </c>
      <c r="G333">
        <v>0.01907786929315658</v>
      </c>
      <c r="H333">
        <v>0.03</v>
      </c>
      <c r="I333">
        <v>0.09967713474982576</v>
      </c>
      <c r="J333" t="s">
        <v>367</v>
      </c>
      <c r="K333" t="s">
        <v>777</v>
      </c>
      <c r="L333">
        <v>4.78</v>
      </c>
      <c r="M333">
        <v>3.6</v>
      </c>
      <c r="N333">
        <v>0.7531380753138075</v>
      </c>
      <c r="O333">
        <v>0</v>
      </c>
      <c r="P333">
        <v>0.009805797673485328</v>
      </c>
      <c r="Q333">
        <v>-0.117372026895503</v>
      </c>
      <c r="R333" t="s">
        <v>782</v>
      </c>
      <c r="S333" t="s">
        <v>794</v>
      </c>
      <c r="T333">
        <v>2544.708245</v>
      </c>
      <c r="U333" s="2">
        <v>44513</v>
      </c>
      <c r="V333" t="s">
        <v>801</v>
      </c>
    </row>
    <row r="334" spans="1:22">
      <c r="A334" s="1" t="s">
        <v>354</v>
      </c>
      <c r="B334">
        <f>HYPERLINK("https://www.suredividend.com/sure-analysis-OGE/","Oge Energy Corp.")</f>
        <v>0</v>
      </c>
      <c r="C334">
        <v>35.4</v>
      </c>
      <c r="D334">
        <v>37</v>
      </c>
      <c r="E334">
        <v>0.9567567567567568</v>
      </c>
      <c r="F334">
        <v>0.04632768361581921</v>
      </c>
      <c r="G334">
        <v>0.00888041751036206</v>
      </c>
      <c r="H334">
        <v>0.05</v>
      </c>
      <c r="I334">
        <v>0.09912280686930885</v>
      </c>
      <c r="J334" t="s">
        <v>367</v>
      </c>
      <c r="K334" t="s">
        <v>777</v>
      </c>
      <c r="L334">
        <v>2.17</v>
      </c>
      <c r="M334">
        <v>1.64</v>
      </c>
      <c r="N334">
        <v>0.7557603686635944</v>
      </c>
      <c r="O334">
        <v>15</v>
      </c>
      <c r="P334">
        <v>0.05168994430952489</v>
      </c>
      <c r="Q334">
        <v>0.069748186112009</v>
      </c>
      <c r="R334" t="s">
        <v>780</v>
      </c>
      <c r="S334" t="s">
        <v>789</v>
      </c>
      <c r="T334">
        <v>7086.172379</v>
      </c>
      <c r="U334" s="2">
        <v>44508</v>
      </c>
      <c r="V334" t="s">
        <v>804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52.1</v>
      </c>
      <c r="D335">
        <v>54</v>
      </c>
      <c r="E335">
        <v>0.9648148148148148</v>
      </c>
      <c r="F335">
        <v>0.03896353166986564</v>
      </c>
      <c r="G335">
        <v>0.007189541101147556</v>
      </c>
      <c r="H335">
        <v>0.06</v>
      </c>
      <c r="I335">
        <v>0.09892774923424241</v>
      </c>
      <c r="J335" t="s">
        <v>367</v>
      </c>
      <c r="K335" t="s">
        <v>777</v>
      </c>
      <c r="L335">
        <v>2.98</v>
      </c>
      <c r="M335">
        <v>2.03</v>
      </c>
      <c r="N335">
        <v>0.6812080536912751</v>
      </c>
      <c r="O335">
        <v>6</v>
      </c>
      <c r="P335">
        <v>0.03405357579605606</v>
      </c>
      <c r="Q335">
        <v>-0.070446257163451</v>
      </c>
      <c r="R335" t="s">
        <v>780</v>
      </c>
      <c r="S335" t="s">
        <v>792</v>
      </c>
      <c r="T335">
        <v>133935.935424</v>
      </c>
      <c r="U335" s="2">
        <v>44516</v>
      </c>
      <c r="V335" t="s">
        <v>804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17.41</v>
      </c>
      <c r="D336">
        <v>19.6</v>
      </c>
      <c r="E336">
        <v>0.8882653061224489</v>
      </c>
      <c r="F336">
        <v>0.0539919586444572</v>
      </c>
      <c r="G336">
        <v>0.02397996653090306</v>
      </c>
      <c r="H336">
        <v>0.03</v>
      </c>
      <c r="I336">
        <v>0.09792887356893099</v>
      </c>
      <c r="J336" t="s">
        <v>367</v>
      </c>
      <c r="K336" t="s">
        <v>776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0.00599785048133</v>
      </c>
      <c r="R336" t="s">
        <v>780</v>
      </c>
      <c r="S336" t="s">
        <v>788</v>
      </c>
      <c r="T336">
        <v>63962.85625</v>
      </c>
      <c r="U336" s="2">
        <v>44497</v>
      </c>
      <c r="V336" t="s">
        <v>806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119.5</v>
      </c>
      <c r="D337">
        <v>154</v>
      </c>
      <c r="E337">
        <v>0.775974025974026</v>
      </c>
      <c r="F337">
        <v>0.01673640167364017</v>
      </c>
      <c r="G337">
        <v>0.05203590736411479</v>
      </c>
      <c r="H337">
        <v>0.03</v>
      </c>
      <c r="I337">
        <v>0.09774197605766011</v>
      </c>
      <c r="J337" t="s">
        <v>367</v>
      </c>
      <c r="K337" t="s">
        <v>515</v>
      </c>
      <c r="L337">
        <v>17.1</v>
      </c>
      <c r="M337">
        <v>2</v>
      </c>
      <c r="N337">
        <v>0.1169590643274854</v>
      </c>
      <c r="O337">
        <v>10</v>
      </c>
      <c r="P337">
        <v>0.0602809527753625</v>
      </c>
      <c r="Q337">
        <v>0.488903618721062</v>
      </c>
      <c r="R337" t="s">
        <v>780</v>
      </c>
      <c r="S337" t="s">
        <v>790</v>
      </c>
      <c r="T337">
        <v>35022.552603</v>
      </c>
      <c r="U337" s="2">
        <v>44499</v>
      </c>
      <c r="V337" t="s">
        <v>800</v>
      </c>
    </row>
    <row r="338" spans="1:22">
      <c r="A338" s="1" t="s">
        <v>358</v>
      </c>
      <c r="B338">
        <f>HYPERLINK("https://www.suredividend.com/sure-analysis-SVC/","Service Properties Trust")</f>
        <v>0</v>
      </c>
      <c r="C338">
        <v>9.83</v>
      </c>
      <c r="D338">
        <v>14</v>
      </c>
      <c r="E338">
        <v>0.7021428571428572</v>
      </c>
      <c r="F338">
        <v>0.004069175991861648</v>
      </c>
      <c r="G338">
        <v>0.07328461391032448</v>
      </c>
      <c r="H338">
        <v>0.02</v>
      </c>
      <c r="I338">
        <v>0.09756875389938191</v>
      </c>
      <c r="J338" t="s">
        <v>367</v>
      </c>
      <c r="K338" t="s">
        <v>778</v>
      </c>
      <c r="L338">
        <v>0.3</v>
      </c>
      <c r="M338">
        <v>0.04</v>
      </c>
      <c r="N338">
        <v>0.1333333333333333</v>
      </c>
      <c r="O338">
        <v>0</v>
      </c>
      <c r="P338">
        <v>0</v>
      </c>
      <c r="Q338">
        <v>-0.219581130218009</v>
      </c>
      <c r="R338" t="s">
        <v>782</v>
      </c>
      <c r="S338" t="s">
        <v>794</v>
      </c>
      <c r="T338">
        <v>1622.857633</v>
      </c>
      <c r="U338" s="2">
        <v>44512</v>
      </c>
      <c r="V338" t="s">
        <v>800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71.31999999999999</v>
      </c>
      <c r="D339">
        <v>76</v>
      </c>
      <c r="E339">
        <v>0.9384210526315788</v>
      </c>
      <c r="F339">
        <v>0.02523836231071229</v>
      </c>
      <c r="G339">
        <v>0.01279244155295434</v>
      </c>
      <c r="H339">
        <v>0.06</v>
      </c>
      <c r="I339">
        <v>0.09596135228595437</v>
      </c>
      <c r="J339" t="s">
        <v>367</v>
      </c>
      <c r="K339" t="s">
        <v>367</v>
      </c>
      <c r="L339">
        <v>8.960000000000001</v>
      </c>
      <c r="M339">
        <v>1.8</v>
      </c>
      <c r="N339">
        <v>0.2008928571428571</v>
      </c>
      <c r="O339">
        <v>11</v>
      </c>
      <c r="P339">
        <v>0.06961037572506878</v>
      </c>
      <c r="Q339">
        <v>0.440205812922676</v>
      </c>
      <c r="R339" t="s">
        <v>780</v>
      </c>
      <c r="S339" t="s">
        <v>790</v>
      </c>
      <c r="T339">
        <v>12888.143557</v>
      </c>
      <c r="U339" s="2">
        <v>44505</v>
      </c>
      <c r="V339" t="s">
        <v>801</v>
      </c>
    </row>
    <row r="340" spans="1:22">
      <c r="A340" s="1" t="s">
        <v>360</v>
      </c>
      <c r="B340">
        <f>HYPERLINK("https://www.suredividend.com/sure-analysis-SMG/","Scotts Miracle-Gro Company")</f>
        <v>0</v>
      </c>
      <c r="C340">
        <v>165.08</v>
      </c>
      <c r="D340">
        <v>174</v>
      </c>
      <c r="E340">
        <v>0.9487356321839081</v>
      </c>
      <c r="F340">
        <v>0.01599224618366852</v>
      </c>
      <c r="G340">
        <v>0.01058060170943209</v>
      </c>
      <c r="H340">
        <v>0.07000000000000001</v>
      </c>
      <c r="I340">
        <v>0.09494555207042299</v>
      </c>
      <c r="J340" t="s">
        <v>367</v>
      </c>
      <c r="K340" t="s">
        <v>515</v>
      </c>
      <c r="L340">
        <v>8.699999999999999</v>
      </c>
      <c r="M340">
        <v>2.64</v>
      </c>
      <c r="N340">
        <v>0.303448275862069</v>
      </c>
      <c r="O340">
        <v>12</v>
      </c>
      <c r="P340">
        <v>0.05982499004041508</v>
      </c>
      <c r="Q340">
        <v>-0.02268752641905</v>
      </c>
      <c r="R340" t="s">
        <v>780</v>
      </c>
      <c r="S340" t="s">
        <v>788</v>
      </c>
      <c r="T340">
        <v>9105.006219000001</v>
      </c>
      <c r="U340" s="2">
        <v>44503</v>
      </c>
      <c r="V340" t="s">
        <v>795</v>
      </c>
    </row>
    <row r="341" spans="1:22">
      <c r="A341" s="1" t="s">
        <v>361</v>
      </c>
      <c r="B341">
        <f>HYPERLINK("https://www.suredividend.com/sure-analysis-SYF/","Synchrony Financial")</f>
        <v>0</v>
      </c>
      <c r="C341">
        <v>49.77</v>
      </c>
      <c r="D341">
        <v>63</v>
      </c>
      <c r="E341">
        <v>0.79</v>
      </c>
      <c r="F341">
        <v>0.01768133413703034</v>
      </c>
      <c r="G341">
        <v>0.04827343874993084</v>
      </c>
      <c r="H341">
        <v>0.03</v>
      </c>
      <c r="I341">
        <v>0.09485812368143254</v>
      </c>
      <c r="J341" t="s">
        <v>367</v>
      </c>
      <c r="K341" t="s">
        <v>515</v>
      </c>
      <c r="L341">
        <v>7</v>
      </c>
      <c r="M341">
        <v>0.88</v>
      </c>
      <c r="N341">
        <v>0.1257142857142857</v>
      </c>
      <c r="O341">
        <v>4</v>
      </c>
      <c r="P341">
        <v>0.06042477819475911</v>
      </c>
      <c r="Q341">
        <v>0.588765953099961</v>
      </c>
      <c r="R341" t="s">
        <v>780</v>
      </c>
      <c r="S341" t="s">
        <v>790</v>
      </c>
      <c r="T341">
        <v>27237.089239</v>
      </c>
      <c r="U341" s="2">
        <v>44500</v>
      </c>
      <c r="V341" t="s">
        <v>800</v>
      </c>
    </row>
    <row r="342" spans="1:22">
      <c r="A342" s="1" t="s">
        <v>362</v>
      </c>
      <c r="B342">
        <f>HYPERLINK("https://www.suredividend.com/sure-analysis-PM/","Philip Morris International Inc")</f>
        <v>0</v>
      </c>
      <c r="C342">
        <v>90.03</v>
      </c>
      <c r="D342">
        <v>97</v>
      </c>
      <c r="E342">
        <v>0.9281443298969072</v>
      </c>
      <c r="F342">
        <v>0.05553704320781962</v>
      </c>
      <c r="G342">
        <v>0.01502536880361882</v>
      </c>
      <c r="H342">
        <v>0.03</v>
      </c>
      <c r="I342">
        <v>0.09200667875629809</v>
      </c>
      <c r="J342" t="s">
        <v>367</v>
      </c>
      <c r="K342" t="s">
        <v>777</v>
      </c>
      <c r="L342">
        <v>6.04</v>
      </c>
      <c r="M342">
        <v>5</v>
      </c>
      <c r="N342">
        <v>0.8278145695364238</v>
      </c>
      <c r="O342">
        <v>14</v>
      </c>
      <c r="P342">
        <v>0.03012896281839894</v>
      </c>
      <c r="Q342">
        <v>0.215568676322266</v>
      </c>
      <c r="R342" t="s">
        <v>780</v>
      </c>
      <c r="S342" t="s">
        <v>792</v>
      </c>
      <c r="T342">
        <v>140161.19603</v>
      </c>
      <c r="U342" s="2">
        <v>44488</v>
      </c>
      <c r="V342" t="s">
        <v>795</v>
      </c>
    </row>
    <row r="343" spans="1:22">
      <c r="A343" s="1" t="s">
        <v>363</v>
      </c>
      <c r="B343">
        <f>HYPERLINK("https://www.suredividend.com/sure-analysis-TYCB/","Calvin b. Taylor Bankshares, Inc.")</f>
        <v>0</v>
      </c>
      <c r="C343">
        <v>38.25</v>
      </c>
      <c r="D343">
        <v>39</v>
      </c>
      <c r="E343">
        <v>0.9807692307692307</v>
      </c>
      <c r="F343">
        <v>0.03032679738562091</v>
      </c>
      <c r="G343">
        <v>0.003891168184504412</v>
      </c>
      <c r="H343">
        <v>0.06</v>
      </c>
      <c r="I343">
        <v>0.09178919777647487</v>
      </c>
      <c r="J343" t="s">
        <v>367</v>
      </c>
      <c r="K343" t="s">
        <v>777</v>
      </c>
      <c r="L343">
        <v>3.1</v>
      </c>
      <c r="M343">
        <v>1.16</v>
      </c>
      <c r="N343">
        <v>0.3741935483870967</v>
      </c>
      <c r="O343">
        <v>30</v>
      </c>
      <c r="P343">
        <v>0.07039956279333892</v>
      </c>
      <c r="Q343">
        <v>0.141470751490626</v>
      </c>
      <c r="R343" t="s">
        <v>780</v>
      </c>
      <c r="S343" t="s">
        <v>790</v>
      </c>
      <c r="T343">
        <v>105.606873</v>
      </c>
      <c r="U343" s="2">
        <v>44424</v>
      </c>
      <c r="V343" t="s">
        <v>800</v>
      </c>
    </row>
    <row r="344" spans="1:22">
      <c r="A344" s="1" t="s">
        <v>364</v>
      </c>
      <c r="B344">
        <f>HYPERLINK("https://www.suredividend.com/sure-analysis-LRCX/","Lam Research Corp.")</f>
        <v>0</v>
      </c>
      <c r="C344">
        <v>660.79</v>
      </c>
      <c r="D344">
        <v>615</v>
      </c>
      <c r="E344">
        <v>1.074455284552845</v>
      </c>
      <c r="F344">
        <v>0.007869368483179226</v>
      </c>
      <c r="G344">
        <v>-0.01426011177002551</v>
      </c>
      <c r="H344">
        <v>0.1</v>
      </c>
      <c r="I344">
        <v>0.09164079295335692</v>
      </c>
      <c r="J344" t="s">
        <v>367</v>
      </c>
      <c r="K344" t="s">
        <v>778</v>
      </c>
      <c r="L344">
        <v>34.16</v>
      </c>
      <c r="M344">
        <v>5.2</v>
      </c>
      <c r="N344">
        <v>0.1522248243559719</v>
      </c>
      <c r="O344">
        <v>7</v>
      </c>
      <c r="P344">
        <v>0.08997698704834534</v>
      </c>
      <c r="Q344">
        <v>0.494166039000404</v>
      </c>
      <c r="R344" t="s">
        <v>780</v>
      </c>
      <c r="S344" t="s">
        <v>786</v>
      </c>
      <c r="T344">
        <v>93038.370991</v>
      </c>
      <c r="U344" s="2">
        <v>44499</v>
      </c>
      <c r="V344" t="s">
        <v>797</v>
      </c>
    </row>
    <row r="345" spans="1:22">
      <c r="A345" s="1" t="s">
        <v>365</v>
      </c>
      <c r="B345">
        <f>HYPERLINK("https://www.suredividend.com/sure-analysis-CC/","Chemours Company")</f>
        <v>0</v>
      </c>
      <c r="C345">
        <v>32.52</v>
      </c>
      <c r="D345">
        <v>39</v>
      </c>
      <c r="E345">
        <v>0.8338461538461539</v>
      </c>
      <c r="F345">
        <v>0.03075030750307503</v>
      </c>
      <c r="G345">
        <v>0.03700968878045519</v>
      </c>
      <c r="H345">
        <v>0.03</v>
      </c>
      <c r="I345">
        <v>0.09076415723571896</v>
      </c>
      <c r="J345" t="s">
        <v>367</v>
      </c>
      <c r="K345" t="s">
        <v>367</v>
      </c>
      <c r="L345">
        <v>3.93</v>
      </c>
      <c r="M345">
        <v>1</v>
      </c>
      <c r="N345">
        <v>0.2544529262086514</v>
      </c>
      <c r="O345">
        <v>0</v>
      </c>
      <c r="P345">
        <v>0</v>
      </c>
      <c r="Q345">
        <v>0.312242756839641</v>
      </c>
      <c r="R345" t="s">
        <v>780</v>
      </c>
      <c r="S345" t="s">
        <v>788</v>
      </c>
      <c r="T345">
        <v>5299.486712</v>
      </c>
      <c r="U345" s="2">
        <v>44505</v>
      </c>
      <c r="V345" t="s">
        <v>796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56.23</v>
      </c>
      <c r="D346">
        <v>49</v>
      </c>
      <c r="E346">
        <v>1.147551020408163</v>
      </c>
      <c r="F346">
        <v>0.009425573537257693</v>
      </c>
      <c r="G346">
        <v>-0.02715063602377421</v>
      </c>
      <c r="H346">
        <v>0.11</v>
      </c>
      <c r="I346">
        <v>0.08802748535088156</v>
      </c>
      <c r="J346" t="s">
        <v>367</v>
      </c>
      <c r="K346" t="s">
        <v>778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0.895474188785588</v>
      </c>
      <c r="R346" t="s">
        <v>780</v>
      </c>
      <c r="S346" t="s">
        <v>787</v>
      </c>
      <c r="T346">
        <v>6252.003231</v>
      </c>
      <c r="U346" s="2">
        <v>44511</v>
      </c>
      <c r="V346" t="s">
        <v>795</v>
      </c>
    </row>
    <row r="347" spans="1:22">
      <c r="A347" s="1" t="s">
        <v>367</v>
      </c>
      <c r="B347">
        <f>HYPERLINK("https://www.suredividend.com/sure-analysis-C/","Citigroup Inc")</f>
        <v>0</v>
      </c>
      <c r="C347">
        <v>67.28</v>
      </c>
      <c r="D347">
        <v>105</v>
      </c>
      <c r="E347">
        <v>0.6407619047619048</v>
      </c>
      <c r="F347">
        <v>0.03032104637336504</v>
      </c>
      <c r="G347">
        <v>0.09310193542370993</v>
      </c>
      <c r="H347">
        <v>-0.03</v>
      </c>
      <c r="I347">
        <v>0.08754221647060811</v>
      </c>
      <c r="J347" t="s">
        <v>367</v>
      </c>
      <c r="K347" t="s">
        <v>367</v>
      </c>
      <c r="L347">
        <v>10.5</v>
      </c>
      <c r="M347">
        <v>2.04</v>
      </c>
      <c r="N347">
        <v>0.1942857142857143</v>
      </c>
      <c r="O347">
        <v>6</v>
      </c>
      <c r="P347">
        <v>0.06000153927394081</v>
      </c>
      <c r="Q347">
        <v>0.215115985060286</v>
      </c>
      <c r="R347" t="s">
        <v>780</v>
      </c>
      <c r="S347" t="s">
        <v>790</v>
      </c>
      <c r="T347">
        <v>136362.107112</v>
      </c>
      <c r="U347" s="2">
        <v>44485</v>
      </c>
      <c r="V347" t="s">
        <v>798</v>
      </c>
    </row>
    <row r="348" spans="1:22">
      <c r="A348" s="1" t="s">
        <v>368</v>
      </c>
      <c r="B348">
        <f>HYPERLINK("https://www.suredividend.com/sure-analysis-POR/","Portland General Electric Co")</f>
        <v>0</v>
      </c>
      <c r="C348">
        <v>50.56</v>
      </c>
      <c r="D348">
        <v>52</v>
      </c>
      <c r="E348">
        <v>0.9723076923076923</v>
      </c>
      <c r="F348">
        <v>0.03401898734177215</v>
      </c>
      <c r="G348">
        <v>0.005632396383039806</v>
      </c>
      <c r="H348">
        <v>0.05</v>
      </c>
      <c r="I348">
        <v>0.08674817631202925</v>
      </c>
      <c r="J348" t="s">
        <v>367</v>
      </c>
      <c r="K348" t="s">
        <v>777</v>
      </c>
      <c r="L348">
        <v>2.78</v>
      </c>
      <c r="M348">
        <v>1.72</v>
      </c>
      <c r="N348">
        <v>0.6187050359712231</v>
      </c>
      <c r="O348">
        <v>14</v>
      </c>
      <c r="P348">
        <v>0.05983895403096029</v>
      </c>
      <c r="Q348">
        <v>0.205672575002802</v>
      </c>
      <c r="R348" t="s">
        <v>780</v>
      </c>
      <c r="S348" t="s">
        <v>789</v>
      </c>
      <c r="T348">
        <v>4520.550033</v>
      </c>
      <c r="U348" s="2">
        <v>44498</v>
      </c>
      <c r="V348" t="s">
        <v>801</v>
      </c>
    </row>
    <row r="349" spans="1:22">
      <c r="A349" s="1" t="s">
        <v>369</v>
      </c>
      <c r="B349">
        <f>HYPERLINK("https://www.suredividend.com/sure-analysis-MPLX/","MPLX LP")</f>
        <v>0</v>
      </c>
      <c r="C349">
        <v>31.05</v>
      </c>
      <c r="D349">
        <v>29</v>
      </c>
      <c r="E349">
        <v>1.070689655172414</v>
      </c>
      <c r="F349">
        <v>0.09082125603864734</v>
      </c>
      <c r="G349">
        <v>-0.01356771316597183</v>
      </c>
      <c r="H349">
        <v>0.02</v>
      </c>
      <c r="I349">
        <v>0.086337364071704</v>
      </c>
      <c r="J349" t="s">
        <v>367</v>
      </c>
      <c r="K349" t="s">
        <v>776</v>
      </c>
      <c r="L349">
        <v>4.1</v>
      </c>
      <c r="M349">
        <v>2.82</v>
      </c>
      <c r="N349">
        <v>0.6878048780487805</v>
      </c>
      <c r="O349">
        <v>9</v>
      </c>
      <c r="P349">
        <v>0.01977005769334617</v>
      </c>
      <c r="Q349">
        <v>0.520106529848919</v>
      </c>
      <c r="R349" t="s">
        <v>781</v>
      </c>
      <c r="S349" t="s">
        <v>793</v>
      </c>
      <c r="T349">
        <v>31666.76596</v>
      </c>
      <c r="U349" s="2">
        <v>44509</v>
      </c>
      <c r="V349" t="s">
        <v>799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115.51</v>
      </c>
      <c r="D350">
        <v>90</v>
      </c>
      <c r="E350">
        <v>1.283444444444445</v>
      </c>
      <c r="F350">
        <v>0.009869275387412344</v>
      </c>
      <c r="G350">
        <v>-0.04868447315836288</v>
      </c>
      <c r="H350">
        <v>0.13</v>
      </c>
      <c r="I350">
        <v>0.0861697713132612</v>
      </c>
      <c r="J350" t="s">
        <v>367</v>
      </c>
      <c r="K350" t="s">
        <v>778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0.025830939935027</v>
      </c>
      <c r="R350" t="s">
        <v>780</v>
      </c>
      <c r="S350" t="s">
        <v>791</v>
      </c>
      <c r="T350">
        <v>41048.322155</v>
      </c>
      <c r="U350" s="2">
        <v>44522</v>
      </c>
      <c r="V350" t="s">
        <v>804</v>
      </c>
    </row>
    <row r="351" spans="1:22">
      <c r="A351" s="1" t="s">
        <v>371</v>
      </c>
      <c r="B351">
        <f>HYPERLINK("https://www.suredividend.com/sure-analysis-FAF/","First American Financial Corp")</f>
        <v>0</v>
      </c>
      <c r="C351">
        <v>76.84999999999999</v>
      </c>
      <c r="D351">
        <v>82</v>
      </c>
      <c r="E351">
        <v>0.9371951219512195</v>
      </c>
      <c r="F351">
        <v>0.02524398178269356</v>
      </c>
      <c r="G351">
        <v>0.01305726670047891</v>
      </c>
      <c r="H351">
        <v>0.05</v>
      </c>
      <c r="I351">
        <v>0.0856865905220614</v>
      </c>
      <c r="J351" t="s">
        <v>367</v>
      </c>
      <c r="K351" t="s">
        <v>367</v>
      </c>
      <c r="L351">
        <v>7.48</v>
      </c>
      <c r="M351">
        <v>1.94</v>
      </c>
      <c r="N351">
        <v>0.2593582887700535</v>
      </c>
      <c r="O351">
        <v>10</v>
      </c>
      <c r="P351">
        <v>0.05034020601589084</v>
      </c>
      <c r="Q351">
        <v>0.563459996989042</v>
      </c>
      <c r="R351" t="s">
        <v>780</v>
      </c>
      <c r="S351" t="s">
        <v>790</v>
      </c>
      <c r="T351">
        <v>8435.592874</v>
      </c>
      <c r="U351" s="2">
        <v>44494</v>
      </c>
      <c r="V351" t="s">
        <v>801</v>
      </c>
    </row>
    <row r="352" spans="1:22">
      <c r="A352" s="1" t="s">
        <v>372</v>
      </c>
      <c r="B352">
        <f>HYPERLINK("https://www.suredividend.com/sure-analysis-IVZ/","Invesco Ltd")</f>
        <v>0</v>
      </c>
      <c r="C352">
        <v>24.41</v>
      </c>
      <c r="D352">
        <v>30</v>
      </c>
      <c r="E352">
        <v>0.8136666666666666</v>
      </c>
      <c r="F352">
        <v>0.02785743547726342</v>
      </c>
      <c r="G352">
        <v>0.04210311737929784</v>
      </c>
      <c r="H352">
        <v>0.02</v>
      </c>
      <c r="I352">
        <v>0.0854943392352272</v>
      </c>
      <c r="J352" t="s">
        <v>367</v>
      </c>
      <c r="K352" t="s">
        <v>367</v>
      </c>
      <c r="L352">
        <v>3</v>
      </c>
      <c r="M352">
        <v>0.68</v>
      </c>
      <c r="N352">
        <v>0.2266666666666667</v>
      </c>
      <c r="O352">
        <v>1</v>
      </c>
      <c r="P352">
        <v>0.02517111829582741</v>
      </c>
      <c r="Q352">
        <v>0.4626575907195241</v>
      </c>
      <c r="R352" t="s">
        <v>780</v>
      </c>
      <c r="S352" t="s">
        <v>790</v>
      </c>
      <c r="T352">
        <v>11258.05108</v>
      </c>
      <c r="U352" s="2">
        <v>44505</v>
      </c>
      <c r="V352" t="s">
        <v>800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62.99</v>
      </c>
      <c r="D353">
        <v>63</v>
      </c>
      <c r="E353">
        <v>0.9998412698412699</v>
      </c>
      <c r="F353">
        <v>0.04000635021431973</v>
      </c>
      <c r="G353">
        <v>3.17490555297173e-05</v>
      </c>
      <c r="H353">
        <v>0.05</v>
      </c>
      <c r="I353">
        <v>0.08377573137146976</v>
      </c>
      <c r="J353" t="s">
        <v>367</v>
      </c>
      <c r="K353" t="s">
        <v>777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0.08427160668086101</v>
      </c>
      <c r="R353" t="s">
        <v>780</v>
      </c>
      <c r="S353" t="s">
        <v>789</v>
      </c>
      <c r="T353">
        <v>3311.539633</v>
      </c>
      <c r="U353" s="2">
        <v>44513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165.96</v>
      </c>
      <c r="D354">
        <v>197</v>
      </c>
      <c r="E354">
        <v>0.8424365482233503</v>
      </c>
      <c r="F354">
        <v>0.01638949144372138</v>
      </c>
      <c r="G354">
        <v>0.03488611480122072</v>
      </c>
      <c r="H354">
        <v>0.03</v>
      </c>
      <c r="I354">
        <v>0.08246205804282059</v>
      </c>
      <c r="J354" t="s">
        <v>367</v>
      </c>
      <c r="K354" t="s">
        <v>515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0.230023969013712</v>
      </c>
      <c r="R354" t="s">
        <v>780</v>
      </c>
      <c r="S354" t="s">
        <v>787</v>
      </c>
      <c r="T354">
        <v>18068.205934</v>
      </c>
      <c r="U354" s="2">
        <v>44494</v>
      </c>
      <c r="V354" t="s">
        <v>801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20.59</v>
      </c>
      <c r="D355">
        <v>26</v>
      </c>
      <c r="E355">
        <v>0.791923076923077</v>
      </c>
      <c r="F355">
        <v>0.03108305002428364</v>
      </c>
      <c r="G355">
        <v>0.04776382575315785</v>
      </c>
      <c r="H355">
        <v>0.01</v>
      </c>
      <c r="I355">
        <v>0.08194068991216108</v>
      </c>
      <c r="J355" t="s">
        <v>367</v>
      </c>
      <c r="K355" t="s">
        <v>367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1.153495377149311</v>
      </c>
      <c r="R355" t="s">
        <v>780</v>
      </c>
      <c r="S355" t="s">
        <v>790</v>
      </c>
      <c r="T355">
        <v>3318.539139</v>
      </c>
      <c r="U355" s="2">
        <v>44505</v>
      </c>
      <c r="V355" t="s">
        <v>800</v>
      </c>
    </row>
    <row r="356" spans="1:22">
      <c r="A356" s="1" t="s">
        <v>376</v>
      </c>
      <c r="B356">
        <f>HYPERLINK("https://www.suredividend.com/sure-analysis-RCI/","Rogers Communications Inc.")</f>
        <v>0</v>
      </c>
      <c r="C356">
        <v>46.75</v>
      </c>
      <c r="D356">
        <v>47</v>
      </c>
      <c r="E356">
        <v>0.9946808510638298</v>
      </c>
      <c r="F356">
        <v>0.03422459893048128</v>
      </c>
      <c r="G356">
        <v>0.001067238288985362</v>
      </c>
      <c r="H356">
        <v>0.05</v>
      </c>
      <c r="I356">
        <v>0.08009316510643916</v>
      </c>
      <c r="J356" t="s">
        <v>367</v>
      </c>
      <c r="K356" t="s">
        <v>777</v>
      </c>
      <c r="L356">
        <v>3.1</v>
      </c>
      <c r="M356">
        <v>1.6</v>
      </c>
      <c r="N356">
        <v>0.5161290322580645</v>
      </c>
      <c r="O356">
        <v>0</v>
      </c>
      <c r="P356">
        <v>0.02946206823925857</v>
      </c>
      <c r="Q356">
        <v>0.029892208287162</v>
      </c>
      <c r="R356" t="s">
        <v>780</v>
      </c>
      <c r="S356" t="s">
        <v>784</v>
      </c>
      <c r="T356">
        <v>18408.836652</v>
      </c>
      <c r="U356" s="2">
        <v>44496</v>
      </c>
      <c r="V356" t="s">
        <v>804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109.33</v>
      </c>
      <c r="D357">
        <v>116</v>
      </c>
      <c r="E357">
        <v>0.9425</v>
      </c>
      <c r="F357">
        <v>0.04207445348943565</v>
      </c>
      <c r="G357">
        <v>0.01191428830941677</v>
      </c>
      <c r="H357">
        <v>0.03</v>
      </c>
      <c r="I357">
        <v>0.07967107347272462</v>
      </c>
      <c r="J357" t="s">
        <v>367</v>
      </c>
      <c r="K357" t="s">
        <v>777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0.435070696888076</v>
      </c>
      <c r="R357" t="s">
        <v>780</v>
      </c>
      <c r="S357" t="s">
        <v>790</v>
      </c>
      <c r="T357">
        <v>41326.74</v>
      </c>
      <c r="U357" s="2">
        <v>44509</v>
      </c>
      <c r="V357" t="s">
        <v>799</v>
      </c>
    </row>
    <row r="358" spans="1:22">
      <c r="A358" s="1" t="s">
        <v>378</v>
      </c>
      <c r="B358">
        <f>HYPERLINK("https://www.suredividend.com/sure-analysis-KSS/","Kohl`s Corp.")</f>
        <v>0</v>
      </c>
      <c r="C358">
        <v>55.32</v>
      </c>
      <c r="D358">
        <v>74</v>
      </c>
      <c r="E358">
        <v>0.7475675675675676</v>
      </c>
      <c r="F358">
        <v>0.0180766449746927</v>
      </c>
      <c r="G358">
        <v>0.05991224533969075</v>
      </c>
      <c r="H358">
        <v>0</v>
      </c>
      <c r="I358">
        <v>0.07747575218470448</v>
      </c>
      <c r="J358" t="s">
        <v>367</v>
      </c>
      <c r="K358" t="s">
        <v>515</v>
      </c>
      <c r="L358">
        <v>6.15</v>
      </c>
      <c r="M358">
        <v>1</v>
      </c>
      <c r="N358">
        <v>0.1626016260162602</v>
      </c>
      <c r="O358">
        <v>0</v>
      </c>
      <c r="P358">
        <v>0.08009875865888949</v>
      </c>
      <c r="Q358">
        <v>0.666084400486694</v>
      </c>
      <c r="R358" t="s">
        <v>780</v>
      </c>
      <c r="S358" t="s">
        <v>791</v>
      </c>
      <c r="T358">
        <v>8327.553105999999</v>
      </c>
      <c r="U358" s="2">
        <v>44436</v>
      </c>
      <c r="V358" t="s">
        <v>798</v>
      </c>
    </row>
    <row r="359" spans="1:22">
      <c r="A359" s="1" t="s">
        <v>379</v>
      </c>
      <c r="B359">
        <f>HYPERLINK("https://www.suredividend.com/sure-analysis-PFG/","Principal Financial Group Inc")</f>
        <v>0</v>
      </c>
      <c r="C359">
        <v>73.93000000000001</v>
      </c>
      <c r="D359">
        <v>72</v>
      </c>
      <c r="E359">
        <v>1.026805555555556</v>
      </c>
      <c r="F359">
        <v>0.03462735019613147</v>
      </c>
      <c r="G359">
        <v>-0.005276545977495051</v>
      </c>
      <c r="H359">
        <v>0.05</v>
      </c>
      <c r="I359">
        <v>0.07714783767578615</v>
      </c>
      <c r="J359" t="s">
        <v>367</v>
      </c>
      <c r="K359" t="s">
        <v>367</v>
      </c>
      <c r="L359">
        <v>6.55</v>
      </c>
      <c r="M359">
        <v>2.56</v>
      </c>
      <c r="N359">
        <v>0.3908396946564885</v>
      </c>
      <c r="O359">
        <v>15</v>
      </c>
      <c r="P359">
        <v>0.06025622492066018</v>
      </c>
      <c r="Q359">
        <v>0.462330115138964</v>
      </c>
      <c r="R359" t="s">
        <v>780</v>
      </c>
      <c r="S359" t="s">
        <v>790</v>
      </c>
      <c r="T359">
        <v>19596.582368</v>
      </c>
      <c r="U359" s="2">
        <v>44505</v>
      </c>
      <c r="V359" t="s">
        <v>800</v>
      </c>
    </row>
    <row r="360" spans="1:22">
      <c r="A360" s="1" t="s">
        <v>380</v>
      </c>
      <c r="B360">
        <f>HYPERLINK("https://www.suredividend.com/sure-analysis-SAXPY/","Sampo Plc")</f>
        <v>0</v>
      </c>
      <c r="C360">
        <v>24.14</v>
      </c>
      <c r="D360">
        <v>26</v>
      </c>
      <c r="E360">
        <v>0.9284615384615384</v>
      </c>
      <c r="F360">
        <v>0.04266777133388567</v>
      </c>
      <c r="G360">
        <v>0.01495600270992337</v>
      </c>
      <c r="H360">
        <v>0.025</v>
      </c>
      <c r="I360">
        <v>0.07699878472248156</v>
      </c>
      <c r="J360" t="s">
        <v>367</v>
      </c>
      <c r="K360" t="s">
        <v>777</v>
      </c>
      <c r="L360">
        <v>23.99</v>
      </c>
      <c r="M360">
        <v>1.03</v>
      </c>
      <c r="N360">
        <v>0.0429345560650271</v>
      </c>
      <c r="O360">
        <v>0</v>
      </c>
      <c r="P360">
        <v>0.02581661126327583</v>
      </c>
      <c r="Q360">
        <v>0.134393165445651</v>
      </c>
      <c r="R360" t="s">
        <v>780</v>
      </c>
      <c r="S360" t="s">
        <v>790</v>
      </c>
      <c r="T360">
        <v>26754.451318</v>
      </c>
      <c r="U360" s="2">
        <v>44507</v>
      </c>
      <c r="V360" t="s">
        <v>796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41.35</v>
      </c>
      <c r="D361">
        <v>46</v>
      </c>
      <c r="E361">
        <v>0.898913043478261</v>
      </c>
      <c r="F361">
        <v>0.03579201934703748</v>
      </c>
      <c r="G361">
        <v>0.0215425562989342</v>
      </c>
      <c r="H361">
        <v>0.025</v>
      </c>
      <c r="I361">
        <v>0.07647489986556444</v>
      </c>
      <c r="J361" t="s">
        <v>367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-0.135165207497605</v>
      </c>
      <c r="R361" t="s">
        <v>780</v>
      </c>
      <c r="S361" t="s">
        <v>792</v>
      </c>
      <c r="T361">
        <v>12492.184242</v>
      </c>
      <c r="U361" s="2">
        <v>44453</v>
      </c>
      <c r="V361" t="s">
        <v>801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184.81</v>
      </c>
      <c r="D362">
        <v>209</v>
      </c>
      <c r="E362">
        <v>0.8842583732057416</v>
      </c>
      <c r="F362">
        <v>0.02651371679021698</v>
      </c>
      <c r="G362">
        <v>0.02490630261943139</v>
      </c>
      <c r="H362">
        <v>0.03</v>
      </c>
      <c r="I362">
        <v>0.07618827596410394</v>
      </c>
      <c r="J362" t="s">
        <v>367</v>
      </c>
      <c r="K362" t="s">
        <v>367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0.305477126777715</v>
      </c>
      <c r="R362" t="s">
        <v>780</v>
      </c>
      <c r="S362" t="s">
        <v>791</v>
      </c>
      <c r="T362">
        <v>301517.283248</v>
      </c>
      <c r="U362" s="2">
        <v>44434</v>
      </c>
      <c r="V362" t="s">
        <v>800</v>
      </c>
    </row>
    <row r="363" spans="1:22">
      <c r="A363" s="1" t="s">
        <v>383</v>
      </c>
      <c r="B363">
        <f>HYPERLINK("https://www.suredividend.com/sure-analysis-ITUB/","Itau Unibanco Holding S.A.")</f>
        <v>0</v>
      </c>
      <c r="C363">
        <v>4.07</v>
      </c>
      <c r="D363">
        <v>5</v>
      </c>
      <c r="E363">
        <v>0.8140000000000001</v>
      </c>
      <c r="F363">
        <v>0.02211302211302211</v>
      </c>
      <c r="G363">
        <v>0.04201775506512972</v>
      </c>
      <c r="H363">
        <v>0.015</v>
      </c>
      <c r="I363">
        <v>0.07475735498516167</v>
      </c>
      <c r="J363" t="s">
        <v>367</v>
      </c>
      <c r="K363" t="s">
        <v>515</v>
      </c>
      <c r="L363">
        <v>0.5</v>
      </c>
      <c r="M363">
        <v>0.09</v>
      </c>
      <c r="N363">
        <v>0.18</v>
      </c>
      <c r="O363">
        <v>0</v>
      </c>
      <c r="P363">
        <v>0</v>
      </c>
      <c r="Q363">
        <v>-0.08936322548887901</v>
      </c>
      <c r="R363" t="s">
        <v>780</v>
      </c>
      <c r="S363" t="s">
        <v>790</v>
      </c>
      <c r="T363">
        <v>19722.589105</v>
      </c>
      <c r="U363" s="2">
        <v>44425</v>
      </c>
      <c r="V363" t="s">
        <v>797</v>
      </c>
    </row>
    <row r="364" spans="1:22">
      <c r="A364" s="1" t="s">
        <v>384</v>
      </c>
      <c r="B364">
        <f>HYPERLINK("https://www.suredividend.com/sure-analysis-HUN/","Huntsman Corp")</f>
        <v>0</v>
      </c>
      <c r="C364">
        <v>33</v>
      </c>
      <c r="D364">
        <v>33</v>
      </c>
      <c r="E364">
        <v>1</v>
      </c>
      <c r="F364">
        <v>0.02272727272727273</v>
      </c>
      <c r="G364">
        <v>0</v>
      </c>
      <c r="H364">
        <v>0.05</v>
      </c>
      <c r="I364">
        <v>0.07140354229992152</v>
      </c>
      <c r="J364" t="s">
        <v>367</v>
      </c>
      <c r="K364" t="s">
        <v>515</v>
      </c>
      <c r="L364">
        <v>3.47</v>
      </c>
      <c r="M364">
        <v>0.75</v>
      </c>
      <c r="N364">
        <v>0.2161383285302594</v>
      </c>
      <c r="O364">
        <v>1</v>
      </c>
      <c r="P364">
        <v>0.05922384104881218</v>
      </c>
      <c r="Q364">
        <v>0.298844422053591</v>
      </c>
      <c r="R364" t="s">
        <v>780</v>
      </c>
      <c r="S364" t="s">
        <v>788</v>
      </c>
      <c r="T364">
        <v>7195.014882</v>
      </c>
      <c r="U364" s="2">
        <v>44503</v>
      </c>
      <c r="V364" t="s">
        <v>795</v>
      </c>
    </row>
    <row r="365" spans="1:22">
      <c r="A365" s="1" t="s">
        <v>385</v>
      </c>
      <c r="B365">
        <f>HYPERLINK("https://www.suredividend.com/sure-analysis-GEO/","Geo Group, Inc.")</f>
        <v>0</v>
      </c>
      <c r="C365">
        <v>8.890000000000001</v>
      </c>
      <c r="D365">
        <v>11.61</v>
      </c>
      <c r="E365">
        <v>0.7657192075796728</v>
      </c>
      <c r="F365">
        <v>0.0281214848143982</v>
      </c>
      <c r="G365">
        <v>0.05483878965395994</v>
      </c>
      <c r="H365">
        <v>-0.05</v>
      </c>
      <c r="I365">
        <v>0.07109651294855834</v>
      </c>
      <c r="J365" t="s">
        <v>367</v>
      </c>
      <c r="K365" t="s">
        <v>367</v>
      </c>
      <c r="L365">
        <v>2.58</v>
      </c>
      <c r="M365">
        <v>0.25</v>
      </c>
      <c r="N365">
        <v>0.09689922480620154</v>
      </c>
      <c r="O365">
        <v>0</v>
      </c>
      <c r="P365">
        <v>0.3707841442227291</v>
      </c>
      <c r="Q365">
        <v>-0.049370702652993</v>
      </c>
      <c r="R365" t="s">
        <v>782</v>
      </c>
      <c r="S365" t="s">
        <v>794</v>
      </c>
      <c r="T365">
        <v>1089.335448</v>
      </c>
      <c r="U365" s="2">
        <v>44508</v>
      </c>
      <c r="V365" t="s">
        <v>795</v>
      </c>
    </row>
    <row r="366" spans="1:22">
      <c r="A366" s="1" t="s">
        <v>386</v>
      </c>
      <c r="B366">
        <f>HYPERLINK("https://www.suredividend.com/sure-analysis-GLOP/","Gaslog Partners LP")</f>
        <v>0</v>
      </c>
      <c r="C366">
        <v>4.95</v>
      </c>
      <c r="D366">
        <v>5.25</v>
      </c>
      <c r="E366">
        <v>0.9428571428571428</v>
      </c>
      <c r="F366">
        <v>0.008080808080808081</v>
      </c>
      <c r="G366">
        <v>0.01183761651824167</v>
      </c>
      <c r="H366">
        <v>0.05</v>
      </c>
      <c r="I366">
        <v>0.07045004146164358</v>
      </c>
      <c r="J366" t="s">
        <v>367</v>
      </c>
      <c r="K366" t="s">
        <v>515</v>
      </c>
      <c r="L366">
        <v>1.25</v>
      </c>
      <c r="M366">
        <v>0.04</v>
      </c>
      <c r="N366">
        <v>0.032</v>
      </c>
      <c r="O366">
        <v>0</v>
      </c>
      <c r="P366">
        <v>0.08447177119769855</v>
      </c>
      <c r="Q366">
        <v>0.7738120834229191</v>
      </c>
      <c r="R366" t="s">
        <v>780</v>
      </c>
      <c r="S366" t="s">
        <v>793</v>
      </c>
      <c r="T366">
        <v>235.213229</v>
      </c>
      <c r="U366" s="2">
        <v>44498</v>
      </c>
      <c r="V366" t="s">
        <v>795</v>
      </c>
    </row>
    <row r="367" spans="1:22">
      <c r="A367" s="1" t="s">
        <v>387</v>
      </c>
      <c r="B367">
        <f>HYPERLINK("https://www.suredividend.com/sure-analysis-HPQ/","HP Inc")</f>
        <v>0</v>
      </c>
      <c r="C367">
        <v>35.44</v>
      </c>
      <c r="D367">
        <v>36</v>
      </c>
      <c r="E367">
        <v>0.9844444444444443</v>
      </c>
      <c r="F367">
        <v>0.02821670428893906</v>
      </c>
      <c r="G367">
        <v>0.003140483562121821</v>
      </c>
      <c r="H367">
        <v>0.04</v>
      </c>
      <c r="I367">
        <v>0.07031550722863256</v>
      </c>
      <c r="J367" t="s">
        <v>367</v>
      </c>
      <c r="K367" t="s">
        <v>367</v>
      </c>
      <c r="L367">
        <v>3.59</v>
      </c>
      <c r="M367">
        <v>1</v>
      </c>
      <c r="N367">
        <v>0.2785515320334262</v>
      </c>
      <c r="O367">
        <v>11</v>
      </c>
      <c r="P367">
        <v>0.0602809527753625</v>
      </c>
      <c r="Q367">
        <v>0.664052889085052</v>
      </c>
      <c r="R367" t="s">
        <v>780</v>
      </c>
      <c r="S367" t="s">
        <v>786</v>
      </c>
      <c r="T367">
        <v>40845.264075</v>
      </c>
      <c r="U367" s="2">
        <v>44440</v>
      </c>
      <c r="V367" t="s">
        <v>800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83.81999999999999</v>
      </c>
      <c r="D368">
        <v>79.59999999999999</v>
      </c>
      <c r="E368">
        <v>1.053015075376884</v>
      </c>
      <c r="F368">
        <v>0.03722261989978526</v>
      </c>
      <c r="G368">
        <v>-0.01027832320458943</v>
      </c>
      <c r="H368">
        <v>0.049</v>
      </c>
      <c r="I368">
        <v>0.07006599679444991</v>
      </c>
      <c r="J368" t="s">
        <v>367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0.023686958433326</v>
      </c>
      <c r="R368" t="s">
        <v>780</v>
      </c>
      <c r="S368" t="s">
        <v>789</v>
      </c>
      <c r="T368">
        <v>42216.083566</v>
      </c>
      <c r="U368" s="2">
        <v>44503</v>
      </c>
      <c r="V368" t="s">
        <v>803</v>
      </c>
    </row>
    <row r="369" spans="1:22">
      <c r="A369" s="1" t="s">
        <v>389</v>
      </c>
      <c r="B369">
        <f>HYPERLINK("https://www.suredividend.com/sure-analysis-COLD/","Americold Realty Trust")</f>
        <v>0</v>
      </c>
      <c r="C369">
        <v>32.41</v>
      </c>
      <c r="D369">
        <v>30</v>
      </c>
      <c r="E369">
        <v>1.080333333333333</v>
      </c>
      <c r="F369">
        <v>0.0271521135452021</v>
      </c>
      <c r="G369">
        <v>-0.01533512792543323</v>
      </c>
      <c r="H369">
        <v>0.06</v>
      </c>
      <c r="I369">
        <v>0.06872797933656938</v>
      </c>
      <c r="J369" t="s">
        <v>367</v>
      </c>
      <c r="K369" t="s">
        <v>367</v>
      </c>
      <c r="L369">
        <v>1.18</v>
      </c>
      <c r="M369">
        <v>0.88</v>
      </c>
      <c r="N369">
        <v>0.7457627118644068</v>
      </c>
      <c r="O369">
        <v>3</v>
      </c>
      <c r="P369">
        <v>0.04563955259127317</v>
      </c>
      <c r="Q369">
        <v>-0.003410114726222</v>
      </c>
      <c r="R369" t="s">
        <v>782</v>
      </c>
      <c r="S369" t="s">
        <v>794</v>
      </c>
      <c r="T369">
        <v>8645.998361</v>
      </c>
      <c r="U369" s="2">
        <v>44513</v>
      </c>
      <c r="V369" t="s">
        <v>795</v>
      </c>
    </row>
    <row r="370" spans="1:22">
      <c r="A370" s="1" t="s">
        <v>390</v>
      </c>
      <c r="B370">
        <f>HYPERLINK("https://www.suredividend.com/sure-analysis-APLE/","Apple Hospitality REIT Inc")</f>
        <v>0</v>
      </c>
      <c r="C370">
        <v>15.85</v>
      </c>
      <c r="D370">
        <v>18.3</v>
      </c>
      <c r="E370">
        <v>0.8661202185792349</v>
      </c>
      <c r="F370">
        <v>0.002523659305993691</v>
      </c>
      <c r="G370">
        <v>0.02916347483349679</v>
      </c>
      <c r="H370">
        <v>0.018</v>
      </c>
      <c r="I370">
        <v>0.0674149299893283</v>
      </c>
      <c r="J370" t="s">
        <v>367</v>
      </c>
      <c r="K370" t="s">
        <v>778</v>
      </c>
      <c r="L370">
        <v>0.87</v>
      </c>
      <c r="M370">
        <v>0.04</v>
      </c>
      <c r="N370">
        <v>0.04597701149425287</v>
      </c>
      <c r="O370">
        <v>0</v>
      </c>
      <c r="P370">
        <v>0.888175022589804</v>
      </c>
      <c r="Q370">
        <v>0.20585505394014</v>
      </c>
      <c r="R370" t="s">
        <v>782</v>
      </c>
      <c r="S370" t="s">
        <v>794</v>
      </c>
      <c r="T370">
        <v>3619.414292</v>
      </c>
      <c r="U370" s="2">
        <v>44509</v>
      </c>
      <c r="V370" t="s">
        <v>803</v>
      </c>
    </row>
    <row r="371" spans="1:22">
      <c r="A371" s="1" t="s">
        <v>391</v>
      </c>
      <c r="B371">
        <f>HYPERLINK("https://www.suredividend.com/sure-analysis-NLSN/","Nielsen Holdings plc")</f>
        <v>0</v>
      </c>
      <c r="C371">
        <v>21.09</v>
      </c>
      <c r="D371">
        <v>24</v>
      </c>
      <c r="E371">
        <v>0.87875</v>
      </c>
      <c r="F371">
        <v>0.01137980085348506</v>
      </c>
      <c r="G371">
        <v>0.02618800137618926</v>
      </c>
      <c r="H371">
        <v>0.03</v>
      </c>
      <c r="I371">
        <v>0.06721766488277203</v>
      </c>
      <c r="J371" t="s">
        <v>367</v>
      </c>
      <c r="K371" t="s">
        <v>515</v>
      </c>
      <c r="L371">
        <v>1.68</v>
      </c>
      <c r="M371">
        <v>0.24</v>
      </c>
      <c r="N371">
        <v>0.1428571428571428</v>
      </c>
      <c r="O371">
        <v>0</v>
      </c>
      <c r="P371">
        <v>0.04563955259127317</v>
      </c>
      <c r="Q371">
        <v>0.282448875348888</v>
      </c>
      <c r="R371" t="s">
        <v>780</v>
      </c>
      <c r="S371" t="s">
        <v>787</v>
      </c>
      <c r="T371">
        <v>7569.779752</v>
      </c>
      <c r="U371" s="2">
        <v>44504</v>
      </c>
      <c r="V371" t="s">
        <v>800</v>
      </c>
    </row>
    <row r="372" spans="1:22">
      <c r="A372" s="1" t="s">
        <v>392</v>
      </c>
      <c r="B372">
        <f>HYPERLINK("https://www.suredividend.com/sure-analysis-GIS/","General Mills, Inc.")</f>
        <v>0</v>
      </c>
      <c r="C372">
        <v>63.3</v>
      </c>
      <c r="D372">
        <v>65</v>
      </c>
      <c r="E372">
        <v>0.9738461538461538</v>
      </c>
      <c r="F372">
        <v>0.03317535545023697</v>
      </c>
      <c r="G372">
        <v>0.005314460057573633</v>
      </c>
      <c r="H372">
        <v>0.03</v>
      </c>
      <c r="I372">
        <v>0.06430909750263747</v>
      </c>
      <c r="J372" t="s">
        <v>367</v>
      </c>
      <c r="K372" t="s">
        <v>777</v>
      </c>
      <c r="L372">
        <v>3.8</v>
      </c>
      <c r="M372">
        <v>2.1</v>
      </c>
      <c r="N372">
        <v>0.5526315789473685</v>
      </c>
      <c r="O372">
        <v>1</v>
      </c>
      <c r="P372">
        <v>0.0183608813392091</v>
      </c>
      <c r="Q372">
        <v>0.071822250217158</v>
      </c>
      <c r="R372" t="s">
        <v>780</v>
      </c>
      <c r="S372" t="s">
        <v>792</v>
      </c>
      <c r="T372">
        <v>38340.332212</v>
      </c>
      <c r="U372" s="2">
        <v>44461</v>
      </c>
      <c r="V372" t="s">
        <v>804</v>
      </c>
    </row>
    <row r="373" spans="1:22">
      <c r="A373" s="1" t="s">
        <v>393</v>
      </c>
      <c r="B373">
        <f>HYPERLINK("https://www.suredividend.com/sure-analysis-VIAC/","ViacomCBS Inc")</f>
        <v>0</v>
      </c>
      <c r="C373">
        <v>33.24</v>
      </c>
      <c r="D373">
        <v>36</v>
      </c>
      <c r="E373">
        <v>0.9233333333333333</v>
      </c>
      <c r="F373">
        <v>0.02888086642599278</v>
      </c>
      <c r="G373">
        <v>0.01608092207253975</v>
      </c>
      <c r="H373">
        <v>0.02</v>
      </c>
      <c r="I373">
        <v>0.06400891936391107</v>
      </c>
      <c r="J373" t="s">
        <v>367</v>
      </c>
      <c r="K373" t="s">
        <v>367</v>
      </c>
      <c r="L373">
        <v>3.64</v>
      </c>
      <c r="M373">
        <v>0.96</v>
      </c>
      <c r="N373">
        <v>0.2637362637362637</v>
      </c>
      <c r="O373">
        <v>1</v>
      </c>
      <c r="P373">
        <v>0.05081623913789235</v>
      </c>
      <c r="Q373">
        <v>-0.016166363781662</v>
      </c>
      <c r="R373" t="s">
        <v>780</v>
      </c>
      <c r="S373" t="s">
        <v>784</v>
      </c>
      <c r="T373">
        <v>21634.424364</v>
      </c>
      <c r="U373" s="2">
        <v>44513</v>
      </c>
      <c r="V373" t="s">
        <v>797</v>
      </c>
    </row>
    <row r="374" spans="1:22">
      <c r="A374" s="1" t="s">
        <v>394</v>
      </c>
      <c r="B374">
        <f>HYPERLINK("https://www.suredividend.com/sure-analysis-FLO/","Flowers Foods, Inc.")</f>
        <v>0</v>
      </c>
      <c r="C374">
        <v>27.02</v>
      </c>
      <c r="D374">
        <v>25</v>
      </c>
      <c r="E374">
        <v>1.0808</v>
      </c>
      <c r="F374">
        <v>0.0310880829015544</v>
      </c>
      <c r="G374">
        <v>-0.01542017412397934</v>
      </c>
      <c r="H374">
        <v>0.05</v>
      </c>
      <c r="I374">
        <v>0.06374965446173819</v>
      </c>
      <c r="J374" t="s">
        <v>367</v>
      </c>
      <c r="K374" t="s">
        <v>777</v>
      </c>
      <c r="L374">
        <v>1.24</v>
      </c>
      <c r="M374">
        <v>0.84</v>
      </c>
      <c r="N374">
        <v>0.6774193548387096</v>
      </c>
      <c r="O374">
        <v>19</v>
      </c>
      <c r="P374">
        <v>0.05154749679728043</v>
      </c>
      <c r="Q374">
        <v>0.240975143754707</v>
      </c>
      <c r="R374" t="s">
        <v>780</v>
      </c>
      <c r="S374" t="s">
        <v>792</v>
      </c>
      <c r="T374">
        <v>5711.886983</v>
      </c>
      <c r="U374" s="2">
        <v>44513</v>
      </c>
      <c r="V374" t="s">
        <v>799</v>
      </c>
    </row>
    <row r="375" spans="1:22">
      <c r="A375" s="1" t="s">
        <v>395</v>
      </c>
      <c r="B375">
        <f>HYPERLINK("https://www.suredividend.com/sure-analysis-SO/","Southern Company")</f>
        <v>0</v>
      </c>
      <c r="C375">
        <v>63.1</v>
      </c>
      <c r="D375">
        <v>56</v>
      </c>
      <c r="E375">
        <v>1.126785714285714</v>
      </c>
      <c r="F375">
        <v>0.04183835182250396</v>
      </c>
      <c r="G375">
        <v>-0.02359109060136577</v>
      </c>
      <c r="H375">
        <v>0.05</v>
      </c>
      <c r="I375">
        <v>0.06365261585974524</v>
      </c>
      <c r="J375" t="s">
        <v>367</v>
      </c>
      <c r="K375" t="s">
        <v>777</v>
      </c>
      <c r="L375">
        <v>3.38</v>
      </c>
      <c r="M375">
        <v>2.64</v>
      </c>
      <c r="N375">
        <v>0.7810650887573966</v>
      </c>
      <c r="O375">
        <v>20</v>
      </c>
      <c r="P375">
        <v>0.02996744995959233</v>
      </c>
      <c r="Q375">
        <v>0.07459311068309001</v>
      </c>
      <c r="R375" t="s">
        <v>780</v>
      </c>
      <c r="S375" t="s">
        <v>789</v>
      </c>
      <c r="T375">
        <v>66873.628046</v>
      </c>
      <c r="U375" s="2">
        <v>44512</v>
      </c>
      <c r="V375" t="s">
        <v>804</v>
      </c>
    </row>
    <row r="376" spans="1:22">
      <c r="A376" s="1" t="s">
        <v>396</v>
      </c>
      <c r="B376">
        <f>HYPERLINK("https://www.suredividend.com/sure-analysis-WRK/","WestRock Co")</f>
        <v>0</v>
      </c>
      <c r="C376">
        <v>46.84</v>
      </c>
      <c r="D376">
        <v>52</v>
      </c>
      <c r="E376">
        <v>0.9007692307692309</v>
      </c>
      <c r="F376">
        <v>0.02134927412467976</v>
      </c>
      <c r="G376">
        <v>0.02112119661308065</v>
      </c>
      <c r="H376">
        <v>0.02</v>
      </c>
      <c r="I376">
        <v>0.0635859789571489</v>
      </c>
      <c r="J376" t="s">
        <v>367</v>
      </c>
      <c r="K376" t="s">
        <v>515</v>
      </c>
      <c r="L376">
        <v>4.7</v>
      </c>
      <c r="M376">
        <v>1</v>
      </c>
      <c r="N376">
        <v>0.2127659574468085</v>
      </c>
      <c r="O376">
        <v>1</v>
      </c>
      <c r="P376">
        <v>0.08009875865888949</v>
      </c>
      <c r="Q376">
        <v>0.04996054802381401</v>
      </c>
      <c r="R376" t="s">
        <v>780</v>
      </c>
      <c r="S376" t="s">
        <v>791</v>
      </c>
      <c r="T376">
        <v>12412.672274</v>
      </c>
      <c r="U376" s="2">
        <v>44524</v>
      </c>
      <c r="V376" t="s">
        <v>804</v>
      </c>
    </row>
    <row r="377" spans="1:22">
      <c r="A377" s="1" t="s">
        <v>397</v>
      </c>
      <c r="B377">
        <f>HYPERLINK("https://www.suredividend.com/sure-analysis-MA/","Mastercard Incorporated")</f>
        <v>0</v>
      </c>
      <c r="C377">
        <v>340</v>
      </c>
      <c r="D377">
        <v>222</v>
      </c>
      <c r="E377">
        <v>1.531531531531531</v>
      </c>
      <c r="F377">
        <v>0.005176470588235295</v>
      </c>
      <c r="G377">
        <v>-0.08172066407489609</v>
      </c>
      <c r="H377">
        <v>0.15</v>
      </c>
      <c r="I377">
        <v>0.06239857960758766</v>
      </c>
      <c r="J377" t="s">
        <v>367</v>
      </c>
      <c r="K377" t="s">
        <v>778</v>
      </c>
      <c r="L377">
        <v>8.24</v>
      </c>
      <c r="M377">
        <v>1.76</v>
      </c>
      <c r="N377">
        <v>0.2135922330097087</v>
      </c>
      <c r="O377">
        <v>10</v>
      </c>
      <c r="P377">
        <v>0.1500007374307972</v>
      </c>
      <c r="Q377">
        <v>-0.003283594253167</v>
      </c>
      <c r="R377" t="s">
        <v>780</v>
      </c>
      <c r="S377" t="s">
        <v>790</v>
      </c>
      <c r="T377">
        <v>331401.09434</v>
      </c>
      <c r="U377" s="2">
        <v>44499</v>
      </c>
      <c r="V377" t="s">
        <v>796</v>
      </c>
    </row>
    <row r="378" spans="1:22">
      <c r="A378" s="1" t="s">
        <v>398</v>
      </c>
      <c r="B378">
        <f>HYPERLINK("https://www.suredividend.com/sure-analysis-DDAIF/","Daimler AG")</f>
        <v>0</v>
      </c>
      <c r="C378">
        <v>99.18000000000001</v>
      </c>
      <c r="D378">
        <v>113</v>
      </c>
      <c r="E378">
        <v>0.8776991150442478</v>
      </c>
      <c r="F378">
        <v>0.01603145795523291</v>
      </c>
      <c r="G378">
        <v>0.02643361844630387</v>
      </c>
      <c r="H378">
        <v>0.02</v>
      </c>
      <c r="I378">
        <v>0.06096539656050437</v>
      </c>
      <c r="J378" t="s">
        <v>367</v>
      </c>
      <c r="K378" t="s">
        <v>515</v>
      </c>
      <c r="L378">
        <v>14.1</v>
      </c>
      <c r="M378">
        <v>1.59</v>
      </c>
      <c r="N378">
        <v>0.1127659574468085</v>
      </c>
      <c r="O378">
        <v>1</v>
      </c>
      <c r="P378">
        <v>0.02512087219852699</v>
      </c>
      <c r="Q378">
        <v>0.43924772532687</v>
      </c>
      <c r="R378" t="s">
        <v>780</v>
      </c>
      <c r="S378" t="s">
        <v>791</v>
      </c>
      <c r="T378">
        <v>106106.477993</v>
      </c>
      <c r="U378" s="2">
        <v>44498</v>
      </c>
      <c r="V378" t="s">
        <v>800</v>
      </c>
    </row>
    <row r="379" spans="1:22">
      <c r="A379" s="1" t="s">
        <v>399</v>
      </c>
      <c r="B379">
        <f>HYPERLINK("https://www.suredividend.com/sure-analysis-MGA/","Magna International Inc.")</f>
        <v>0</v>
      </c>
      <c r="C379">
        <v>82.52</v>
      </c>
      <c r="D379">
        <v>65</v>
      </c>
      <c r="E379">
        <v>1.269538461538462</v>
      </c>
      <c r="F379">
        <v>0.02084343189529811</v>
      </c>
      <c r="G379">
        <v>-0.04660948385172758</v>
      </c>
      <c r="H379">
        <v>0.09</v>
      </c>
      <c r="I379">
        <v>0.06061717526689359</v>
      </c>
      <c r="J379" t="s">
        <v>367</v>
      </c>
      <c r="K379" t="s">
        <v>515</v>
      </c>
      <c r="L379">
        <v>4.71</v>
      </c>
      <c r="M379">
        <v>1.72</v>
      </c>
      <c r="N379">
        <v>0.3651804670912951</v>
      </c>
      <c r="O379">
        <v>11</v>
      </c>
      <c r="P379">
        <v>0.0750624704770988</v>
      </c>
      <c r="Q379">
        <v>0.328471501130939</v>
      </c>
      <c r="R379" t="s">
        <v>780</v>
      </c>
      <c r="S379" t="s">
        <v>791</v>
      </c>
      <c r="T379">
        <v>24818.13558</v>
      </c>
      <c r="U379" s="2">
        <v>44520</v>
      </c>
      <c r="V379" t="s">
        <v>805</v>
      </c>
    </row>
    <row r="380" spans="1:22">
      <c r="A380" s="1" t="s">
        <v>400</v>
      </c>
      <c r="B380">
        <f>HYPERLINK("https://www.suredividend.com/sure-analysis-KLAC/","KLA Corp.")</f>
        <v>0</v>
      </c>
      <c r="C380">
        <v>413.3</v>
      </c>
      <c r="D380">
        <v>357</v>
      </c>
      <c r="E380">
        <v>1.157703081232493</v>
      </c>
      <c r="F380">
        <v>0.01016210984756835</v>
      </c>
      <c r="G380">
        <v>-0.02886286303314889</v>
      </c>
      <c r="H380">
        <v>0.08</v>
      </c>
      <c r="I380">
        <v>0.05986812453516999</v>
      </c>
      <c r="J380" t="s">
        <v>367</v>
      </c>
      <c r="K380" t="s">
        <v>515</v>
      </c>
      <c r="L380">
        <v>21</v>
      </c>
      <c r="M380">
        <v>4.2</v>
      </c>
      <c r="N380">
        <v>0.2</v>
      </c>
      <c r="O380">
        <v>12</v>
      </c>
      <c r="P380">
        <v>0.09986525071768737</v>
      </c>
      <c r="Q380">
        <v>0.6712089476195481</v>
      </c>
      <c r="R380" t="s">
        <v>780</v>
      </c>
      <c r="S380" t="s">
        <v>786</v>
      </c>
      <c r="T380">
        <v>62665.440795</v>
      </c>
      <c r="U380" s="2">
        <v>44508</v>
      </c>
      <c r="V380" t="s">
        <v>800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70.64</v>
      </c>
      <c r="D381">
        <v>64</v>
      </c>
      <c r="E381">
        <v>1.10375</v>
      </c>
      <c r="F381">
        <v>0.04176104190260476</v>
      </c>
      <c r="G381">
        <v>-0.01954908381865306</v>
      </c>
      <c r="H381">
        <v>0.04</v>
      </c>
      <c r="I381">
        <v>0.05931722808593753</v>
      </c>
      <c r="J381" t="s">
        <v>367</v>
      </c>
      <c r="K381" t="s">
        <v>777</v>
      </c>
      <c r="L381">
        <v>3.58</v>
      </c>
      <c r="M381">
        <v>2.95</v>
      </c>
      <c r="N381">
        <v>0.8240223463687151</v>
      </c>
      <c r="O381">
        <v>26</v>
      </c>
      <c r="P381">
        <v>0.03478281035457087</v>
      </c>
      <c r="Q381">
        <v>0.192278544893574</v>
      </c>
      <c r="R381" t="s">
        <v>782</v>
      </c>
      <c r="S381" t="s">
        <v>794</v>
      </c>
      <c r="T381">
        <v>28553.598126</v>
      </c>
      <c r="U381" s="2">
        <v>44507</v>
      </c>
      <c r="V381" t="s">
        <v>800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58.78</v>
      </c>
      <c r="D382">
        <v>90</v>
      </c>
      <c r="E382">
        <v>0.6531111111111111</v>
      </c>
      <c r="F382">
        <v>0.02977203130316434</v>
      </c>
      <c r="G382">
        <v>0.08893657621867956</v>
      </c>
      <c r="H382">
        <v>-0.05</v>
      </c>
      <c r="I382">
        <v>0.05926965610743373</v>
      </c>
      <c r="J382" t="s">
        <v>367</v>
      </c>
      <c r="K382" t="s">
        <v>367</v>
      </c>
      <c r="L382">
        <v>9</v>
      </c>
      <c r="M382">
        <v>1.75</v>
      </c>
      <c r="N382">
        <v>0.1944444444444444</v>
      </c>
      <c r="O382">
        <v>0</v>
      </c>
      <c r="P382">
        <v>0</v>
      </c>
      <c r="Q382">
        <v>0.08407981394696801</v>
      </c>
      <c r="R382" t="s">
        <v>780</v>
      </c>
      <c r="S382" t="s">
        <v>788</v>
      </c>
      <c r="T382">
        <v>20499.368645</v>
      </c>
      <c r="U382" s="2">
        <v>44509</v>
      </c>
      <c r="V382" t="s">
        <v>795</v>
      </c>
    </row>
    <row r="383" spans="1:22">
      <c r="A383" s="1" t="s">
        <v>403</v>
      </c>
      <c r="B383">
        <f>HYPERLINK("https://www.suredividend.com/sure-analysis-OKE/","Oneok Inc.")</f>
        <v>0</v>
      </c>
      <c r="C383">
        <v>64.81</v>
      </c>
      <c r="D383">
        <v>57</v>
      </c>
      <c r="E383">
        <v>1.137017543859649</v>
      </c>
      <c r="F383">
        <v>0.05770714395926554</v>
      </c>
      <c r="G383">
        <v>-0.02535475835739476</v>
      </c>
      <c r="H383">
        <v>0.03</v>
      </c>
      <c r="I383">
        <v>0.0580440348492246</v>
      </c>
      <c r="J383" t="s">
        <v>367</v>
      </c>
      <c r="K383" t="s">
        <v>776</v>
      </c>
      <c r="L383">
        <v>5.15</v>
      </c>
      <c r="M383">
        <v>3.74</v>
      </c>
      <c r="N383">
        <v>0.7262135922330097</v>
      </c>
      <c r="O383">
        <v>18</v>
      </c>
      <c r="P383">
        <v>0.02003644710053942</v>
      </c>
      <c r="Q383">
        <v>0.850979182553214</v>
      </c>
      <c r="R383" t="s">
        <v>780</v>
      </c>
      <c r="S383" t="s">
        <v>793</v>
      </c>
      <c r="T383">
        <v>28901.157721</v>
      </c>
      <c r="U383" s="2">
        <v>44506</v>
      </c>
      <c r="V383" t="s">
        <v>800</v>
      </c>
    </row>
    <row r="384" spans="1:22">
      <c r="A384" s="1" t="s">
        <v>404</v>
      </c>
      <c r="B384">
        <f>HYPERLINK("https://www.suredividend.com/sure-analysis-ASML/","ASML Holding NV")</f>
        <v>0</v>
      </c>
      <c r="C384">
        <v>802.39</v>
      </c>
      <c r="D384">
        <v>583</v>
      </c>
      <c r="E384">
        <v>1.37631217838765</v>
      </c>
      <c r="F384">
        <v>0.005209436807537482</v>
      </c>
      <c r="G384">
        <v>-0.06188385672790109</v>
      </c>
      <c r="H384">
        <v>0.12</v>
      </c>
      <c r="I384">
        <v>0.05723803828621365</v>
      </c>
      <c r="J384" t="s">
        <v>367</v>
      </c>
      <c r="K384" t="s">
        <v>778</v>
      </c>
      <c r="L384">
        <v>15.75</v>
      </c>
      <c r="M384">
        <v>4.18</v>
      </c>
      <c r="N384">
        <v>0.2653968253968254</v>
      </c>
      <c r="O384">
        <v>6</v>
      </c>
      <c r="P384">
        <v>0.1500691206588143</v>
      </c>
      <c r="Q384">
        <v>0.901676596240871</v>
      </c>
      <c r="R384" t="s">
        <v>780</v>
      </c>
      <c r="S384" t="s">
        <v>786</v>
      </c>
      <c r="T384">
        <v>331651.210369</v>
      </c>
      <c r="U384" s="2">
        <v>44494</v>
      </c>
      <c r="V384" t="s">
        <v>798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34.68</v>
      </c>
      <c r="D385">
        <v>35</v>
      </c>
      <c r="E385">
        <v>0.9908571428571429</v>
      </c>
      <c r="F385">
        <v>0.02220299884659746</v>
      </c>
      <c r="G385">
        <v>0.001838670200317916</v>
      </c>
      <c r="H385">
        <v>0.03</v>
      </c>
      <c r="I385">
        <v>0.0569479554203185</v>
      </c>
      <c r="J385" t="s">
        <v>367</v>
      </c>
      <c r="K385" t="s">
        <v>515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0.140601874691662</v>
      </c>
      <c r="R385" t="s">
        <v>780</v>
      </c>
      <c r="S385" t="s">
        <v>791</v>
      </c>
      <c r="T385">
        <v>62631.580192</v>
      </c>
      <c r="U385" s="2">
        <v>44518</v>
      </c>
      <c r="V385" t="s">
        <v>804</v>
      </c>
    </row>
    <row r="386" spans="1:22">
      <c r="A386" s="1" t="s">
        <v>406</v>
      </c>
      <c r="B386">
        <f>HYPERLINK("https://www.suredividend.com/sure-analysis-BK/","Bank Of New York Mellon Corp")</f>
        <v>0</v>
      </c>
      <c r="C386">
        <v>58.92</v>
      </c>
      <c r="D386">
        <v>52</v>
      </c>
      <c r="E386">
        <v>1.133076923076923</v>
      </c>
      <c r="F386">
        <v>0.02308214528173795</v>
      </c>
      <c r="G386">
        <v>-0.02467777421870743</v>
      </c>
      <c r="H386">
        <v>0.06</v>
      </c>
      <c r="I386">
        <v>0.0569331720416324</v>
      </c>
      <c r="J386" t="s">
        <v>367</v>
      </c>
      <c r="K386" t="s">
        <v>515</v>
      </c>
      <c r="L386">
        <v>4.15</v>
      </c>
      <c r="M386">
        <v>1.36</v>
      </c>
      <c r="N386">
        <v>0.327710843373494</v>
      </c>
      <c r="O386">
        <v>11</v>
      </c>
      <c r="P386">
        <v>0.06000153927394081</v>
      </c>
      <c r="Q386">
        <v>0.487169002672966</v>
      </c>
      <c r="R386" t="s">
        <v>780</v>
      </c>
      <c r="S386" t="s">
        <v>790</v>
      </c>
      <c r="T386">
        <v>48657.377032</v>
      </c>
      <c r="U386" s="2">
        <v>44491</v>
      </c>
      <c r="V386" t="s">
        <v>798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51.31</v>
      </c>
      <c r="D387">
        <v>50</v>
      </c>
      <c r="E387">
        <v>1.0262</v>
      </c>
      <c r="F387">
        <v>0.01559150263106607</v>
      </c>
      <c r="G387">
        <v>-0.005159177397451198</v>
      </c>
      <c r="H387">
        <v>0.04</v>
      </c>
      <c r="I387">
        <v>0.05493022756280186</v>
      </c>
      <c r="J387" t="s">
        <v>367</v>
      </c>
      <c r="K387" t="s">
        <v>515</v>
      </c>
      <c r="L387">
        <v>4.35</v>
      </c>
      <c r="M387">
        <v>0.8</v>
      </c>
      <c r="N387">
        <v>0.1839080459770115</v>
      </c>
      <c r="O387">
        <v>0</v>
      </c>
      <c r="P387">
        <v>0.1501306516611158</v>
      </c>
      <c r="Q387">
        <v>0.8178661772729521</v>
      </c>
      <c r="R387" t="s">
        <v>780</v>
      </c>
      <c r="S387" t="s">
        <v>790</v>
      </c>
      <c r="T387">
        <v>210699.923422</v>
      </c>
      <c r="U387" s="2">
        <v>44485</v>
      </c>
      <c r="V387" t="s">
        <v>798</v>
      </c>
    </row>
    <row r="388" spans="1:22">
      <c r="A388" s="1" t="s">
        <v>408</v>
      </c>
      <c r="B388">
        <f>HYPERLINK("https://www.suredividend.com/sure-analysis-AON/","Aon plc.")</f>
        <v>0</v>
      </c>
      <c r="C388">
        <v>298.72</v>
      </c>
      <c r="D388">
        <v>233</v>
      </c>
      <c r="E388">
        <v>1.28206008583691</v>
      </c>
      <c r="F388">
        <v>0.006829137653990358</v>
      </c>
      <c r="G388">
        <v>-0.04847911719997189</v>
      </c>
      <c r="H388">
        <v>0.1</v>
      </c>
      <c r="I388">
        <v>0.05442785376571924</v>
      </c>
      <c r="J388" t="s">
        <v>367</v>
      </c>
      <c r="K388" t="s">
        <v>778</v>
      </c>
      <c r="L388">
        <v>11.65</v>
      </c>
      <c r="M388">
        <v>2.04</v>
      </c>
      <c r="N388">
        <v>0.1751072961373391</v>
      </c>
      <c r="O388">
        <v>10</v>
      </c>
      <c r="P388">
        <v>0.1101602038533911</v>
      </c>
      <c r="Q388">
        <v>0.4480143366604251</v>
      </c>
      <c r="R388" t="s">
        <v>780</v>
      </c>
      <c r="S388" t="s">
        <v>790</v>
      </c>
      <c r="T388">
        <v>65817.69632</v>
      </c>
      <c r="U388" s="2">
        <v>44519</v>
      </c>
      <c r="V388" t="s">
        <v>798</v>
      </c>
    </row>
    <row r="389" spans="1:22">
      <c r="A389" s="1" t="s">
        <v>409</v>
      </c>
      <c r="B389">
        <f>HYPERLINK("https://www.suredividend.com/sure-analysis-M/","Macy`s Inc")</f>
        <v>0</v>
      </c>
      <c r="C389">
        <v>32.14</v>
      </c>
      <c r="D389">
        <v>37</v>
      </c>
      <c r="E389">
        <v>0.8686486486486487</v>
      </c>
      <c r="F389">
        <v>0.01866832607342875</v>
      </c>
      <c r="G389">
        <v>0.02856364591544125</v>
      </c>
      <c r="H389">
        <v>0.01</v>
      </c>
      <c r="I389">
        <v>0.054404978808827</v>
      </c>
      <c r="J389" t="s">
        <v>367</v>
      </c>
      <c r="K389" t="s">
        <v>515</v>
      </c>
      <c r="L389">
        <v>4.65</v>
      </c>
      <c r="M389">
        <v>0.6</v>
      </c>
      <c r="N389">
        <v>0.1290322580645161</v>
      </c>
      <c r="O389">
        <v>0</v>
      </c>
      <c r="P389">
        <v>0</v>
      </c>
      <c r="Q389">
        <v>1.980672923544904</v>
      </c>
      <c r="R389" t="s">
        <v>780</v>
      </c>
      <c r="S389" t="s">
        <v>791</v>
      </c>
      <c r="T389">
        <v>9953.913718</v>
      </c>
      <c r="U389" s="2">
        <v>44519</v>
      </c>
      <c r="V389" t="s">
        <v>800</v>
      </c>
    </row>
    <row r="390" spans="1:22">
      <c r="A390" s="1" t="s">
        <v>410</v>
      </c>
      <c r="B390">
        <f>HYPERLINK("https://www.suredividend.com/sure-analysis-PDCO/","Patterson Companies Inc.")</f>
        <v>0</v>
      </c>
      <c r="C390">
        <v>32.09</v>
      </c>
      <c r="D390">
        <v>30</v>
      </c>
      <c r="E390">
        <v>1.069666666666667</v>
      </c>
      <c r="F390">
        <v>0.03240885010906824</v>
      </c>
      <c r="G390">
        <v>-0.01337910803979858</v>
      </c>
      <c r="H390">
        <v>0.04</v>
      </c>
      <c r="I390">
        <v>0.05378595869721536</v>
      </c>
      <c r="J390" t="s">
        <v>367</v>
      </c>
      <c r="K390" t="s">
        <v>777</v>
      </c>
      <c r="L390">
        <v>2</v>
      </c>
      <c r="M390">
        <v>1.04</v>
      </c>
      <c r="N390">
        <v>0.52</v>
      </c>
      <c r="O390">
        <v>0</v>
      </c>
      <c r="P390">
        <v>0</v>
      </c>
      <c r="Q390">
        <v>0.173502038726664</v>
      </c>
      <c r="R390" t="s">
        <v>780</v>
      </c>
      <c r="S390" t="s">
        <v>785</v>
      </c>
      <c r="T390">
        <v>3123.06298</v>
      </c>
      <c r="U390" s="2">
        <v>44446</v>
      </c>
      <c r="V390" t="s">
        <v>802</v>
      </c>
    </row>
    <row r="391" spans="1:22">
      <c r="A391" s="1" t="s">
        <v>411</v>
      </c>
      <c r="B391">
        <f>HYPERLINK("https://www.suredividend.com/sure-analysis-R/","Ryder System, Inc.")</f>
        <v>0</v>
      </c>
      <c r="C391">
        <v>87.01000000000001</v>
      </c>
      <c r="D391">
        <v>101</v>
      </c>
      <c r="E391">
        <v>0.8614851485148516</v>
      </c>
      <c r="F391">
        <v>0.02666360188484082</v>
      </c>
      <c r="G391">
        <v>0.03026854591957995</v>
      </c>
      <c r="H391">
        <v>0</v>
      </c>
      <c r="I391">
        <v>0.05358418202287085</v>
      </c>
      <c r="J391" t="s">
        <v>367</v>
      </c>
      <c r="K391" t="s">
        <v>367</v>
      </c>
      <c r="L391">
        <v>8.449999999999999</v>
      </c>
      <c r="M391">
        <v>2.32</v>
      </c>
      <c r="N391">
        <v>0.2745562130177515</v>
      </c>
      <c r="O391">
        <v>17</v>
      </c>
      <c r="P391">
        <v>0.01013720758985226</v>
      </c>
      <c r="Q391">
        <v>0.485813816480392</v>
      </c>
      <c r="R391" t="s">
        <v>780</v>
      </c>
      <c r="S391" t="s">
        <v>787</v>
      </c>
      <c r="T391">
        <v>4671.850814</v>
      </c>
      <c r="U391" s="2">
        <v>44497</v>
      </c>
      <c r="V391" t="s">
        <v>799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55.06</v>
      </c>
      <c r="D392">
        <v>42</v>
      </c>
      <c r="E392">
        <v>1.310952380952381</v>
      </c>
      <c r="F392">
        <v>0.03123864874682165</v>
      </c>
      <c r="G392">
        <v>-0.0527107330239871</v>
      </c>
      <c r="H392">
        <v>0.075</v>
      </c>
      <c r="I392">
        <v>0.05276359777815998</v>
      </c>
      <c r="J392" t="s">
        <v>367</v>
      </c>
      <c r="K392" t="s">
        <v>367</v>
      </c>
      <c r="L392">
        <v>2.1</v>
      </c>
      <c r="M392">
        <v>1.72</v>
      </c>
      <c r="N392">
        <v>0.819047619047619</v>
      </c>
      <c r="O392">
        <v>12</v>
      </c>
      <c r="P392">
        <v>0.08023542380212056</v>
      </c>
      <c r="Q392">
        <v>0.7741888708799091</v>
      </c>
      <c r="R392" t="s">
        <v>782</v>
      </c>
      <c r="S392" t="s">
        <v>794</v>
      </c>
      <c r="T392">
        <v>12047.718408</v>
      </c>
      <c r="U392" s="2">
        <v>44507</v>
      </c>
      <c r="V392" t="s">
        <v>795</v>
      </c>
    </row>
    <row r="393" spans="1:22">
      <c r="A393" s="1" t="s">
        <v>413</v>
      </c>
      <c r="B393">
        <f>HYPERLINK("https://www.suredividend.com/sure-analysis-HAL/","Halliburton Co.")</f>
        <v>0</v>
      </c>
      <c r="C393">
        <v>23.22</v>
      </c>
      <c r="D393">
        <v>14</v>
      </c>
      <c r="E393">
        <v>1.658571428571429</v>
      </c>
      <c r="F393">
        <v>0.007751937984496124</v>
      </c>
      <c r="G393">
        <v>-0.09623989947245026</v>
      </c>
      <c r="H393">
        <v>0.149</v>
      </c>
      <c r="I393">
        <v>0.05009902837332425</v>
      </c>
      <c r="J393" t="s">
        <v>367</v>
      </c>
      <c r="K393" t="s">
        <v>778</v>
      </c>
      <c r="L393">
        <v>1.1</v>
      </c>
      <c r="M393">
        <v>0.18</v>
      </c>
      <c r="N393">
        <v>0.1636363636363636</v>
      </c>
      <c r="O393">
        <v>0</v>
      </c>
      <c r="P393">
        <v>0.2011244339814313</v>
      </c>
      <c r="Q393">
        <v>0.305367071244258</v>
      </c>
      <c r="R393" t="s">
        <v>780</v>
      </c>
      <c r="S393" t="s">
        <v>793</v>
      </c>
      <c r="T393">
        <v>20677.395186</v>
      </c>
      <c r="U393" s="2">
        <v>44491</v>
      </c>
      <c r="V393" t="s">
        <v>804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23.96</v>
      </c>
      <c r="D394">
        <v>26</v>
      </c>
      <c r="E394">
        <v>0.9215384615384615</v>
      </c>
      <c r="F394">
        <v>0.0325542570951586</v>
      </c>
      <c r="G394">
        <v>0.01647641632349894</v>
      </c>
      <c r="H394">
        <v>0</v>
      </c>
      <c r="I394">
        <v>0.04952082238886524</v>
      </c>
      <c r="J394" t="s">
        <v>367</v>
      </c>
      <c r="K394" t="s">
        <v>367</v>
      </c>
      <c r="L394">
        <v>2.4</v>
      </c>
      <c r="M394">
        <v>0.78</v>
      </c>
      <c r="N394">
        <v>0.325</v>
      </c>
      <c r="O394">
        <v>11</v>
      </c>
      <c r="P394">
        <v>0.0488372867840543</v>
      </c>
      <c r="Q394">
        <v>0.485108624910899</v>
      </c>
      <c r="R394" t="s">
        <v>780</v>
      </c>
      <c r="S394" t="s">
        <v>790</v>
      </c>
      <c r="T394">
        <v>22308.156509</v>
      </c>
      <c r="U394" s="2">
        <v>44490</v>
      </c>
      <c r="V394" t="s">
        <v>799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58.7</v>
      </c>
      <c r="D395">
        <v>62</v>
      </c>
      <c r="E395">
        <v>0.9467741935483871</v>
      </c>
      <c r="F395">
        <v>0.009710391822827937</v>
      </c>
      <c r="G395">
        <v>0.01099898051203052</v>
      </c>
      <c r="H395">
        <v>0.03</v>
      </c>
      <c r="I395">
        <v>0.04945919224565087</v>
      </c>
      <c r="J395" t="s">
        <v>367</v>
      </c>
      <c r="K395" t="s">
        <v>778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-0.140762686558425</v>
      </c>
      <c r="R395" t="s">
        <v>780</v>
      </c>
      <c r="S395" t="s">
        <v>792</v>
      </c>
      <c r="T395">
        <v>101921.514752</v>
      </c>
      <c r="U395" s="2">
        <v>44439</v>
      </c>
      <c r="V395" t="s">
        <v>802</v>
      </c>
    </row>
    <row r="396" spans="1:22">
      <c r="A396" s="1" t="s">
        <v>416</v>
      </c>
      <c r="B396">
        <f>HYPERLINK("https://www.suredividend.com/sure-analysis-JPM/","JPMorgan Chase &amp; Co.")</f>
        <v>0</v>
      </c>
      <c r="C396">
        <v>166.96</v>
      </c>
      <c r="D396">
        <v>188</v>
      </c>
      <c r="E396">
        <v>0.8880851063829788</v>
      </c>
      <c r="F396">
        <v>0.02395783421178725</v>
      </c>
      <c r="G396">
        <v>0.02402151794244367</v>
      </c>
      <c r="H396">
        <v>0</v>
      </c>
      <c r="I396">
        <v>0.04925876854040578</v>
      </c>
      <c r="J396" t="s">
        <v>367</v>
      </c>
      <c r="K396" t="s">
        <v>515</v>
      </c>
      <c r="L396">
        <v>15</v>
      </c>
      <c r="M396">
        <v>4</v>
      </c>
      <c r="N396">
        <v>0.2666666666666667</v>
      </c>
      <c r="O396">
        <v>11</v>
      </c>
      <c r="P396">
        <v>0.06615002518126989</v>
      </c>
      <c r="Q396">
        <v>0.387875210932759</v>
      </c>
      <c r="R396" t="s">
        <v>780</v>
      </c>
      <c r="S396" t="s">
        <v>790</v>
      </c>
      <c r="T396">
        <v>493411.221545</v>
      </c>
      <c r="U396" s="2">
        <v>44485</v>
      </c>
      <c r="V396" t="s">
        <v>798</v>
      </c>
    </row>
    <row r="397" spans="1:22">
      <c r="A397" s="1" t="s">
        <v>417</v>
      </c>
      <c r="B397">
        <f>HYPERLINK("https://www.suredividend.com/sure-analysis-WEC/","WEC Energy Group Inc")</f>
        <v>0</v>
      </c>
      <c r="C397">
        <v>90.69</v>
      </c>
      <c r="D397">
        <v>77</v>
      </c>
      <c r="E397">
        <v>1.177792207792208</v>
      </c>
      <c r="F397">
        <v>0.02988201565773514</v>
      </c>
      <c r="G397">
        <v>-0.03219855845912278</v>
      </c>
      <c r="H397">
        <v>0.052</v>
      </c>
      <c r="I397">
        <v>0.04868748104609111</v>
      </c>
      <c r="J397" t="s">
        <v>367</v>
      </c>
      <c r="K397" t="s">
        <v>777</v>
      </c>
      <c r="L397">
        <v>4.06</v>
      </c>
      <c r="M397">
        <v>2.71</v>
      </c>
      <c r="N397">
        <v>0.6674876847290641</v>
      </c>
      <c r="O397">
        <v>18</v>
      </c>
      <c r="P397">
        <v>0.05189218178383381</v>
      </c>
      <c r="Q397">
        <v>-0.029260272564962</v>
      </c>
      <c r="R397" t="s">
        <v>780</v>
      </c>
      <c r="S397" t="s">
        <v>789</v>
      </c>
      <c r="T397">
        <v>28606.757616</v>
      </c>
      <c r="U397" s="2">
        <v>44502</v>
      </c>
      <c r="V397" t="s">
        <v>796</v>
      </c>
    </row>
    <row r="398" spans="1:22">
      <c r="A398" s="1" t="s">
        <v>418</v>
      </c>
      <c r="B398">
        <f>HYPERLINK("https://www.suredividend.com/sure-analysis-GE/","General Electric Co.")</f>
        <v>0</v>
      </c>
      <c r="C398">
        <v>102.23</v>
      </c>
      <c r="D398">
        <v>72</v>
      </c>
      <c r="E398">
        <v>1.419861111111111</v>
      </c>
      <c r="F398">
        <v>0.003130196615474909</v>
      </c>
      <c r="G398">
        <v>-0.06771042666470661</v>
      </c>
      <c r="H398">
        <v>0.12</v>
      </c>
      <c r="I398">
        <v>0.04678441505884301</v>
      </c>
      <c r="J398" t="s">
        <v>367</v>
      </c>
      <c r="K398" t="s">
        <v>778</v>
      </c>
      <c r="L398">
        <v>2</v>
      </c>
      <c r="M398">
        <v>0.32</v>
      </c>
      <c r="N398">
        <v>0.16</v>
      </c>
      <c r="O398">
        <v>0</v>
      </c>
      <c r="P398">
        <v>0</v>
      </c>
      <c r="Q398">
        <v>0.226760490704196</v>
      </c>
      <c r="R398" t="s">
        <v>780</v>
      </c>
      <c r="S398" t="s">
        <v>787</v>
      </c>
      <c r="T398">
        <v>112262.558595</v>
      </c>
      <c r="U398" s="2">
        <v>44500</v>
      </c>
      <c r="V398" t="s">
        <v>795</v>
      </c>
    </row>
    <row r="399" spans="1:22">
      <c r="A399" s="1" t="s">
        <v>419</v>
      </c>
      <c r="B399">
        <f>HYPERLINK("https://www.suredividend.com/sure-analysis-CFG/","Citizens Financial Group Inc")</f>
        <v>0</v>
      </c>
      <c r="C399">
        <v>51.04</v>
      </c>
      <c r="D399">
        <v>59</v>
      </c>
      <c r="E399">
        <v>0.8650847457627119</v>
      </c>
      <c r="F399">
        <v>0.03056426332288401</v>
      </c>
      <c r="G399">
        <v>0.02940973069378794</v>
      </c>
      <c r="H399">
        <v>-0.02</v>
      </c>
      <c r="I399">
        <v>0.04564382999814809</v>
      </c>
      <c r="J399" t="s">
        <v>367</v>
      </c>
      <c r="K399" t="s">
        <v>367</v>
      </c>
      <c r="L399">
        <v>5.15</v>
      </c>
      <c r="M399">
        <v>1.56</v>
      </c>
      <c r="N399">
        <v>0.3029126213592233</v>
      </c>
      <c r="O399">
        <v>6</v>
      </c>
      <c r="P399">
        <v>0.09979014724923641</v>
      </c>
      <c r="Q399">
        <v>0.5096125406684411</v>
      </c>
      <c r="R399" t="s">
        <v>780</v>
      </c>
      <c r="S399" t="s">
        <v>790</v>
      </c>
      <c r="T399">
        <v>21753.226359</v>
      </c>
      <c r="U399" s="2">
        <v>44492</v>
      </c>
      <c r="V399" t="s">
        <v>798</v>
      </c>
    </row>
    <row r="400" spans="1:22">
      <c r="A400" s="1" t="s">
        <v>420</v>
      </c>
      <c r="B400">
        <f>HYPERLINK("https://www.suredividend.com/sure-analysis-PSB/","PS Business Parks, Inc.")</f>
        <v>0</v>
      </c>
      <c r="C400">
        <v>181.06</v>
      </c>
      <c r="D400">
        <v>161</v>
      </c>
      <c r="E400">
        <v>1.124596273291925</v>
      </c>
      <c r="F400">
        <v>0.02319673036562465</v>
      </c>
      <c r="G400">
        <v>-0.02321119838802788</v>
      </c>
      <c r="H400">
        <v>0.045</v>
      </c>
      <c r="I400">
        <v>0.04508928248883626</v>
      </c>
      <c r="J400" t="s">
        <v>367</v>
      </c>
      <c r="K400" t="s">
        <v>515</v>
      </c>
      <c r="L400">
        <v>6.98</v>
      </c>
      <c r="M400">
        <v>4.2</v>
      </c>
      <c r="N400">
        <v>0.6017191977077364</v>
      </c>
      <c r="O400">
        <v>0</v>
      </c>
      <c r="P400">
        <v>0.05997935097636264</v>
      </c>
      <c r="Q400">
        <v>0.354598722759892</v>
      </c>
      <c r="R400" t="s">
        <v>782</v>
      </c>
      <c r="S400" t="s">
        <v>794</v>
      </c>
      <c r="T400">
        <v>4988.310731</v>
      </c>
      <c r="U400" s="2">
        <v>44513</v>
      </c>
      <c r="V400" t="s">
        <v>795</v>
      </c>
    </row>
    <row r="401" spans="1:22">
      <c r="A401" s="1" t="s">
        <v>421</v>
      </c>
      <c r="B401">
        <f>HYPERLINK("https://www.suredividend.com/sure-analysis-PNC/","PNC Financial Services Group")</f>
        <v>0</v>
      </c>
      <c r="C401">
        <v>208.63</v>
      </c>
      <c r="D401">
        <v>180</v>
      </c>
      <c r="E401">
        <v>1.159055555555556</v>
      </c>
      <c r="F401">
        <v>0.02396587259742127</v>
      </c>
      <c r="G401">
        <v>-0.029089608250496</v>
      </c>
      <c r="H401">
        <v>0.05</v>
      </c>
      <c r="I401">
        <v>0.04403489459583354</v>
      </c>
      <c r="J401" t="s">
        <v>367</v>
      </c>
      <c r="K401" t="s">
        <v>515</v>
      </c>
      <c r="L401">
        <v>14.3</v>
      </c>
      <c r="M401">
        <v>5</v>
      </c>
      <c r="N401">
        <v>0.3496503496503496</v>
      </c>
      <c r="O401">
        <v>11</v>
      </c>
      <c r="P401">
        <v>0.05061112176150684</v>
      </c>
      <c r="Q401">
        <v>0.528959204058854</v>
      </c>
      <c r="R401" t="s">
        <v>780</v>
      </c>
      <c r="S401" t="s">
        <v>790</v>
      </c>
      <c r="T401">
        <v>88175.55156399999</v>
      </c>
      <c r="U401" s="2">
        <v>44490</v>
      </c>
      <c r="V401" t="s">
        <v>804</v>
      </c>
    </row>
    <row r="402" spans="1:22">
      <c r="A402" s="1" t="s">
        <v>422</v>
      </c>
      <c r="B402">
        <f>HYPERLINK("https://www.suredividend.com/sure-analysis-WY/","Weyerhaeuser Co.")</f>
        <v>0</v>
      </c>
      <c r="C402">
        <v>38.98</v>
      </c>
      <c r="D402">
        <v>55.8</v>
      </c>
      <c r="E402">
        <v>0.6985663082437276</v>
      </c>
      <c r="F402">
        <v>0.01744484350949205</v>
      </c>
      <c r="G402">
        <v>0.07438137955733692</v>
      </c>
      <c r="H402">
        <v>-0.053</v>
      </c>
      <c r="I402">
        <v>0.04143203811653207</v>
      </c>
      <c r="J402" t="s">
        <v>367</v>
      </c>
      <c r="K402" t="s">
        <v>515</v>
      </c>
      <c r="L402">
        <v>3.28</v>
      </c>
      <c r="M402">
        <v>0.68</v>
      </c>
      <c r="N402">
        <v>0.2073170731707317</v>
      </c>
      <c r="O402">
        <v>0</v>
      </c>
      <c r="P402">
        <v>0.1486983549970351</v>
      </c>
      <c r="Q402">
        <v>0.379578835604317</v>
      </c>
      <c r="R402" t="s">
        <v>782</v>
      </c>
      <c r="S402" t="s">
        <v>794</v>
      </c>
      <c r="T402">
        <v>29197.7741</v>
      </c>
      <c r="U402" s="2">
        <v>44506</v>
      </c>
      <c r="V402" t="s">
        <v>803</v>
      </c>
    </row>
    <row r="403" spans="1:22">
      <c r="A403" s="1" t="s">
        <v>423</v>
      </c>
      <c r="B403">
        <f>HYPERLINK("https://www.suredividend.com/sure-analysis-WPC/","W. P. Carey Inc")</f>
        <v>0</v>
      </c>
      <c r="C403">
        <v>79.12</v>
      </c>
      <c r="D403">
        <v>62</v>
      </c>
      <c r="E403">
        <v>1.276129032258065</v>
      </c>
      <c r="F403">
        <v>0.0532103134479272</v>
      </c>
      <c r="G403">
        <v>-0.04759628190356657</v>
      </c>
      <c r="H403">
        <v>0.035</v>
      </c>
      <c r="I403">
        <v>0.03941047892019034</v>
      </c>
      <c r="J403" t="s">
        <v>367</v>
      </c>
      <c r="K403" t="s">
        <v>776</v>
      </c>
      <c r="L403">
        <v>4.98</v>
      </c>
      <c r="M403">
        <v>4.21</v>
      </c>
      <c r="N403">
        <v>0.8453815261044176</v>
      </c>
      <c r="O403">
        <v>23</v>
      </c>
      <c r="P403">
        <v>0.02007985595231565</v>
      </c>
      <c r="Q403">
        <v>0.171006633533533</v>
      </c>
      <c r="R403" t="s">
        <v>782</v>
      </c>
      <c r="S403" t="s">
        <v>794</v>
      </c>
      <c r="T403">
        <v>14738.86564</v>
      </c>
      <c r="U403" s="2">
        <v>44440</v>
      </c>
      <c r="V403" t="s">
        <v>800</v>
      </c>
    </row>
    <row r="404" spans="1:22">
      <c r="A404" s="1" t="s">
        <v>424</v>
      </c>
      <c r="B404">
        <f>HYPERLINK("https://www.suredividend.com/sure-analysis-BWA/","BorgWarner Inc")</f>
        <v>0</v>
      </c>
      <c r="C404">
        <v>47</v>
      </c>
      <c r="D404">
        <v>42</v>
      </c>
      <c r="E404">
        <v>1.119047619047619</v>
      </c>
      <c r="F404">
        <v>0.01446808510638298</v>
      </c>
      <c r="G404">
        <v>-0.02224445745082626</v>
      </c>
      <c r="H404">
        <v>0.05</v>
      </c>
      <c r="I404">
        <v>0.03934858467723346</v>
      </c>
      <c r="J404" t="s">
        <v>367</v>
      </c>
      <c r="K404" t="s">
        <v>515</v>
      </c>
      <c r="L404">
        <v>3.8</v>
      </c>
      <c r="M404">
        <v>0.68</v>
      </c>
      <c r="N404">
        <v>0.1789473684210527</v>
      </c>
      <c r="O404">
        <v>0</v>
      </c>
      <c r="P404">
        <v>0</v>
      </c>
      <c r="Q404">
        <v>0.179337011861119</v>
      </c>
      <c r="R404" t="s">
        <v>780</v>
      </c>
      <c r="S404" t="s">
        <v>787</v>
      </c>
      <c r="T404">
        <v>11269.249925</v>
      </c>
      <c r="U404" s="2">
        <v>44506</v>
      </c>
      <c r="V404" t="s">
        <v>796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100.18</v>
      </c>
      <c r="D405">
        <v>78.3</v>
      </c>
      <c r="E405">
        <v>1.279438058748404</v>
      </c>
      <c r="F405">
        <v>0.03932920742663206</v>
      </c>
      <c r="G405">
        <v>-0.04808943505235042</v>
      </c>
      <c r="H405">
        <v>0.043</v>
      </c>
      <c r="I405">
        <v>0.03327835856999162</v>
      </c>
      <c r="J405" t="s">
        <v>367</v>
      </c>
      <c r="K405" t="s">
        <v>777</v>
      </c>
      <c r="L405">
        <v>5.22</v>
      </c>
      <c r="M405">
        <v>3.94</v>
      </c>
      <c r="N405">
        <v>0.7547892720306514</v>
      </c>
      <c r="O405">
        <v>10</v>
      </c>
      <c r="P405">
        <v>0.02693571566003095</v>
      </c>
      <c r="Q405">
        <v>0.08197780098650201</v>
      </c>
      <c r="R405" t="s">
        <v>780</v>
      </c>
      <c r="S405" t="s">
        <v>789</v>
      </c>
      <c r="T405">
        <v>77072.24056799999</v>
      </c>
      <c r="U405" s="2">
        <v>44509</v>
      </c>
      <c r="V405" t="s">
        <v>803</v>
      </c>
    </row>
    <row r="406" spans="1:22">
      <c r="A406" s="1" t="s">
        <v>426</v>
      </c>
      <c r="B406">
        <f>HYPERLINK("https://www.suredividend.com/sure-analysis-GOLD/","Barrick Gold Corp.")</f>
        <v>0</v>
      </c>
      <c r="C406">
        <v>19.39</v>
      </c>
      <c r="D406">
        <v>23</v>
      </c>
      <c r="E406">
        <v>0.8430434782608696</v>
      </c>
      <c r="F406">
        <v>0.0185662712738525</v>
      </c>
      <c r="G406">
        <v>0.03473706331374782</v>
      </c>
      <c r="H406">
        <v>-0.02</v>
      </c>
      <c r="I406">
        <v>0.0331464355382125</v>
      </c>
      <c r="J406" t="s">
        <v>367</v>
      </c>
      <c r="K406" t="s">
        <v>515</v>
      </c>
      <c r="L406">
        <v>1.25</v>
      </c>
      <c r="M406">
        <v>0.36</v>
      </c>
      <c r="N406">
        <v>0.288</v>
      </c>
      <c r="O406">
        <v>5</v>
      </c>
      <c r="P406">
        <v>0.04095039696925684</v>
      </c>
      <c r="Q406">
        <v>-0.136118190080729</v>
      </c>
      <c r="R406" t="s">
        <v>780</v>
      </c>
      <c r="S406" t="s">
        <v>788</v>
      </c>
      <c r="T406">
        <v>34484.06984</v>
      </c>
      <c r="U406" s="2">
        <v>44428</v>
      </c>
      <c r="V406" t="s">
        <v>798</v>
      </c>
    </row>
    <row r="407" spans="1:22">
      <c r="A407" s="1" t="s">
        <v>427</v>
      </c>
      <c r="B407">
        <f>HYPERLINK("https://www.suredividend.com/sure-analysis-ESRT/","Empire State Realty Trust Inc")</f>
        <v>0</v>
      </c>
      <c r="C407">
        <v>10.29</v>
      </c>
      <c r="D407">
        <v>9.75</v>
      </c>
      <c r="E407">
        <v>1.055384615384615</v>
      </c>
      <c r="F407">
        <v>0.01360544217687075</v>
      </c>
      <c r="G407">
        <v>-0.01072314570295441</v>
      </c>
      <c r="H407">
        <v>0.02</v>
      </c>
      <c r="I407">
        <v>0.03154931802384131</v>
      </c>
      <c r="J407" t="s">
        <v>367</v>
      </c>
      <c r="K407" t="s">
        <v>778</v>
      </c>
      <c r="L407">
        <v>0.64</v>
      </c>
      <c r="M407">
        <v>0.14</v>
      </c>
      <c r="N407">
        <v>0.21875</v>
      </c>
      <c r="O407">
        <v>0</v>
      </c>
      <c r="P407">
        <v>0.2011244339814311</v>
      </c>
      <c r="Q407">
        <v>0.050171456564336</v>
      </c>
      <c r="R407" t="s">
        <v>782</v>
      </c>
      <c r="S407" t="s">
        <v>794</v>
      </c>
      <c r="T407">
        <v>1774.110188</v>
      </c>
      <c r="U407" s="2">
        <v>44500</v>
      </c>
      <c r="V407" t="s">
        <v>795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129.71</v>
      </c>
      <c r="D408">
        <v>94</v>
      </c>
      <c r="E408">
        <v>1.379893617021277</v>
      </c>
      <c r="F408">
        <v>0.02713746048878267</v>
      </c>
      <c r="G408">
        <v>-0.06237132893232156</v>
      </c>
      <c r="H408">
        <v>0.065</v>
      </c>
      <c r="I408">
        <v>0.03097853933247441</v>
      </c>
      <c r="J408" t="s">
        <v>367</v>
      </c>
      <c r="K408" t="s">
        <v>515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0.910174243941518</v>
      </c>
      <c r="R408" t="s">
        <v>780</v>
      </c>
      <c r="S408" t="s">
        <v>790</v>
      </c>
      <c r="T408">
        <v>1323.870064</v>
      </c>
      <c r="U408" s="2">
        <v>44513</v>
      </c>
      <c r="V408" t="s">
        <v>801</v>
      </c>
    </row>
    <row r="409" spans="1:22">
      <c r="A409" s="1" t="s">
        <v>429</v>
      </c>
      <c r="B409">
        <f>HYPERLINK("https://www.suredividend.com/sure-analysis-MMC/","Marsh &amp; McLennan Cos., Inc.")</f>
        <v>0</v>
      </c>
      <c r="C409">
        <v>169.78</v>
      </c>
      <c r="D409">
        <v>135</v>
      </c>
      <c r="E409">
        <v>1.25762962962963</v>
      </c>
      <c r="F409">
        <v>0.01260454706090234</v>
      </c>
      <c r="G409">
        <v>-0.04481070222099837</v>
      </c>
      <c r="H409">
        <v>0.062</v>
      </c>
      <c r="I409">
        <v>0.02824224502935624</v>
      </c>
      <c r="J409" t="s">
        <v>367</v>
      </c>
      <c r="K409" t="s">
        <v>778</v>
      </c>
      <c r="L409">
        <v>6.15</v>
      </c>
      <c r="M409">
        <v>2.14</v>
      </c>
      <c r="N409">
        <v>0.3479674796747967</v>
      </c>
      <c r="O409">
        <v>12</v>
      </c>
      <c r="P409">
        <v>0.05971834352437777</v>
      </c>
      <c r="Q409">
        <v>0.4975333654985171</v>
      </c>
      <c r="R409" t="s">
        <v>780</v>
      </c>
      <c r="S409" t="s">
        <v>790</v>
      </c>
      <c r="T409">
        <v>85721.13540899999</v>
      </c>
      <c r="U409" s="2">
        <v>44505</v>
      </c>
      <c r="V409" t="s">
        <v>801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38.81</v>
      </c>
      <c r="D410">
        <v>47</v>
      </c>
      <c r="E410">
        <v>0.8257446808510639</v>
      </c>
      <c r="F410">
        <v>0.01545993300695697</v>
      </c>
      <c r="G410">
        <v>0.03903659333994924</v>
      </c>
      <c r="H410">
        <v>-0.036</v>
      </c>
      <c r="I410">
        <v>0.02775123490899101</v>
      </c>
      <c r="J410" t="s">
        <v>367</v>
      </c>
      <c r="K410" t="s">
        <v>515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-0.05202504158534801</v>
      </c>
      <c r="R410" t="s">
        <v>780</v>
      </c>
      <c r="S410" t="s">
        <v>791</v>
      </c>
      <c r="T410">
        <v>5970.762988</v>
      </c>
      <c r="U410" s="2">
        <v>44503</v>
      </c>
      <c r="V410" t="s">
        <v>803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46.7</v>
      </c>
      <c r="D411">
        <v>39.1</v>
      </c>
      <c r="E411">
        <v>1.194373401534527</v>
      </c>
      <c r="F411">
        <v>0.04539614561027838</v>
      </c>
      <c r="G411">
        <v>-0.03490075612434207</v>
      </c>
      <c r="H411">
        <v>0.015</v>
      </c>
      <c r="I411">
        <v>0.02662120661736433</v>
      </c>
      <c r="J411" t="s">
        <v>367</v>
      </c>
      <c r="K411" t="s">
        <v>777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0.215307144808921</v>
      </c>
      <c r="R411" t="s">
        <v>782</v>
      </c>
      <c r="S411" t="s">
        <v>794</v>
      </c>
      <c r="T411">
        <v>8201.308856</v>
      </c>
      <c r="U411" s="2">
        <v>44506</v>
      </c>
      <c r="V411" t="s">
        <v>803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47.63</v>
      </c>
      <c r="D412">
        <v>39</v>
      </c>
      <c r="E412">
        <v>1.221282051282051</v>
      </c>
      <c r="F412">
        <v>0.01763594373294142</v>
      </c>
      <c r="G412">
        <v>-0.03919156944288016</v>
      </c>
      <c r="H412">
        <v>0.04</v>
      </c>
      <c r="I412">
        <v>0.0219156646643659</v>
      </c>
      <c r="J412" t="s">
        <v>367</v>
      </c>
      <c r="K412" t="s">
        <v>515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0.677555692524434</v>
      </c>
      <c r="R412" t="s">
        <v>780</v>
      </c>
      <c r="S412" t="s">
        <v>790</v>
      </c>
      <c r="T412">
        <v>389807.922444</v>
      </c>
      <c r="U412" s="2">
        <v>44485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36.23</v>
      </c>
      <c r="D413">
        <v>26</v>
      </c>
      <c r="E413">
        <v>1.393461538461538</v>
      </c>
      <c r="F413">
        <v>0.01324868893182446</v>
      </c>
      <c r="G413">
        <v>-0.06420439153727675</v>
      </c>
      <c r="H413">
        <v>0.075</v>
      </c>
      <c r="I413">
        <v>0.02137437564446176</v>
      </c>
      <c r="J413" t="s">
        <v>367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0.10854093615563</v>
      </c>
      <c r="R413" t="s">
        <v>780</v>
      </c>
      <c r="S413" t="s">
        <v>787</v>
      </c>
      <c r="T413">
        <v>8569.122535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399.19</v>
      </c>
      <c r="D414">
        <v>671</v>
      </c>
      <c r="E414">
        <v>0.5949180327868853</v>
      </c>
      <c r="F414">
        <v>0.0200405821789123</v>
      </c>
      <c r="G414">
        <v>0.1094521429706214</v>
      </c>
      <c r="H414">
        <v>-0.1</v>
      </c>
      <c r="I414">
        <v>0.02024769011738448</v>
      </c>
      <c r="J414" t="s">
        <v>367</v>
      </c>
      <c r="K414" t="s">
        <v>515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0.7106011936798721</v>
      </c>
      <c r="R414" t="s">
        <v>780</v>
      </c>
      <c r="S414" t="s">
        <v>790</v>
      </c>
      <c r="T414">
        <v>133646.009686</v>
      </c>
      <c r="U414" s="2">
        <v>44485</v>
      </c>
      <c r="V414" t="s">
        <v>798</v>
      </c>
    </row>
    <row r="415" spans="1:22">
      <c r="A415" s="1" t="s">
        <v>435</v>
      </c>
      <c r="B415">
        <f>HYPERLINK("https://www.suredividend.com/sure-analysis-STZ/","Constellation Brands Inc")</f>
        <v>0</v>
      </c>
      <c r="C415">
        <v>232.5</v>
      </c>
      <c r="D415">
        <v>185</v>
      </c>
      <c r="E415">
        <v>1.256756756756757</v>
      </c>
      <c r="F415">
        <v>0.0130752688172043</v>
      </c>
      <c r="G415">
        <v>-0.04467805486730636</v>
      </c>
      <c r="H415">
        <v>0.05</v>
      </c>
      <c r="I415">
        <v>0.01764589760562196</v>
      </c>
      <c r="J415" t="s">
        <v>367</v>
      </c>
      <c r="K415" t="s">
        <v>778</v>
      </c>
      <c r="L415">
        <v>10.3</v>
      </c>
      <c r="M415">
        <v>3.04</v>
      </c>
      <c r="N415">
        <v>0.2951456310679612</v>
      </c>
      <c r="O415">
        <v>6</v>
      </c>
      <c r="P415">
        <v>0.05000563166277994</v>
      </c>
      <c r="Q415">
        <v>0.133949421466321</v>
      </c>
      <c r="R415" t="s">
        <v>780</v>
      </c>
      <c r="S415" t="s">
        <v>792</v>
      </c>
      <c r="T415">
        <v>43702.125474</v>
      </c>
      <c r="U415" s="2">
        <v>44475</v>
      </c>
      <c r="V415" t="s">
        <v>799</v>
      </c>
    </row>
    <row r="416" spans="1:22">
      <c r="A416" s="1" t="s">
        <v>436</v>
      </c>
      <c r="B416">
        <f>HYPERLINK("https://www.suredividend.com/sure-analysis-FITB/","Fifth Third Bancorp")</f>
        <v>0</v>
      </c>
      <c r="C416">
        <v>44.6</v>
      </c>
      <c r="D416">
        <v>36</v>
      </c>
      <c r="E416">
        <v>1.238888888888889</v>
      </c>
      <c r="F416">
        <v>0.02690582959641255</v>
      </c>
      <c r="G416">
        <v>-0.04193819081854466</v>
      </c>
      <c r="H416">
        <v>0.03</v>
      </c>
      <c r="I416">
        <v>0.0160365380579246</v>
      </c>
      <c r="J416" t="s">
        <v>367</v>
      </c>
      <c r="K416" t="s">
        <v>367</v>
      </c>
      <c r="L416">
        <v>3.64</v>
      </c>
      <c r="M416">
        <v>1.2</v>
      </c>
      <c r="N416">
        <v>0.3296703296703297</v>
      </c>
      <c r="O416">
        <v>11</v>
      </c>
      <c r="P416">
        <v>0.02983277847878951</v>
      </c>
      <c r="Q416">
        <v>0.687859521646987</v>
      </c>
      <c r="R416" t="s">
        <v>780</v>
      </c>
      <c r="S416" t="s">
        <v>790</v>
      </c>
      <c r="T416">
        <v>30495.574956</v>
      </c>
      <c r="U416" s="2">
        <v>44488</v>
      </c>
      <c r="V416" t="s">
        <v>796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115.46</v>
      </c>
      <c r="D417">
        <v>84</v>
      </c>
      <c r="E417">
        <v>1.374523809523809</v>
      </c>
      <c r="F417">
        <v>0.01281829204919453</v>
      </c>
      <c r="G417">
        <v>-0.06163987037547547</v>
      </c>
      <c r="H417">
        <v>0.06</v>
      </c>
      <c r="I417">
        <v>0.01124598663557852</v>
      </c>
      <c r="J417" t="s">
        <v>367</v>
      </c>
      <c r="K417" t="s">
        <v>515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0.344238437581861</v>
      </c>
      <c r="R417" t="s">
        <v>780</v>
      </c>
      <c r="S417" t="s">
        <v>787</v>
      </c>
      <c r="T417">
        <v>7792.049944</v>
      </c>
      <c r="U417" s="2">
        <v>44502</v>
      </c>
      <c r="V417" t="s">
        <v>799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80.45</v>
      </c>
      <c r="D418">
        <v>67</v>
      </c>
      <c r="E418">
        <v>1.200746268656717</v>
      </c>
      <c r="F418">
        <v>0.01168427594779366</v>
      </c>
      <c r="G418">
        <v>-0.03592737571064075</v>
      </c>
      <c r="H418">
        <v>0.03</v>
      </c>
      <c r="I418">
        <v>0.008610445596889837</v>
      </c>
      <c r="J418" t="s">
        <v>367</v>
      </c>
      <c r="K418" t="s">
        <v>515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-0.015808236137515</v>
      </c>
      <c r="R418" t="s">
        <v>780</v>
      </c>
      <c r="S418" t="s">
        <v>786</v>
      </c>
      <c r="T418">
        <v>13926.427579</v>
      </c>
      <c r="U418" s="2">
        <v>44495</v>
      </c>
      <c r="V418" t="s">
        <v>796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125.08</v>
      </c>
      <c r="D419">
        <v>86</v>
      </c>
      <c r="E419">
        <v>1.454418604651163</v>
      </c>
      <c r="F419">
        <v>0.02110649184521906</v>
      </c>
      <c r="G419">
        <v>-0.07218344845958113</v>
      </c>
      <c r="H419">
        <v>0.06</v>
      </c>
      <c r="I419">
        <v>0.008374986711090049</v>
      </c>
      <c r="J419" t="s">
        <v>367</v>
      </c>
      <c r="K419" t="s">
        <v>515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0.367933401285253</v>
      </c>
      <c r="R419" t="s">
        <v>780</v>
      </c>
      <c r="S419" t="s">
        <v>787</v>
      </c>
      <c r="T419">
        <v>45102.689384</v>
      </c>
      <c r="U419" s="2">
        <v>44472</v>
      </c>
      <c r="V419" t="s">
        <v>796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90.51000000000001</v>
      </c>
      <c r="D420">
        <v>83</v>
      </c>
      <c r="E420">
        <v>1.090481927710844</v>
      </c>
      <c r="F420">
        <v>0.03005192796376091</v>
      </c>
      <c r="G420">
        <v>-0.0171747500432875</v>
      </c>
      <c r="H420">
        <v>-0.01</v>
      </c>
      <c r="I420">
        <v>0.007159886419624728</v>
      </c>
      <c r="J420" t="s">
        <v>367</v>
      </c>
      <c r="K420" t="s">
        <v>367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0.727642858369934</v>
      </c>
      <c r="R420" t="s">
        <v>780</v>
      </c>
      <c r="S420" t="s">
        <v>790</v>
      </c>
      <c r="T420">
        <v>11870.265579</v>
      </c>
      <c r="U420" s="2">
        <v>44490</v>
      </c>
      <c r="V420" t="s">
        <v>799</v>
      </c>
    </row>
    <row r="421" spans="1:22">
      <c r="A421" s="1" t="s">
        <v>441</v>
      </c>
      <c r="B421">
        <f>HYPERLINK("https://www.suredividend.com/sure-analysis-PACW/","Pacwest Bancorp")</f>
        <v>0</v>
      </c>
      <c r="C421">
        <v>49.24</v>
      </c>
      <c r="D421">
        <v>50</v>
      </c>
      <c r="E421">
        <v>0.9848</v>
      </c>
      <c r="F421">
        <v>0.02030869212022746</v>
      </c>
      <c r="G421">
        <v>0.003068037645641342</v>
      </c>
      <c r="H421">
        <v>-0.02</v>
      </c>
      <c r="I421">
        <v>0.007081844298964857</v>
      </c>
      <c r="J421" t="s">
        <v>367</v>
      </c>
      <c r="K421" t="s">
        <v>515</v>
      </c>
      <c r="L421">
        <v>5</v>
      </c>
      <c r="M421">
        <v>1</v>
      </c>
      <c r="N421">
        <v>0.2</v>
      </c>
      <c r="O421">
        <v>0</v>
      </c>
      <c r="P421">
        <v>0.05061112176150684</v>
      </c>
      <c r="Q421">
        <v>0.9321320944249121</v>
      </c>
      <c r="R421" t="s">
        <v>780</v>
      </c>
      <c r="S421" t="s">
        <v>790</v>
      </c>
      <c r="T421">
        <v>5773.774712</v>
      </c>
      <c r="U421" s="2">
        <v>44493</v>
      </c>
      <c r="V421" t="s">
        <v>798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12.81</v>
      </c>
      <c r="D422">
        <v>10</v>
      </c>
      <c r="E422">
        <v>1.281</v>
      </c>
      <c r="F422">
        <v>0.00312256049960968</v>
      </c>
      <c r="G422">
        <v>-0.04832168393204883</v>
      </c>
      <c r="H422">
        <v>0.05</v>
      </c>
      <c r="I422">
        <v>0.002824341739940506</v>
      </c>
      <c r="J422" t="s">
        <v>367</v>
      </c>
      <c r="K422" t="s">
        <v>778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0.5833776250571671</v>
      </c>
      <c r="R422" t="s">
        <v>780</v>
      </c>
      <c r="S422" t="s">
        <v>787</v>
      </c>
      <c r="T422">
        <v>3371.876484</v>
      </c>
      <c r="U422" s="2">
        <v>44513</v>
      </c>
      <c r="V422" t="s">
        <v>801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335.05</v>
      </c>
      <c r="D423">
        <v>242</v>
      </c>
      <c r="E423">
        <v>1.384504132231405</v>
      </c>
      <c r="F423">
        <v>0.02387703327861513</v>
      </c>
      <c r="G423">
        <v>-0.06299663888950213</v>
      </c>
      <c r="H423">
        <v>0.04</v>
      </c>
      <c r="I423">
        <v>0.00263323353412237</v>
      </c>
      <c r="J423" t="s">
        <v>367</v>
      </c>
      <c r="K423" t="s">
        <v>515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0.5553648132424881</v>
      </c>
      <c r="R423" t="s">
        <v>782</v>
      </c>
      <c r="S423" t="s">
        <v>794</v>
      </c>
      <c r="T423">
        <v>58752.545328</v>
      </c>
      <c r="U423" s="2">
        <v>44502</v>
      </c>
      <c r="V423" t="s">
        <v>796</v>
      </c>
    </row>
    <row r="424" spans="1:22">
      <c r="A424" s="1" t="s">
        <v>444</v>
      </c>
      <c r="B424">
        <f>HYPERLINK("https://www.suredividend.com/sure-analysis-NSRGY/","Nestle SA")</f>
        <v>0</v>
      </c>
      <c r="C424">
        <v>130.01</v>
      </c>
      <c r="D424">
        <v>90</v>
      </c>
      <c r="E424">
        <v>1.444555555555555</v>
      </c>
      <c r="F424">
        <v>0.02307514806553342</v>
      </c>
      <c r="G424">
        <v>-0.07091991663740282</v>
      </c>
      <c r="H424">
        <v>0.05</v>
      </c>
      <c r="I424">
        <v>0.002292400631271674</v>
      </c>
      <c r="J424" t="s">
        <v>367</v>
      </c>
      <c r="K424" t="s">
        <v>367</v>
      </c>
      <c r="L424">
        <v>5</v>
      </c>
      <c r="M424">
        <v>3</v>
      </c>
      <c r="N424">
        <v>0.6</v>
      </c>
      <c r="O424">
        <v>4</v>
      </c>
      <c r="P424">
        <v>0.034822227649</v>
      </c>
      <c r="Q424">
        <v>0.166427417907769</v>
      </c>
      <c r="R424" t="s">
        <v>780</v>
      </c>
      <c r="S424" t="s">
        <v>792</v>
      </c>
      <c r="T424">
        <v>365978.15</v>
      </c>
      <c r="U424" s="2">
        <v>44516</v>
      </c>
      <c r="V424" t="s">
        <v>804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35.17</v>
      </c>
      <c r="D425">
        <v>21</v>
      </c>
      <c r="E425">
        <v>1.674761904761905</v>
      </c>
      <c r="F425">
        <v>0.02416832527722491</v>
      </c>
      <c r="G425">
        <v>-0.09799408541595678</v>
      </c>
      <c r="H425">
        <v>0.08</v>
      </c>
      <c r="I425">
        <v>0.00212990644871125</v>
      </c>
      <c r="J425" t="s">
        <v>367</v>
      </c>
      <c r="K425" t="s">
        <v>367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0.3481604146062851</v>
      </c>
      <c r="R425" t="s">
        <v>780</v>
      </c>
      <c r="S425" t="s">
        <v>787</v>
      </c>
      <c r="T425">
        <v>72209.224445</v>
      </c>
      <c r="U425" s="2">
        <v>44494</v>
      </c>
      <c r="V425" t="s">
        <v>804</v>
      </c>
    </row>
    <row r="426" spans="1:22">
      <c r="A426" s="1" t="s">
        <v>446</v>
      </c>
      <c r="B426">
        <f>HYPERLINK("https://www.suredividend.com/sure-analysis-DLR/","Digital Realty Trust Inc")</f>
        <v>0</v>
      </c>
      <c r="C426">
        <v>166.21</v>
      </c>
      <c r="D426">
        <v>104</v>
      </c>
      <c r="E426">
        <v>1.598173076923077</v>
      </c>
      <c r="F426">
        <v>0.02791649118584922</v>
      </c>
      <c r="G426">
        <v>-0.08950987902970009</v>
      </c>
      <c r="H426">
        <v>0.06</v>
      </c>
      <c r="I426">
        <v>0.0008321384914500296</v>
      </c>
      <c r="J426" t="s">
        <v>367</v>
      </c>
      <c r="K426" t="s">
        <v>367</v>
      </c>
      <c r="L426">
        <v>6.52</v>
      </c>
      <c r="M426">
        <v>4.64</v>
      </c>
      <c r="N426">
        <v>0.7116564417177914</v>
      </c>
      <c r="O426">
        <v>17</v>
      </c>
      <c r="P426">
        <v>0.06002162190703619</v>
      </c>
      <c r="Q426">
        <v>0.294199268221844</v>
      </c>
      <c r="R426" t="s">
        <v>782</v>
      </c>
      <c r="S426" t="s">
        <v>794</v>
      </c>
      <c r="T426">
        <v>47168.313062</v>
      </c>
      <c r="U426" s="2">
        <v>44497</v>
      </c>
      <c r="V426" t="s">
        <v>799</v>
      </c>
    </row>
    <row r="427" spans="1:22">
      <c r="A427" s="1" t="s">
        <v>447</v>
      </c>
      <c r="B427">
        <f>HYPERLINK("https://www.suredividend.com/sure-analysis-MRVL/","Marvell Technology Inc")</f>
        <v>0</v>
      </c>
      <c r="C427">
        <v>73.86</v>
      </c>
      <c r="D427">
        <v>29</v>
      </c>
      <c r="E427">
        <v>2.546896551724138</v>
      </c>
      <c r="F427">
        <v>0.003249390739236393</v>
      </c>
      <c r="G427">
        <v>-0.1705356233866152</v>
      </c>
      <c r="H427">
        <v>0.2</v>
      </c>
      <c r="I427">
        <v>-0.001354109051414754</v>
      </c>
      <c r="J427" t="s">
        <v>367</v>
      </c>
      <c r="K427" t="s">
        <v>778</v>
      </c>
      <c r="L427">
        <v>1.4</v>
      </c>
      <c r="M427">
        <v>0.24</v>
      </c>
      <c r="N427">
        <v>0.1714285714285714</v>
      </c>
      <c r="O427">
        <v>0</v>
      </c>
      <c r="P427">
        <v>0</v>
      </c>
      <c r="Q427">
        <v>0.55706825929213</v>
      </c>
      <c r="R427" t="s">
        <v>780</v>
      </c>
      <c r="S427" t="s">
        <v>786</v>
      </c>
      <c r="T427">
        <v>60828.363402</v>
      </c>
      <c r="U427" s="2">
        <v>44461</v>
      </c>
      <c r="V427" t="s">
        <v>797</v>
      </c>
    </row>
    <row r="428" spans="1:22">
      <c r="A428" s="1" t="s">
        <v>448</v>
      </c>
      <c r="B428">
        <f>HYPERLINK("https://www.suredividend.com/sure-analysis-DEO/","Diageo plc")</f>
        <v>0</v>
      </c>
      <c r="C428">
        <v>207.27</v>
      </c>
      <c r="D428">
        <v>123</v>
      </c>
      <c r="E428">
        <v>1.685121951219512</v>
      </c>
      <c r="F428">
        <v>0.01939499203936893</v>
      </c>
      <c r="G428">
        <v>-0.09910592054627942</v>
      </c>
      <c r="H428">
        <v>0.08</v>
      </c>
      <c r="I428">
        <v>-0.003127322737727201</v>
      </c>
      <c r="J428" t="s">
        <v>367</v>
      </c>
      <c r="K428" t="s">
        <v>515</v>
      </c>
      <c r="L428">
        <v>6.15</v>
      </c>
      <c r="M428">
        <v>4.02</v>
      </c>
      <c r="N428">
        <v>0.6536585365853658</v>
      </c>
      <c r="O428">
        <v>8</v>
      </c>
      <c r="P428">
        <v>0.04997331683701267</v>
      </c>
      <c r="Q428">
        <v>0.354753697189312</v>
      </c>
      <c r="R428" t="s">
        <v>780</v>
      </c>
      <c r="S428" t="s">
        <v>792</v>
      </c>
      <c r="T428">
        <v>120819.918821</v>
      </c>
      <c r="U428" s="2">
        <v>44422</v>
      </c>
      <c r="V428" t="s">
        <v>796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4.11</v>
      </c>
      <c r="D429">
        <v>3.29</v>
      </c>
      <c r="E429">
        <v>1.249240121580547</v>
      </c>
      <c r="F429">
        <v>0.0267639902676399</v>
      </c>
      <c r="G429">
        <v>-0.04353118392097222</v>
      </c>
      <c r="H429">
        <v>0.02</v>
      </c>
      <c r="I429">
        <v>-0.01033206870206449</v>
      </c>
      <c r="J429" t="s">
        <v>367</v>
      </c>
      <c r="K429" t="s">
        <v>367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-0.16541444990456</v>
      </c>
      <c r="R429" t="s">
        <v>780</v>
      </c>
      <c r="S429" t="s">
        <v>788</v>
      </c>
      <c r="T429">
        <v>3958.391393</v>
      </c>
      <c r="U429" s="2">
        <v>44443</v>
      </c>
      <c r="V429" t="s">
        <v>797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60.01</v>
      </c>
      <c r="D430">
        <v>46</v>
      </c>
      <c r="E430">
        <v>1.304565217391304</v>
      </c>
      <c r="F430">
        <v>0.0113314447592068</v>
      </c>
      <c r="G430">
        <v>-0.05178495686626194</v>
      </c>
      <c r="H430">
        <v>0.03</v>
      </c>
      <c r="I430">
        <v>-0.01046899341138718</v>
      </c>
      <c r="J430" t="s">
        <v>367</v>
      </c>
      <c r="K430" t="s">
        <v>515</v>
      </c>
      <c r="L430">
        <v>5.79</v>
      </c>
      <c r="M430">
        <v>0.68</v>
      </c>
      <c r="N430">
        <v>0.1174438687392055</v>
      </c>
      <c r="O430">
        <v>2</v>
      </c>
      <c r="P430">
        <v>0.01978934521903875</v>
      </c>
      <c r="Q430">
        <v>0.9641471948469361</v>
      </c>
      <c r="R430" t="s">
        <v>780</v>
      </c>
      <c r="S430" t="s">
        <v>786</v>
      </c>
      <c r="T430">
        <v>3745.892791</v>
      </c>
      <c r="U430" s="2">
        <v>44522</v>
      </c>
      <c r="V430" t="s">
        <v>796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29.18</v>
      </c>
      <c r="D431">
        <v>25</v>
      </c>
      <c r="E431">
        <v>1.1672</v>
      </c>
      <c r="F431">
        <v>0.01028101439342015</v>
      </c>
      <c r="G431">
        <v>-0.03044836242069515</v>
      </c>
      <c r="H431">
        <v>0</v>
      </c>
      <c r="I431">
        <v>-0.01310452956362396</v>
      </c>
      <c r="J431" t="s">
        <v>367</v>
      </c>
      <c r="K431" t="s">
        <v>515</v>
      </c>
      <c r="L431">
        <v>12.8</v>
      </c>
      <c r="M431">
        <v>0.3</v>
      </c>
      <c r="N431">
        <v>0.0234375</v>
      </c>
      <c r="O431">
        <v>0</v>
      </c>
      <c r="P431">
        <v>0.1486983549970351</v>
      </c>
      <c r="Q431">
        <v>0.620058073363424</v>
      </c>
      <c r="R431" t="s">
        <v>780</v>
      </c>
      <c r="S431" t="s">
        <v>788</v>
      </c>
      <c r="T431">
        <v>28678.389147</v>
      </c>
      <c r="U431" s="2">
        <v>44516</v>
      </c>
      <c r="V431" t="s">
        <v>804</v>
      </c>
    </row>
    <row r="432" spans="1:22">
      <c r="A432" s="1" t="s">
        <v>452</v>
      </c>
      <c r="B432">
        <f>HYPERLINK("https://www.suredividend.com/sure-analysis-OLN/","Olin Corp.")</f>
        <v>0</v>
      </c>
      <c r="C432">
        <v>60.04</v>
      </c>
      <c r="D432">
        <v>45</v>
      </c>
      <c r="E432">
        <v>1.334222222222222</v>
      </c>
      <c r="F432">
        <v>0.01332445036642239</v>
      </c>
      <c r="G432">
        <v>-0.05603831671320647</v>
      </c>
      <c r="H432">
        <v>0.03</v>
      </c>
      <c r="I432">
        <v>-0.01324661621102452</v>
      </c>
      <c r="J432" t="s">
        <v>367</v>
      </c>
      <c r="K432" t="s">
        <v>515</v>
      </c>
      <c r="L432">
        <v>14.94</v>
      </c>
      <c r="M432">
        <v>0.8</v>
      </c>
      <c r="N432">
        <v>0.05354752342704151</v>
      </c>
      <c r="O432">
        <v>0</v>
      </c>
      <c r="P432">
        <v>0</v>
      </c>
      <c r="Q432">
        <v>1.6224639105462</v>
      </c>
      <c r="R432" t="s">
        <v>780</v>
      </c>
      <c r="S432" t="s">
        <v>788</v>
      </c>
      <c r="T432">
        <v>9634.141181999999</v>
      </c>
      <c r="U432" s="2">
        <v>44515</v>
      </c>
      <c r="V432" t="s">
        <v>801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60.89</v>
      </c>
      <c r="D433">
        <v>37</v>
      </c>
      <c r="E433">
        <v>1.645675675675676</v>
      </c>
      <c r="F433">
        <v>0.01839382493020201</v>
      </c>
      <c r="G433">
        <v>-0.09482791935229296</v>
      </c>
      <c r="H433">
        <v>0.06</v>
      </c>
      <c r="I433">
        <v>-0.01586759252677339</v>
      </c>
      <c r="J433" t="s">
        <v>367</v>
      </c>
      <c r="K433" t="s">
        <v>515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0.281738229858248</v>
      </c>
      <c r="R433" t="s">
        <v>780</v>
      </c>
      <c r="S433" t="s">
        <v>787</v>
      </c>
      <c r="T433">
        <v>35021.696625</v>
      </c>
      <c r="U433" s="2">
        <v>44482</v>
      </c>
      <c r="V433" t="s">
        <v>799</v>
      </c>
    </row>
    <row r="434" spans="1:22">
      <c r="A434" s="1" t="s">
        <v>454</v>
      </c>
      <c r="B434">
        <f>HYPERLINK("https://www.suredividend.com/sure-analysis-AVB/","Avalonbay Communities Inc.")</f>
        <v>0</v>
      </c>
      <c r="C434">
        <v>246.86</v>
      </c>
      <c r="D434">
        <v>147</v>
      </c>
      <c r="E434">
        <v>1.679319727891156</v>
      </c>
      <c r="F434">
        <v>0.02576359069918172</v>
      </c>
      <c r="G434">
        <v>-0.09848424269582345</v>
      </c>
      <c r="H434">
        <v>0.054</v>
      </c>
      <c r="I434">
        <v>-0.01845205442869713</v>
      </c>
      <c r="J434" t="s">
        <v>367</v>
      </c>
      <c r="K434" t="s">
        <v>367</v>
      </c>
      <c r="L434">
        <v>8.140000000000001</v>
      </c>
      <c r="M434">
        <v>6.36</v>
      </c>
      <c r="N434">
        <v>0.7813267813267813</v>
      </c>
      <c r="O434">
        <v>10</v>
      </c>
      <c r="P434">
        <v>0.01936140157470034</v>
      </c>
      <c r="Q434">
        <v>0.472765823910042</v>
      </c>
      <c r="R434" t="s">
        <v>782</v>
      </c>
      <c r="S434" t="s">
        <v>794</v>
      </c>
      <c r="T434">
        <v>34496.444005</v>
      </c>
      <c r="U434" s="2">
        <v>44503</v>
      </c>
      <c r="V434" t="s">
        <v>803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32.01</v>
      </c>
      <c r="D435">
        <v>28</v>
      </c>
      <c r="E435">
        <v>1.143214285714286</v>
      </c>
      <c r="F435">
        <v>0.001249609497032178</v>
      </c>
      <c r="G435">
        <v>-0.02641366092630648</v>
      </c>
      <c r="H435">
        <v>0</v>
      </c>
      <c r="I435">
        <v>-0.02129086513736134</v>
      </c>
      <c r="J435" t="s">
        <v>367</v>
      </c>
      <c r="K435" t="s">
        <v>778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0.9106911556667121</v>
      </c>
      <c r="R435" t="s">
        <v>780</v>
      </c>
      <c r="S435" t="s">
        <v>793</v>
      </c>
      <c r="T435">
        <v>29896.731202</v>
      </c>
      <c r="U435" s="2">
        <v>44515</v>
      </c>
      <c r="V435" t="s">
        <v>804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38.65</v>
      </c>
      <c r="D436">
        <v>40</v>
      </c>
      <c r="E436">
        <v>0.9662499999999999</v>
      </c>
      <c r="F436">
        <v>0.007761966364812419</v>
      </c>
      <c r="G436">
        <v>0.006890164524655074</v>
      </c>
      <c r="H436">
        <v>-0.04</v>
      </c>
      <c r="I436">
        <v>-0.02300932966118874</v>
      </c>
      <c r="J436" t="s">
        <v>367</v>
      </c>
      <c r="K436" t="s">
        <v>778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0.6832157477571631</v>
      </c>
      <c r="R436" t="s">
        <v>780</v>
      </c>
      <c r="S436" t="s">
        <v>788</v>
      </c>
      <c r="T436">
        <v>56756.501393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HYPERLINK("https://www.suredividend.com/sure-analysis-INFY/","Infosys Ltd")</f>
        <v>0</v>
      </c>
      <c r="C437">
        <v>22.61</v>
      </c>
      <c r="D437">
        <v>13</v>
      </c>
      <c r="E437">
        <v>1.739230769230769</v>
      </c>
      <c r="F437">
        <v>0.01769128704113224</v>
      </c>
      <c r="G437">
        <v>-0.1047825110061383</v>
      </c>
      <c r="H437">
        <v>0.06</v>
      </c>
      <c r="I437">
        <v>-0.02484443455611962</v>
      </c>
      <c r="J437" t="s">
        <v>367</v>
      </c>
      <c r="K437" t="s">
        <v>515</v>
      </c>
      <c r="L437">
        <v>0.7</v>
      </c>
      <c r="M437">
        <v>0.4</v>
      </c>
      <c r="N437">
        <v>0.5714285714285715</v>
      </c>
      <c r="O437">
        <v>6</v>
      </c>
      <c r="P437">
        <v>0.08083252207959757</v>
      </c>
      <c r="Q437">
        <v>0.483995038035166</v>
      </c>
      <c r="R437" t="s">
        <v>780</v>
      </c>
      <c r="S437" t="s">
        <v>786</v>
      </c>
      <c r="T437">
        <v>96347.354561</v>
      </c>
      <c r="U437" s="2">
        <v>44498</v>
      </c>
      <c r="V437" t="s">
        <v>800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42.54</v>
      </c>
      <c r="D438">
        <v>23</v>
      </c>
      <c r="E438">
        <v>1.849565217391304</v>
      </c>
      <c r="F438">
        <v>0.02914903620122238</v>
      </c>
      <c r="G438">
        <v>-0.1157275997821311</v>
      </c>
      <c r="H438">
        <v>0.055</v>
      </c>
      <c r="I438">
        <v>-0.02711365540901711</v>
      </c>
      <c r="J438" t="s">
        <v>367</v>
      </c>
      <c r="K438" t="s">
        <v>367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0.104648143339392</v>
      </c>
      <c r="R438" t="s">
        <v>780</v>
      </c>
      <c r="S438" t="s">
        <v>787</v>
      </c>
      <c r="T438">
        <v>1853.015132</v>
      </c>
      <c r="U438" s="2">
        <v>44494</v>
      </c>
      <c r="V438" t="s">
        <v>796</v>
      </c>
    </row>
    <row r="439" spans="1:22">
      <c r="A439" s="1" t="s">
        <v>459</v>
      </c>
      <c r="B439">
        <f>HYPERLINK("https://www.suredividend.com/sure-analysis-TER/","Teradyne, Inc.")</f>
        <v>0</v>
      </c>
      <c r="C439">
        <v>150.83</v>
      </c>
      <c r="D439">
        <v>87</v>
      </c>
      <c r="E439">
        <v>1.73367816091954</v>
      </c>
      <c r="F439">
        <v>0.002651992309222303</v>
      </c>
      <c r="G439">
        <v>-0.1042098053876273</v>
      </c>
      <c r="H439">
        <v>0.08</v>
      </c>
      <c r="I439">
        <v>-0.02853100361659089</v>
      </c>
      <c r="J439" t="s">
        <v>367</v>
      </c>
      <c r="K439" t="s">
        <v>778</v>
      </c>
      <c r="L439">
        <v>4.82</v>
      </c>
      <c r="M439">
        <v>0.4</v>
      </c>
      <c r="N439">
        <v>0.08298755186721991</v>
      </c>
      <c r="O439">
        <v>0</v>
      </c>
      <c r="P439">
        <v>0.09856054330611763</v>
      </c>
      <c r="Q439">
        <v>0.388023591707748</v>
      </c>
      <c r="R439" t="s">
        <v>780</v>
      </c>
      <c r="S439" t="s">
        <v>786</v>
      </c>
      <c r="T439">
        <v>24585.944602</v>
      </c>
      <c r="U439" s="2">
        <v>44502</v>
      </c>
      <c r="V439" t="s">
        <v>806</v>
      </c>
    </row>
    <row r="440" spans="1:22">
      <c r="A440" s="1" t="s">
        <v>460</v>
      </c>
      <c r="B440">
        <f>HYPERLINK("https://www.suredividend.com/sure-analysis-STLD/","Steel Dynamics Inc.")</f>
        <v>0</v>
      </c>
      <c r="C440">
        <v>65.15000000000001</v>
      </c>
      <c r="D440">
        <v>49</v>
      </c>
      <c r="E440">
        <v>1.329591836734694</v>
      </c>
      <c r="F440">
        <v>0.01596316193399847</v>
      </c>
      <c r="G440">
        <v>-0.05538174974733978</v>
      </c>
      <c r="H440">
        <v>0</v>
      </c>
      <c r="I440">
        <v>-0.03325776226479427</v>
      </c>
      <c r="J440" t="s">
        <v>367</v>
      </c>
      <c r="K440" t="s">
        <v>515</v>
      </c>
      <c r="L440">
        <v>4.4</v>
      </c>
      <c r="M440">
        <v>1.04</v>
      </c>
      <c r="N440">
        <v>0.2363636363636364</v>
      </c>
      <c r="O440">
        <v>9</v>
      </c>
      <c r="P440">
        <v>0.0488372867840543</v>
      </c>
      <c r="Q440">
        <v>0.7219551260872901</v>
      </c>
      <c r="R440" t="s">
        <v>780</v>
      </c>
      <c r="S440" t="s">
        <v>788</v>
      </c>
      <c r="T440">
        <v>12929.097374</v>
      </c>
      <c r="U440" s="2">
        <v>44494</v>
      </c>
      <c r="V440" t="s">
        <v>804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304.16</v>
      </c>
      <c r="D441">
        <v>164</v>
      </c>
      <c r="E441">
        <v>1.854634146341464</v>
      </c>
      <c r="F441">
        <v>0.007101525512887953</v>
      </c>
      <c r="G441">
        <v>-0.1162114927700499</v>
      </c>
      <c r="H441">
        <v>0.08</v>
      </c>
      <c r="I441">
        <v>-0.03460514077077581</v>
      </c>
      <c r="J441" t="s">
        <v>367</v>
      </c>
      <c r="K441" t="s">
        <v>778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0.616250931246632</v>
      </c>
      <c r="R441" t="s">
        <v>780</v>
      </c>
      <c r="S441" t="s">
        <v>787</v>
      </c>
      <c r="T441">
        <v>27672.61063</v>
      </c>
      <c r="U441" s="2">
        <v>44498</v>
      </c>
      <c r="V441" t="s">
        <v>800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268.33</v>
      </c>
      <c r="D442">
        <v>146</v>
      </c>
      <c r="E442">
        <v>1.837876712328767</v>
      </c>
      <c r="F442">
        <v>0.003875824544404279</v>
      </c>
      <c r="G442">
        <v>-0.1146056933133985</v>
      </c>
      <c r="H442">
        <v>0.075</v>
      </c>
      <c r="I442">
        <v>-0.04238265217030057</v>
      </c>
      <c r="J442" t="s">
        <v>367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0.282215466482152</v>
      </c>
      <c r="R442" t="s">
        <v>780</v>
      </c>
      <c r="S442" t="s">
        <v>791</v>
      </c>
      <c r="T442">
        <v>49573.401324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76.70999999999999</v>
      </c>
      <c r="D443">
        <v>36</v>
      </c>
      <c r="E443">
        <v>2.130833333333333</v>
      </c>
      <c r="F443">
        <v>0.007560943814365793</v>
      </c>
      <c r="G443">
        <v>-0.1404124758767327</v>
      </c>
      <c r="H443">
        <v>0.1</v>
      </c>
      <c r="I443">
        <v>-0.04471361137467422</v>
      </c>
      <c r="J443" t="s">
        <v>367</v>
      </c>
      <c r="K443" t="s">
        <v>778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1.027932650746694</v>
      </c>
      <c r="R443" t="s">
        <v>780</v>
      </c>
      <c r="S443" t="s">
        <v>790</v>
      </c>
      <c r="T443">
        <v>44876.05788</v>
      </c>
      <c r="U443" s="2">
        <v>44507</v>
      </c>
      <c r="V443" t="s">
        <v>806</v>
      </c>
    </row>
    <row r="444" spans="1:22">
      <c r="A444" s="1" t="s">
        <v>464</v>
      </c>
      <c r="B444">
        <f>HYPERLINK("https://www.suredividend.com/sure-analysis-SONY/","Sony Group Corporation")</f>
        <v>0</v>
      </c>
      <c r="C444">
        <v>122.22</v>
      </c>
      <c r="D444">
        <v>86</v>
      </c>
      <c r="E444">
        <v>1.421162790697674</v>
      </c>
      <c r="F444">
        <v>0.004500081819669449</v>
      </c>
      <c r="G444">
        <v>-0.06788127087265672</v>
      </c>
      <c r="H444">
        <v>0.017</v>
      </c>
      <c r="I444">
        <v>-0.04623374821757087</v>
      </c>
      <c r="J444" t="s">
        <v>367</v>
      </c>
      <c r="K444" t="s">
        <v>778</v>
      </c>
      <c r="L444">
        <v>6.58</v>
      </c>
      <c r="M444">
        <v>0.55</v>
      </c>
      <c r="N444">
        <v>0.08358662613981764</v>
      </c>
      <c r="O444">
        <v>6</v>
      </c>
      <c r="P444">
        <v>0.01755457717558762</v>
      </c>
      <c r="Q444">
        <v>0.349791766292313</v>
      </c>
      <c r="R444" t="s">
        <v>780</v>
      </c>
      <c r="S444" t="s">
        <v>786</v>
      </c>
      <c r="T444">
        <v>154126.604214</v>
      </c>
      <c r="U444" s="2">
        <v>44501</v>
      </c>
      <c r="V444" t="s">
        <v>796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28.61</v>
      </c>
      <c r="D445">
        <v>16</v>
      </c>
      <c r="E445">
        <v>1.788125</v>
      </c>
      <c r="F445">
        <v>0.01747640685075149</v>
      </c>
      <c r="G445">
        <v>-0.1097326934965934</v>
      </c>
      <c r="H445">
        <v>0.04</v>
      </c>
      <c r="I445">
        <v>-0.0479936107134129</v>
      </c>
      <c r="J445" t="s">
        <v>367</v>
      </c>
      <c r="K445" t="s">
        <v>515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0.474795482311217</v>
      </c>
      <c r="R445" t="s">
        <v>780</v>
      </c>
      <c r="S445" t="s">
        <v>793</v>
      </c>
      <c r="T445">
        <v>10393.27655</v>
      </c>
      <c r="U445" s="2">
        <v>44508</v>
      </c>
      <c r="V445" t="s">
        <v>804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121.84</v>
      </c>
      <c r="D446">
        <v>66</v>
      </c>
      <c r="E446">
        <v>1.846060606060606</v>
      </c>
      <c r="F446">
        <v>0.01329612606697308</v>
      </c>
      <c r="G446">
        <v>-0.1153921091242043</v>
      </c>
      <c r="H446">
        <v>0.05</v>
      </c>
      <c r="I446">
        <v>-0.05346009558850928</v>
      </c>
      <c r="J446" t="s">
        <v>367</v>
      </c>
      <c r="K446" t="s">
        <v>515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0.5569890714293011</v>
      </c>
      <c r="R446" t="s">
        <v>780</v>
      </c>
      <c r="S446" t="s">
        <v>787</v>
      </c>
      <c r="T446">
        <v>59353.048048</v>
      </c>
      <c r="U446" s="2">
        <v>44502</v>
      </c>
      <c r="V446" t="s">
        <v>801</v>
      </c>
    </row>
    <row r="447" spans="1:22">
      <c r="A447" s="1" t="s">
        <v>467</v>
      </c>
      <c r="B447">
        <f>HYPERLINK("https://www.suredividend.com/sure-analysis-DHC/","Diversified Healthcare Trust")</f>
        <v>0</v>
      </c>
      <c r="C447">
        <v>3.17</v>
      </c>
      <c r="D447">
        <v>1.98</v>
      </c>
      <c r="E447">
        <v>1.601010101010101</v>
      </c>
      <c r="F447">
        <v>0.01261829652996846</v>
      </c>
      <c r="G447">
        <v>-0.08983278958004537</v>
      </c>
      <c r="H447">
        <v>-0.01</v>
      </c>
      <c r="I447">
        <v>-0.08055798381452484</v>
      </c>
      <c r="J447" t="s">
        <v>367</v>
      </c>
      <c r="K447" t="s">
        <v>515</v>
      </c>
      <c r="L447">
        <v>0.33</v>
      </c>
      <c r="M447">
        <v>0.04</v>
      </c>
      <c r="N447">
        <v>0.1212121212121212</v>
      </c>
      <c r="O447">
        <v>0</v>
      </c>
      <c r="P447">
        <v>0</v>
      </c>
      <c r="Q447">
        <v>-0.376033383198173</v>
      </c>
      <c r="R447" t="s">
        <v>782</v>
      </c>
      <c r="S447" t="s">
        <v>794</v>
      </c>
      <c r="T447">
        <v>757.613814</v>
      </c>
      <c r="U447" s="2">
        <v>44453</v>
      </c>
      <c r="V447" t="s">
        <v>802</v>
      </c>
    </row>
    <row r="448" spans="1:22">
      <c r="A448" s="1" t="s">
        <v>468</v>
      </c>
      <c r="B448">
        <f>HYPERLINK("https://www.suredividend.com/sure-analysis-VMC/","Vulcan Materials Co")</f>
        <v>0</v>
      </c>
      <c r="C448">
        <v>201.89</v>
      </c>
      <c r="D448">
        <v>97</v>
      </c>
      <c r="E448">
        <v>2.081340206185567</v>
      </c>
      <c r="F448">
        <v>0.007330724652038239</v>
      </c>
      <c r="G448">
        <v>-0.1363627114361237</v>
      </c>
      <c r="H448">
        <v>0.05</v>
      </c>
      <c r="I448">
        <v>-0.08093213290539114</v>
      </c>
      <c r="J448" t="s">
        <v>367</v>
      </c>
      <c r="K448" t="s">
        <v>778</v>
      </c>
      <c r="L448">
        <v>4.83</v>
      </c>
      <c r="M448">
        <v>1.48</v>
      </c>
      <c r="N448">
        <v>0.3064182194616977</v>
      </c>
      <c r="O448">
        <v>8</v>
      </c>
      <c r="P448">
        <v>0.0501226304546607</v>
      </c>
      <c r="Q448">
        <v>0.404231404314869</v>
      </c>
      <c r="R448" t="s">
        <v>780</v>
      </c>
      <c r="S448" t="s">
        <v>788</v>
      </c>
      <c r="T448">
        <v>26791.818103</v>
      </c>
      <c r="U448" s="2">
        <v>44506</v>
      </c>
      <c r="V448" t="s">
        <v>796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326.74</v>
      </c>
      <c r="D449">
        <v>104</v>
      </c>
      <c r="E449">
        <v>3.141730769230769</v>
      </c>
      <c r="F449">
        <v>0.0004896859888596437</v>
      </c>
      <c r="G449">
        <v>-0.2046354927263494</v>
      </c>
      <c r="H449">
        <v>0.15</v>
      </c>
      <c r="I449">
        <v>-0.08463226561666226</v>
      </c>
      <c r="J449" t="s">
        <v>367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1.524219341481126</v>
      </c>
      <c r="R449" t="s">
        <v>780</v>
      </c>
      <c r="S449" t="s">
        <v>786</v>
      </c>
      <c r="T449">
        <v>816850</v>
      </c>
      <c r="U449" s="2">
        <v>44440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10.61</v>
      </c>
      <c r="D450">
        <v>2.11</v>
      </c>
      <c r="E450">
        <v>5.028436018957346</v>
      </c>
      <c r="F450">
        <v>0.01131008482563619</v>
      </c>
      <c r="G450">
        <v>-0.2760419288340078</v>
      </c>
      <c r="H450">
        <v>0.1</v>
      </c>
      <c r="I450">
        <v>-0.173760448006819</v>
      </c>
      <c r="J450" t="s">
        <v>367</v>
      </c>
      <c r="K450" t="s">
        <v>515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2.875940673631913</v>
      </c>
      <c r="R450" t="s">
        <v>780</v>
      </c>
      <c r="S450" t="s">
        <v>793</v>
      </c>
      <c r="T450">
        <v>2703.169647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12.06</v>
      </c>
      <c r="D451">
        <v>19</v>
      </c>
      <c r="E451">
        <v>0.6347368421052632</v>
      </c>
      <c r="F451">
        <v>0.09950248756218905</v>
      </c>
      <c r="G451">
        <v>0.09516929384958783</v>
      </c>
      <c r="H451">
        <v>0.04</v>
      </c>
      <c r="I451">
        <v>0.1927737950435939</v>
      </c>
      <c r="J451" t="s">
        <v>515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0.227181146590145</v>
      </c>
      <c r="R451" t="s">
        <v>781</v>
      </c>
      <c r="S451" t="s">
        <v>793</v>
      </c>
      <c r="T451">
        <v>4743.071816</v>
      </c>
      <c r="U451" s="2">
        <v>44508</v>
      </c>
      <c r="V451" t="s">
        <v>804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10.48</v>
      </c>
      <c r="D452">
        <v>18</v>
      </c>
      <c r="E452">
        <v>0.5822222222222222</v>
      </c>
      <c r="F452">
        <v>0.0868320610687023</v>
      </c>
      <c r="G452">
        <v>0.1142489781843314</v>
      </c>
      <c r="H452">
        <v>0.01</v>
      </c>
      <c r="I452">
        <v>0.1749614800438082</v>
      </c>
      <c r="J452" t="s">
        <v>515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0.148543497797163</v>
      </c>
      <c r="R452" t="s">
        <v>780</v>
      </c>
      <c r="S452" t="s">
        <v>793</v>
      </c>
      <c r="T452">
        <v>67259.59830699999</v>
      </c>
      <c r="U452" s="2">
        <v>44454</v>
      </c>
      <c r="V452" t="s">
        <v>802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47.72</v>
      </c>
      <c r="D453">
        <v>97</v>
      </c>
      <c r="E453">
        <v>0.4919587628865979</v>
      </c>
      <c r="F453">
        <v>0.09409052808046942</v>
      </c>
      <c r="G453">
        <v>0.1524292160456768</v>
      </c>
      <c r="H453">
        <v>-0.05</v>
      </c>
      <c r="I453">
        <v>0.1558036522396773</v>
      </c>
      <c r="J453" t="s">
        <v>515</v>
      </c>
      <c r="K453" t="s">
        <v>777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0.114325811867616</v>
      </c>
      <c r="R453" t="s">
        <v>780</v>
      </c>
      <c r="S453" t="s">
        <v>793</v>
      </c>
      <c r="T453">
        <v>12175.0129</v>
      </c>
      <c r="U453" s="2">
        <v>44522</v>
      </c>
      <c r="V453" t="s">
        <v>804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15.03</v>
      </c>
      <c r="D454">
        <v>21</v>
      </c>
      <c r="E454">
        <v>0.7157142857142856</v>
      </c>
      <c r="F454">
        <v>0.08649367930805058</v>
      </c>
      <c r="G454">
        <v>0.06918304423595623</v>
      </c>
      <c r="H454">
        <v>0.01</v>
      </c>
      <c r="I454">
        <v>0.1514070359222006</v>
      </c>
      <c r="J454" t="s">
        <v>515</v>
      </c>
      <c r="K454" t="s">
        <v>777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0.005539499036608</v>
      </c>
      <c r="R454" t="s">
        <v>781</v>
      </c>
      <c r="S454" t="s">
        <v>789</v>
      </c>
      <c r="T454">
        <v>939.942939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10.6</v>
      </c>
      <c r="D455">
        <v>11.02</v>
      </c>
      <c r="E455">
        <v>0.9618874773139746</v>
      </c>
      <c r="F455">
        <v>0.07547169811320756</v>
      </c>
      <c r="G455">
        <v>0.007801837480068352</v>
      </c>
      <c r="H455">
        <v>0.08</v>
      </c>
      <c r="I455">
        <v>0.1494891468262629</v>
      </c>
      <c r="J455" t="s">
        <v>515</v>
      </c>
      <c r="K455" t="s">
        <v>777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1.584042319787425</v>
      </c>
      <c r="R455" t="s">
        <v>781</v>
      </c>
      <c r="S455" t="s">
        <v>793</v>
      </c>
      <c r="T455">
        <v>1348.269321</v>
      </c>
      <c r="U455" s="2">
        <v>44497</v>
      </c>
      <c r="V455" t="s">
        <v>795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17.94</v>
      </c>
      <c r="D456">
        <v>25</v>
      </c>
      <c r="E456">
        <v>0.7176</v>
      </c>
      <c r="F456">
        <v>0.07803790412486064</v>
      </c>
      <c r="G456">
        <v>0.06862053132228074</v>
      </c>
      <c r="H456">
        <v>0.02</v>
      </c>
      <c r="I456">
        <v>0.1461174937185439</v>
      </c>
      <c r="J456" t="s">
        <v>515</v>
      </c>
      <c r="K456" t="s">
        <v>777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0.338426416389382</v>
      </c>
      <c r="R456" t="s">
        <v>781</v>
      </c>
      <c r="S456" t="s">
        <v>793</v>
      </c>
      <c r="T456">
        <v>1891.597206</v>
      </c>
      <c r="U456" s="2">
        <v>44504</v>
      </c>
      <c r="V456" t="s">
        <v>804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10.16</v>
      </c>
      <c r="D457">
        <v>12.1</v>
      </c>
      <c r="E457">
        <v>0.8396694214876034</v>
      </c>
      <c r="F457">
        <v>0.07086614173228346</v>
      </c>
      <c r="G457">
        <v>0.03556730993293966</v>
      </c>
      <c r="H457">
        <v>0.05</v>
      </c>
      <c r="I457">
        <v>0.1436089513092946</v>
      </c>
      <c r="J457" t="s">
        <v>515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0.26527104945267</v>
      </c>
      <c r="R457" t="s">
        <v>781</v>
      </c>
      <c r="S457" t="s">
        <v>793</v>
      </c>
      <c r="T457">
        <v>7224.998321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HYPERLINK("https://www.suredividend.com/sure-analysis-AVAL/","Grupo Aval Acciones y Valores S.A.")</f>
        <v>0</v>
      </c>
      <c r="C458">
        <v>5.16</v>
      </c>
      <c r="D458">
        <v>7.5</v>
      </c>
      <c r="E458">
        <v>0.6880000000000001</v>
      </c>
      <c r="F458">
        <v>0.04844961240310077</v>
      </c>
      <c r="G458">
        <v>0.07766136254941047</v>
      </c>
      <c r="H458">
        <v>0.03</v>
      </c>
      <c r="I458">
        <v>0.1429006800625843</v>
      </c>
      <c r="J458" t="s">
        <v>515</v>
      </c>
      <c r="K458" t="s">
        <v>777</v>
      </c>
      <c r="L458">
        <v>0.75</v>
      </c>
      <c r="M458">
        <v>0.25</v>
      </c>
      <c r="N458">
        <v>0.3333333333333333</v>
      </c>
      <c r="O458">
        <v>0</v>
      </c>
      <c r="P458">
        <v>0.03012896281839894</v>
      </c>
      <c r="Q458">
        <v>-0.035964502568893</v>
      </c>
      <c r="R458" t="s">
        <v>780</v>
      </c>
      <c r="S458" t="s">
        <v>790</v>
      </c>
      <c r="T458">
        <v>1844.653405</v>
      </c>
      <c r="U458" s="2">
        <v>44464</v>
      </c>
      <c r="V458" t="s">
        <v>797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10.44</v>
      </c>
      <c r="D459">
        <v>12</v>
      </c>
      <c r="E459">
        <v>0.87</v>
      </c>
      <c r="F459">
        <v>0.02203065134099617</v>
      </c>
      <c r="G459">
        <v>0.02824391826709793</v>
      </c>
      <c r="H459">
        <v>0.09</v>
      </c>
      <c r="I459">
        <v>0.1398267164219316</v>
      </c>
      <c r="J459" t="s">
        <v>515</v>
      </c>
      <c r="K459" t="s">
        <v>515</v>
      </c>
      <c r="L459">
        <v>0.75</v>
      </c>
      <c r="M459">
        <v>0.23</v>
      </c>
      <c r="N459">
        <v>0.3066666666666667</v>
      </c>
      <c r="O459">
        <v>2</v>
      </c>
      <c r="P459">
        <v>0.1170340997937203</v>
      </c>
      <c r="Q459">
        <v>-0.126571794292598</v>
      </c>
      <c r="R459" t="s">
        <v>780</v>
      </c>
      <c r="S459" t="s">
        <v>786</v>
      </c>
      <c r="T459">
        <v>32075.811651</v>
      </c>
      <c r="U459" s="2">
        <v>44494</v>
      </c>
      <c r="V459" t="s">
        <v>804</v>
      </c>
    </row>
    <row r="460" spans="1:22">
      <c r="A460" s="1" t="s">
        <v>480</v>
      </c>
      <c r="B460">
        <f>HYPERLINK("https://www.suredividend.com/sure-analysis-EOG/","EOG Resources, Inc.")</f>
        <v>0</v>
      </c>
      <c r="C460">
        <v>93.05</v>
      </c>
      <c r="D460">
        <v>135</v>
      </c>
      <c r="E460">
        <v>0.6892592592592592</v>
      </c>
      <c r="F460">
        <v>0.03224073078989791</v>
      </c>
      <c r="G460">
        <v>0.07726730245039359</v>
      </c>
      <c r="H460">
        <v>0.03</v>
      </c>
      <c r="I460">
        <v>0.1353237038248545</v>
      </c>
      <c r="J460" t="s">
        <v>515</v>
      </c>
      <c r="K460" t="s">
        <v>367</v>
      </c>
      <c r="L460">
        <v>7.5</v>
      </c>
      <c r="M460">
        <v>3</v>
      </c>
      <c r="N460">
        <v>0.4</v>
      </c>
      <c r="O460">
        <v>4</v>
      </c>
      <c r="P460">
        <v>0.08009875865888949</v>
      </c>
      <c r="Q460">
        <v>0.7471258324899681</v>
      </c>
      <c r="R460" t="s">
        <v>780</v>
      </c>
      <c r="S460" t="s">
        <v>793</v>
      </c>
      <c r="T460">
        <v>54442.622732</v>
      </c>
      <c r="U460" s="2">
        <v>44513</v>
      </c>
      <c r="V460" t="s">
        <v>806</v>
      </c>
    </row>
    <row r="461" spans="1:22">
      <c r="A461" s="1" t="s">
        <v>481</v>
      </c>
      <c r="B461">
        <f>HYPERLINK("https://www.suredividend.com/sure-analysis-AZN/","Astrazeneca plc")</f>
        <v>0</v>
      </c>
      <c r="C461">
        <v>56.34</v>
      </c>
      <c r="D461">
        <v>78</v>
      </c>
      <c r="E461">
        <v>0.7223076923076923</v>
      </c>
      <c r="F461">
        <v>0.02484913028044018</v>
      </c>
      <c r="G461">
        <v>0.06722392333735083</v>
      </c>
      <c r="H461">
        <v>0.04</v>
      </c>
      <c r="I461">
        <v>0.1258241310027772</v>
      </c>
      <c r="J461" t="s">
        <v>515</v>
      </c>
      <c r="K461" t="s">
        <v>515</v>
      </c>
      <c r="L461">
        <v>5.23</v>
      </c>
      <c r="M461">
        <v>1.4</v>
      </c>
      <c r="N461">
        <v>0.2676864244741873</v>
      </c>
      <c r="O461">
        <v>0</v>
      </c>
      <c r="P461">
        <v>0</v>
      </c>
      <c r="Q461">
        <v>0.080626970791999</v>
      </c>
      <c r="R461" t="s">
        <v>780</v>
      </c>
      <c r="S461" t="s">
        <v>785</v>
      </c>
      <c r="T461">
        <v>174554.405416</v>
      </c>
      <c r="U461" s="2">
        <v>44514</v>
      </c>
      <c r="V461" t="s">
        <v>796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39.08</v>
      </c>
      <c r="D462">
        <v>40</v>
      </c>
      <c r="E462">
        <v>0.977</v>
      </c>
      <c r="F462">
        <v>0.02635619242579324</v>
      </c>
      <c r="G462">
        <v>0.004664570785170907</v>
      </c>
      <c r="H462">
        <v>0.1</v>
      </c>
      <c r="I462">
        <v>0.1247821844405548</v>
      </c>
      <c r="J462" t="s">
        <v>515</v>
      </c>
      <c r="K462" t="s">
        <v>515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-0.216565195688302</v>
      </c>
      <c r="R462" t="s">
        <v>780</v>
      </c>
      <c r="S462" t="s">
        <v>785</v>
      </c>
      <c r="T462">
        <v>35851.951709</v>
      </c>
      <c r="U462" s="2">
        <v>44491</v>
      </c>
      <c r="V462" t="s">
        <v>804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44.07</v>
      </c>
      <c r="D463">
        <v>53</v>
      </c>
      <c r="E463">
        <v>0.8315094339622642</v>
      </c>
      <c r="F463">
        <v>0.02269117313365101</v>
      </c>
      <c r="G463">
        <v>0.03759187865310643</v>
      </c>
      <c r="H463">
        <v>0.07000000000000001</v>
      </c>
      <c r="I463">
        <v>0.1247723192088752</v>
      </c>
      <c r="J463" t="s">
        <v>515</v>
      </c>
      <c r="K463" t="s">
        <v>515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0.4722094165280311</v>
      </c>
      <c r="R463" t="s">
        <v>780</v>
      </c>
      <c r="S463" t="s">
        <v>791</v>
      </c>
      <c r="T463">
        <v>12125.536894</v>
      </c>
      <c r="U463" s="2">
        <v>44513</v>
      </c>
      <c r="V463" t="s">
        <v>797</v>
      </c>
    </row>
    <row r="464" spans="1:22">
      <c r="A464" s="1" t="s">
        <v>484</v>
      </c>
      <c r="B464">
        <f>HYPERLINK("https://www.suredividend.com/sure-analysis-PGR/","Progressive Corp.")</f>
        <v>0</v>
      </c>
      <c r="C464">
        <v>95.64</v>
      </c>
      <c r="D464">
        <v>96</v>
      </c>
      <c r="E464">
        <v>0.99625</v>
      </c>
      <c r="F464">
        <v>0.05123379339188625</v>
      </c>
      <c r="G464">
        <v>0.0007516921545909216</v>
      </c>
      <c r="H464">
        <v>0.08</v>
      </c>
      <c r="I464">
        <v>0.1246812193035185</v>
      </c>
      <c r="J464" t="s">
        <v>515</v>
      </c>
      <c r="K464" t="s">
        <v>367</v>
      </c>
      <c r="L464">
        <v>7.7</v>
      </c>
      <c r="M464">
        <v>4.9</v>
      </c>
      <c r="N464">
        <v>0.6363636363636364</v>
      </c>
      <c r="O464">
        <v>4</v>
      </c>
      <c r="P464">
        <v>0.0800087729241854</v>
      </c>
      <c r="Q464">
        <v>0.133004867750942</v>
      </c>
      <c r="R464" t="s">
        <v>780</v>
      </c>
      <c r="S464" t="s">
        <v>790</v>
      </c>
      <c r="T464">
        <v>55955.486434</v>
      </c>
      <c r="U464" s="2">
        <v>44494</v>
      </c>
      <c r="V464" t="s">
        <v>795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73.87</v>
      </c>
      <c r="D465">
        <v>84</v>
      </c>
      <c r="E465">
        <v>0.8794047619047619</v>
      </c>
      <c r="F465">
        <v>0.04981724651414647</v>
      </c>
      <c r="G465">
        <v>0.02603514593642009</v>
      </c>
      <c r="H465">
        <v>0.06</v>
      </c>
      <c r="I465">
        <v>0.1231969105840367</v>
      </c>
      <c r="J465" t="s">
        <v>515</v>
      </c>
      <c r="K465" t="s">
        <v>777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0.142474469477047</v>
      </c>
      <c r="R465" t="s">
        <v>780</v>
      </c>
      <c r="S465" t="s">
        <v>793</v>
      </c>
      <c r="T465">
        <v>32362.467167</v>
      </c>
      <c r="U465" s="2">
        <v>44501</v>
      </c>
      <c r="V465" t="s">
        <v>804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69.55</v>
      </c>
      <c r="D466">
        <v>75</v>
      </c>
      <c r="E466">
        <v>0.9273333333333333</v>
      </c>
      <c r="F466">
        <v>0.02990654205607477</v>
      </c>
      <c r="G466">
        <v>0.01520284420386808</v>
      </c>
      <c r="H466">
        <v>0.07000000000000001</v>
      </c>
      <c r="I466">
        <v>0.1226731058186881</v>
      </c>
      <c r="J466" t="s">
        <v>515</v>
      </c>
      <c r="K466" t="s">
        <v>515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0.115663238134348</v>
      </c>
      <c r="R466" t="s">
        <v>782</v>
      </c>
      <c r="S466" t="s">
        <v>794</v>
      </c>
      <c r="T466">
        <v>8099.910053</v>
      </c>
      <c r="U466" s="2">
        <v>44498</v>
      </c>
      <c r="V466" t="s">
        <v>797</v>
      </c>
    </row>
    <row r="467" spans="1:22">
      <c r="A467" s="1" t="s">
        <v>487</v>
      </c>
      <c r="B467">
        <f>HYPERLINK("https://www.suredividend.com/sure-analysis-BAYRY/","Bayer AG")</f>
        <v>0</v>
      </c>
      <c r="C467">
        <v>13.385</v>
      </c>
      <c r="D467">
        <v>17</v>
      </c>
      <c r="E467">
        <v>0.7873529411764706</v>
      </c>
      <c r="F467">
        <v>0.04482629809488233</v>
      </c>
      <c r="G467">
        <v>0.04897734604336668</v>
      </c>
      <c r="H467">
        <v>0.035</v>
      </c>
      <c r="I467">
        <v>0.1198245789597974</v>
      </c>
      <c r="J467" t="s">
        <v>515</v>
      </c>
      <c r="K467" t="s">
        <v>777</v>
      </c>
      <c r="L467">
        <v>1.86</v>
      </c>
      <c r="M467">
        <v>0.6</v>
      </c>
      <c r="N467">
        <v>0.3225806451612903</v>
      </c>
      <c r="O467">
        <v>0</v>
      </c>
      <c r="P467">
        <v>0.04000235313991807</v>
      </c>
      <c r="Q467">
        <v>-0.07434301521438401</v>
      </c>
      <c r="R467" t="s">
        <v>780</v>
      </c>
      <c r="S467" t="s">
        <v>785</v>
      </c>
      <c r="T467">
        <v>52598.98535</v>
      </c>
      <c r="U467" s="2">
        <v>44519</v>
      </c>
      <c r="V467" t="s">
        <v>800</v>
      </c>
    </row>
    <row r="468" spans="1:22">
      <c r="A468" s="1" t="s">
        <v>488</v>
      </c>
      <c r="B468">
        <f>HYPERLINK("https://www.suredividend.com/sure-analysis-NTR/","Nutrien Ltd")</f>
        <v>0</v>
      </c>
      <c r="C468">
        <v>69.69</v>
      </c>
      <c r="D468">
        <v>102</v>
      </c>
      <c r="E468">
        <v>0.6832352941176471</v>
      </c>
      <c r="F468">
        <v>0.0264026402640264</v>
      </c>
      <c r="G468">
        <v>0.07916025342400856</v>
      </c>
      <c r="H468">
        <v>0.02</v>
      </c>
      <c r="I468">
        <v>0.1191985199566492</v>
      </c>
      <c r="J468" t="s">
        <v>515</v>
      </c>
      <c r="K468" t="s">
        <v>515</v>
      </c>
      <c r="L468">
        <v>5.98</v>
      </c>
      <c r="M468">
        <v>1.84</v>
      </c>
      <c r="N468">
        <v>0.3076923076923077</v>
      </c>
      <c r="O468">
        <v>3</v>
      </c>
      <c r="P468">
        <v>0.01984845658885503</v>
      </c>
      <c r="Q468">
        <v>0.4977079845522671</v>
      </c>
      <c r="R468" t="s">
        <v>780</v>
      </c>
      <c r="S468" t="s">
        <v>788</v>
      </c>
      <c r="T468">
        <v>39778.073971</v>
      </c>
      <c r="U468" s="2">
        <v>44522</v>
      </c>
      <c r="V468" t="s">
        <v>797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9.039999999999999</v>
      </c>
      <c r="D469">
        <v>11.1</v>
      </c>
      <c r="E469">
        <v>0.8144144144144143</v>
      </c>
      <c r="F469">
        <v>0.0674778761061947</v>
      </c>
      <c r="G469">
        <v>0.04191168741922313</v>
      </c>
      <c r="H469">
        <v>0.02</v>
      </c>
      <c r="I469">
        <v>0.1181241339746346</v>
      </c>
      <c r="J469" t="s">
        <v>515</v>
      </c>
      <c r="K469" t="s">
        <v>777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0.446284297256219</v>
      </c>
      <c r="R469" t="s">
        <v>781</v>
      </c>
      <c r="S469" t="s">
        <v>793</v>
      </c>
      <c r="T469">
        <v>24452.023824</v>
      </c>
      <c r="U469" s="2">
        <v>44509</v>
      </c>
      <c r="V469" t="s">
        <v>804</v>
      </c>
    </row>
    <row r="470" spans="1:22">
      <c r="A470" s="1" t="s">
        <v>490</v>
      </c>
      <c r="B470">
        <f>HYPERLINK("https://www.suredividend.com/sure-analysis-PTR/","PetroChina Co. Ltd.")</f>
        <v>0</v>
      </c>
      <c r="C470">
        <v>46.12</v>
      </c>
      <c r="D470">
        <v>90</v>
      </c>
      <c r="E470">
        <v>0.5124444444444444</v>
      </c>
      <c r="F470">
        <v>0.07328707718993929</v>
      </c>
      <c r="G470">
        <v>0.1430642500337123</v>
      </c>
      <c r="H470">
        <v>-0.06</v>
      </c>
      <c r="I470">
        <v>0.116842930768239</v>
      </c>
      <c r="J470" t="s">
        <v>515</v>
      </c>
      <c r="K470" t="s">
        <v>777</v>
      </c>
      <c r="L470">
        <v>7.5</v>
      </c>
      <c r="M470">
        <v>3.38</v>
      </c>
      <c r="N470">
        <v>0.4506666666666667</v>
      </c>
      <c r="O470">
        <v>0</v>
      </c>
      <c r="P470">
        <v>-0.06004514349274603</v>
      </c>
      <c r="Q470">
        <v>0.4599464390855391</v>
      </c>
      <c r="R470" t="s">
        <v>780</v>
      </c>
      <c r="S470" t="s">
        <v>793</v>
      </c>
      <c r="T470">
        <v>9730.812679999999</v>
      </c>
      <c r="U470" s="2">
        <v>44522</v>
      </c>
      <c r="V470" t="s">
        <v>804</v>
      </c>
    </row>
    <row r="471" spans="1:22">
      <c r="A471" s="1" t="s">
        <v>491</v>
      </c>
      <c r="B471">
        <f>HYPERLINK("https://www.suredividend.com/sure-analysis-HAS/","Hasbro, Inc.")</f>
        <v>0</v>
      </c>
      <c r="C471">
        <v>99.42</v>
      </c>
      <c r="D471">
        <v>102</v>
      </c>
      <c r="E471">
        <v>0.9747058823529412</v>
      </c>
      <c r="F471">
        <v>0.02735868034600684</v>
      </c>
      <c r="G471">
        <v>0.005137052161645839</v>
      </c>
      <c r="H471">
        <v>0.09</v>
      </c>
      <c r="I471">
        <v>0.1167914881613572</v>
      </c>
      <c r="J471" t="s">
        <v>515</v>
      </c>
      <c r="K471" t="s">
        <v>515</v>
      </c>
      <c r="L471">
        <v>4.85</v>
      </c>
      <c r="M471">
        <v>2.72</v>
      </c>
      <c r="N471">
        <v>0.5608247422680414</v>
      </c>
      <c r="O471">
        <v>0</v>
      </c>
      <c r="P471">
        <v>0.04991010133745877</v>
      </c>
      <c r="Q471">
        <v>0.110148332432589</v>
      </c>
      <c r="R471" t="s">
        <v>780</v>
      </c>
      <c r="S471" t="s">
        <v>791</v>
      </c>
      <c r="T471">
        <v>13714.681395</v>
      </c>
      <c r="U471" s="2">
        <v>44512</v>
      </c>
      <c r="V471" t="s">
        <v>798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101.12</v>
      </c>
      <c r="D472">
        <v>98</v>
      </c>
      <c r="E472">
        <v>1.031836734693877</v>
      </c>
      <c r="F472">
        <v>0.02768987341772152</v>
      </c>
      <c r="G472">
        <v>-0.006248486847522661</v>
      </c>
      <c r="H472">
        <v>0.1</v>
      </c>
      <c r="I472">
        <v>0.1166508344781025</v>
      </c>
      <c r="J472" t="s">
        <v>515</v>
      </c>
      <c r="K472" t="s">
        <v>515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0.627866918015844</v>
      </c>
      <c r="R472" t="s">
        <v>780</v>
      </c>
      <c r="S472" t="s">
        <v>790</v>
      </c>
      <c r="T472">
        <v>181450.936788</v>
      </c>
      <c r="U472" s="2">
        <v>44483</v>
      </c>
      <c r="V472" t="s">
        <v>795</v>
      </c>
    </row>
    <row r="473" spans="1:22">
      <c r="A473" s="1" t="s">
        <v>493</v>
      </c>
      <c r="B473">
        <f>HYPERLINK("https://www.suredividend.com/sure-analysis-SLG/","SL Green Realty Corp.")</f>
        <v>0</v>
      </c>
      <c r="C473">
        <v>75.22</v>
      </c>
      <c r="D473">
        <v>86</v>
      </c>
      <c r="E473">
        <v>0.8746511627906977</v>
      </c>
      <c r="F473">
        <v>0.04839138526987503</v>
      </c>
      <c r="G473">
        <v>0.02714799899653109</v>
      </c>
      <c r="H473">
        <v>0.05</v>
      </c>
      <c r="I473">
        <v>0.1159479174791516</v>
      </c>
      <c r="J473" t="s">
        <v>515</v>
      </c>
      <c r="K473" t="s">
        <v>367</v>
      </c>
      <c r="L473">
        <v>6.6</v>
      </c>
      <c r="M473">
        <v>3.64</v>
      </c>
      <c r="N473">
        <v>0.5515151515151515</v>
      </c>
      <c r="O473">
        <v>10</v>
      </c>
      <c r="P473">
        <v>0.0386524708023015</v>
      </c>
      <c r="Q473">
        <v>0.262326224567197</v>
      </c>
      <c r="R473" t="s">
        <v>782</v>
      </c>
      <c r="S473" t="s">
        <v>794</v>
      </c>
      <c r="T473">
        <v>5019.180569</v>
      </c>
      <c r="U473" s="2">
        <v>44494</v>
      </c>
      <c r="V473" t="s">
        <v>804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13.8</v>
      </c>
      <c r="D474">
        <v>16.3</v>
      </c>
      <c r="E474">
        <v>0.8466257668711656</v>
      </c>
      <c r="F474">
        <v>0.04347826086956522</v>
      </c>
      <c r="G474">
        <v>0.03385993045119129</v>
      </c>
      <c r="H474">
        <v>0.042</v>
      </c>
      <c r="I474">
        <v>0.1158619809960248</v>
      </c>
      <c r="J474" t="s">
        <v>515</v>
      </c>
      <c r="K474" t="s">
        <v>367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0.379337917799456</v>
      </c>
      <c r="R474" t="s">
        <v>782</v>
      </c>
      <c r="S474" t="s">
        <v>794</v>
      </c>
      <c r="T474">
        <v>3257.779372</v>
      </c>
      <c r="U474" s="2">
        <v>44509</v>
      </c>
      <c r="V474" t="s">
        <v>803</v>
      </c>
    </row>
    <row r="475" spans="1:22">
      <c r="A475" s="1" t="s">
        <v>495</v>
      </c>
      <c r="B475">
        <f>HYPERLINK("https://www.suredividend.com/sure-analysis-MKTX/","MarketAxess Holdings Inc.")</f>
        <v>0</v>
      </c>
      <c r="C475">
        <v>361.42</v>
      </c>
      <c r="D475">
        <v>300</v>
      </c>
      <c r="E475">
        <v>1.204733333333333</v>
      </c>
      <c r="F475">
        <v>0.007304521055835316</v>
      </c>
      <c r="G475">
        <v>-0.03656634175823359</v>
      </c>
      <c r="H475">
        <v>0.15</v>
      </c>
      <c r="I475">
        <v>0.1153659143214709</v>
      </c>
      <c r="J475" t="s">
        <v>515</v>
      </c>
      <c r="K475" t="s">
        <v>778</v>
      </c>
      <c r="L475">
        <v>7.15</v>
      </c>
      <c r="M475">
        <v>2.64</v>
      </c>
      <c r="N475">
        <v>0.3692307692307693</v>
      </c>
      <c r="O475">
        <v>11</v>
      </c>
      <c r="P475">
        <v>0.1500007374307972</v>
      </c>
      <c r="Q475">
        <v>-0.298944867606062</v>
      </c>
      <c r="R475" t="s">
        <v>780</v>
      </c>
      <c r="S475" t="s">
        <v>790</v>
      </c>
      <c r="T475">
        <v>13743.531486</v>
      </c>
      <c r="U475" s="2">
        <v>44494</v>
      </c>
      <c r="V475" t="s">
        <v>801</v>
      </c>
    </row>
    <row r="476" spans="1:22">
      <c r="A476" s="1" t="s">
        <v>496</v>
      </c>
      <c r="B476">
        <f>HYPERLINK("https://www.suredividend.com/sure-analysis-TGP/","Teekay LNG Partners LP")</f>
        <v>0</v>
      </c>
      <c r="C476">
        <v>16.89</v>
      </c>
      <c r="D476">
        <v>18.5</v>
      </c>
      <c r="E476">
        <v>0.912972972972973</v>
      </c>
      <c r="F476">
        <v>0.06808762581409117</v>
      </c>
      <c r="G476">
        <v>0.01837660964912047</v>
      </c>
      <c r="H476">
        <v>0.04</v>
      </c>
      <c r="I476">
        <v>0.1140866794229807</v>
      </c>
      <c r="J476" t="s">
        <v>515</v>
      </c>
      <c r="K476" t="s">
        <v>777</v>
      </c>
      <c r="L476">
        <v>3.7</v>
      </c>
      <c r="M476">
        <v>1.15</v>
      </c>
      <c r="N476">
        <v>0.3108108108108107</v>
      </c>
      <c r="O476">
        <v>3</v>
      </c>
      <c r="P476">
        <v>0.04012620718096094</v>
      </c>
      <c r="Q476">
        <v>0.457819054359647</v>
      </c>
      <c r="R476" t="s">
        <v>781</v>
      </c>
      <c r="S476" t="s">
        <v>793</v>
      </c>
      <c r="T476">
        <v>1468.606342</v>
      </c>
      <c r="U476" s="2">
        <v>44515</v>
      </c>
      <c r="V476" t="s">
        <v>795</v>
      </c>
    </row>
    <row r="477" spans="1:22">
      <c r="A477" s="1" t="s">
        <v>497</v>
      </c>
      <c r="B477">
        <f>HYPERLINK("https://www.suredividend.com/sure-analysis-HSBC/","HSBC Holdings plc")</f>
        <v>0</v>
      </c>
      <c r="C477">
        <v>29.61</v>
      </c>
      <c r="D477">
        <v>39</v>
      </c>
      <c r="E477">
        <v>0.7592307692307693</v>
      </c>
      <c r="F477">
        <v>0.03714961161769673</v>
      </c>
      <c r="G477">
        <v>0.05663560279508806</v>
      </c>
      <c r="H477">
        <v>0.03</v>
      </c>
      <c r="I477">
        <v>0.1136120802137794</v>
      </c>
      <c r="J477" t="s">
        <v>515</v>
      </c>
      <c r="K477" t="s">
        <v>367</v>
      </c>
      <c r="L477">
        <v>3.23</v>
      </c>
      <c r="M477">
        <v>1.1</v>
      </c>
      <c r="N477">
        <v>0.3405572755417957</v>
      </c>
      <c r="O477">
        <v>0</v>
      </c>
      <c r="P477">
        <v>0</v>
      </c>
      <c r="Q477">
        <v>0.152637909758689</v>
      </c>
      <c r="R477" t="s">
        <v>780</v>
      </c>
      <c r="S477" t="s">
        <v>790</v>
      </c>
      <c r="T477">
        <v>120719.759562</v>
      </c>
      <c r="U477" s="2">
        <v>44495</v>
      </c>
      <c r="V477" t="s">
        <v>797</v>
      </c>
    </row>
    <row r="478" spans="1:22">
      <c r="A478" s="1" t="s">
        <v>498</v>
      </c>
      <c r="B478">
        <f>HYPERLINK("https://www.suredividend.com/sure-analysis-MGP/","MGM Growth Properties LLC")</f>
        <v>0</v>
      </c>
      <c r="C478">
        <v>38.28</v>
      </c>
      <c r="D478">
        <v>38</v>
      </c>
      <c r="E478">
        <v>1.007368421052632</v>
      </c>
      <c r="F478">
        <v>0.05329153605015674</v>
      </c>
      <c r="G478">
        <v>-0.001467203973952502</v>
      </c>
      <c r="H478">
        <v>0.07000000000000001</v>
      </c>
      <c r="I478">
        <v>0.110957148907034</v>
      </c>
      <c r="J478" t="s">
        <v>515</v>
      </c>
      <c r="K478" t="s">
        <v>777</v>
      </c>
      <c r="L478">
        <v>2.54</v>
      </c>
      <c r="M478">
        <v>2.04</v>
      </c>
      <c r="N478">
        <v>0.8031496062992126</v>
      </c>
      <c r="O478">
        <v>46</v>
      </c>
      <c r="P478">
        <v>0.0398346919425614</v>
      </c>
      <c r="Q478">
        <v>0.316604069503487</v>
      </c>
      <c r="R478" t="s">
        <v>782</v>
      </c>
      <c r="S478" t="s">
        <v>794</v>
      </c>
      <c r="T478">
        <v>5996.976726</v>
      </c>
      <c r="U478" s="2">
        <v>44507</v>
      </c>
      <c r="V478" t="s">
        <v>797</v>
      </c>
    </row>
    <row r="479" spans="1:22">
      <c r="A479" s="1" t="s">
        <v>499</v>
      </c>
      <c r="B479">
        <f>HYPERLINK("https://www.suredividend.com/sure-analysis-OPI/","Office Properties Income Trust")</f>
        <v>0</v>
      </c>
      <c r="C479">
        <v>25.72</v>
      </c>
      <c r="D479">
        <v>28</v>
      </c>
      <c r="E479">
        <v>0.9185714285714285</v>
      </c>
      <c r="F479">
        <v>0.08553654743390358</v>
      </c>
      <c r="G479">
        <v>0.01713222377604073</v>
      </c>
      <c r="H479">
        <v>0.03</v>
      </c>
      <c r="I479">
        <v>0.110613888584834</v>
      </c>
      <c r="J479" t="s">
        <v>515</v>
      </c>
      <c r="K479" t="s">
        <v>777</v>
      </c>
      <c r="L479">
        <v>4.7</v>
      </c>
      <c r="M479">
        <v>2.2</v>
      </c>
      <c r="N479">
        <v>0.4680851063829787</v>
      </c>
      <c r="O479">
        <v>0</v>
      </c>
      <c r="P479">
        <v>0</v>
      </c>
      <c r="Q479">
        <v>0.132625515780573</v>
      </c>
      <c r="R479" t="s">
        <v>782</v>
      </c>
      <c r="S479" t="s">
        <v>794</v>
      </c>
      <c r="T479">
        <v>1245.508104</v>
      </c>
      <c r="U479" s="2">
        <v>44510</v>
      </c>
      <c r="V479" t="s">
        <v>804</v>
      </c>
    </row>
    <row r="480" spans="1:22">
      <c r="A480" s="1" t="s">
        <v>500</v>
      </c>
      <c r="B480">
        <f>HYPERLINK("https://www.suredividend.com/sure-analysis-GORO/","Gold Resource Corporation")</f>
        <v>0</v>
      </c>
      <c r="C480">
        <v>2.06</v>
      </c>
      <c r="D480">
        <v>1.35</v>
      </c>
      <c r="E480">
        <v>1.525925925925926</v>
      </c>
      <c r="F480">
        <v>0.01941747572815534</v>
      </c>
      <c r="G480">
        <v>-0.08104697940599637</v>
      </c>
      <c r="H480">
        <v>0.19</v>
      </c>
      <c r="I480">
        <v>0.1104551823481703</v>
      </c>
      <c r="J480" t="s">
        <v>515</v>
      </c>
      <c r="K480" t="s">
        <v>778</v>
      </c>
      <c r="L480">
        <v>0.09</v>
      </c>
      <c r="M480">
        <v>0.04</v>
      </c>
      <c r="N480">
        <v>0.4444444444444445</v>
      </c>
      <c r="O480">
        <v>0</v>
      </c>
      <c r="P480">
        <v>0.08447177119769855</v>
      </c>
      <c r="Q480">
        <v>-0.303159461470807</v>
      </c>
      <c r="R480" t="s">
        <v>780</v>
      </c>
      <c r="S480" t="s">
        <v>788</v>
      </c>
      <c r="T480">
        <v>153.638259</v>
      </c>
      <c r="U480" s="2">
        <v>44512</v>
      </c>
      <c r="V480" t="s">
        <v>804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19.57</v>
      </c>
      <c r="D481">
        <v>19.95</v>
      </c>
      <c r="E481">
        <v>0.980952380952381</v>
      </c>
      <c r="F481">
        <v>0.04598875830352581</v>
      </c>
      <c r="G481">
        <v>0.003853678783840131</v>
      </c>
      <c r="H481">
        <v>0.065</v>
      </c>
      <c r="I481">
        <v>0.1092468989461404</v>
      </c>
      <c r="J481" t="s">
        <v>515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0.163945638921104</v>
      </c>
      <c r="R481" t="s">
        <v>780</v>
      </c>
      <c r="S481" t="s">
        <v>790</v>
      </c>
      <c r="T481">
        <v>38014.213577</v>
      </c>
      <c r="U481" s="2">
        <v>44511</v>
      </c>
      <c r="V481" t="s">
        <v>795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21.54</v>
      </c>
      <c r="D482">
        <v>25</v>
      </c>
      <c r="E482">
        <v>0.8615999999999999</v>
      </c>
      <c r="F482">
        <v>0.02414113277623027</v>
      </c>
      <c r="G482">
        <v>0.03024107744642324</v>
      </c>
      <c r="H482">
        <v>0.06</v>
      </c>
      <c r="I482">
        <v>0.1085250220624832</v>
      </c>
      <c r="J482" t="s">
        <v>515</v>
      </c>
      <c r="K482" t="s">
        <v>515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0.350089316493779</v>
      </c>
      <c r="R482" t="s">
        <v>780</v>
      </c>
      <c r="S482" t="s">
        <v>793</v>
      </c>
      <c r="T482">
        <v>12714.381659</v>
      </c>
      <c r="U482" s="2">
        <v>44522</v>
      </c>
      <c r="V482" t="s">
        <v>798</v>
      </c>
    </row>
    <row r="483" spans="1:22">
      <c r="A483" s="1" t="s">
        <v>503</v>
      </c>
      <c r="B483">
        <f>HYPERLINK("https://www.suredividend.com/sure-analysis-WEN/","Wendy`s Co")</f>
        <v>0</v>
      </c>
      <c r="C483">
        <v>21.9</v>
      </c>
      <c r="D483">
        <v>24</v>
      </c>
      <c r="E483">
        <v>0.9125</v>
      </c>
      <c r="F483">
        <v>0.02191780821917808</v>
      </c>
      <c r="G483">
        <v>0.01848215809402909</v>
      </c>
      <c r="H483">
        <v>0.07000000000000001</v>
      </c>
      <c r="I483">
        <v>0.1082085624821425</v>
      </c>
      <c r="J483" t="s">
        <v>515</v>
      </c>
      <c r="K483" t="s">
        <v>778</v>
      </c>
      <c r="L483">
        <v>0.8</v>
      </c>
      <c r="M483">
        <v>0.48</v>
      </c>
      <c r="N483">
        <v>0.6</v>
      </c>
      <c r="O483">
        <v>1</v>
      </c>
      <c r="P483">
        <v>0.06897294358221773</v>
      </c>
      <c r="Q483">
        <v>-0.002614152859628</v>
      </c>
      <c r="R483" t="s">
        <v>780</v>
      </c>
      <c r="S483" t="s">
        <v>791</v>
      </c>
      <c r="T483">
        <v>4831.894061</v>
      </c>
      <c r="U483" s="2">
        <v>44513</v>
      </c>
      <c r="V483" t="s">
        <v>801</v>
      </c>
    </row>
    <row r="484" spans="1:22">
      <c r="A484" s="1" t="s">
        <v>504</v>
      </c>
      <c r="B484">
        <f>HYPERLINK("https://www.suredividend.com/sure-analysis-LUMN/","Lumen Technologies Inc")</f>
        <v>0</v>
      </c>
      <c r="C484">
        <v>13.86</v>
      </c>
      <c r="D484">
        <v>17</v>
      </c>
      <c r="E484">
        <v>0.8152941176470588</v>
      </c>
      <c r="F484">
        <v>0.07215007215007216</v>
      </c>
      <c r="G484">
        <v>0.04168674554626151</v>
      </c>
      <c r="H484">
        <v>0.013</v>
      </c>
      <c r="I484">
        <v>0.1078932028535329</v>
      </c>
      <c r="J484" t="s">
        <v>515</v>
      </c>
      <c r="K484" t="s">
        <v>777</v>
      </c>
      <c r="L484">
        <v>1.92</v>
      </c>
      <c r="M484">
        <v>1</v>
      </c>
      <c r="N484">
        <v>0.5208333333333334</v>
      </c>
      <c r="O484">
        <v>0</v>
      </c>
      <c r="P484">
        <v>0</v>
      </c>
      <c r="Q484">
        <v>0.34658544405258</v>
      </c>
      <c r="R484" t="s">
        <v>780</v>
      </c>
      <c r="S484" t="s">
        <v>784</v>
      </c>
      <c r="T484">
        <v>14191.173141</v>
      </c>
      <c r="U484" s="2">
        <v>44508</v>
      </c>
      <c r="V484" t="s">
        <v>801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12.76</v>
      </c>
      <c r="D485">
        <v>14</v>
      </c>
      <c r="E485">
        <v>0.9114285714285714</v>
      </c>
      <c r="F485">
        <v>0.05329153605015675</v>
      </c>
      <c r="G485">
        <v>0.01872150062980493</v>
      </c>
      <c r="H485">
        <v>0.05</v>
      </c>
      <c r="I485">
        <v>0.1075796254798493</v>
      </c>
      <c r="J485" t="s">
        <v>515</v>
      </c>
      <c r="K485" t="s">
        <v>367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0.385721422210638</v>
      </c>
      <c r="R485" t="s">
        <v>780</v>
      </c>
      <c r="S485" t="s">
        <v>790</v>
      </c>
      <c r="T485">
        <v>5933.665395</v>
      </c>
      <c r="U485" s="2">
        <v>44512</v>
      </c>
      <c r="V485" t="s">
        <v>798</v>
      </c>
    </row>
    <row r="486" spans="1:22">
      <c r="A486" s="1" t="s">
        <v>506</v>
      </c>
      <c r="B486">
        <f>HYPERLINK("https://www.suredividend.com/sure-analysis-TFC/","Truist Financial Corporation")</f>
        <v>0</v>
      </c>
      <c r="C486">
        <v>62.89</v>
      </c>
      <c r="D486">
        <v>70</v>
      </c>
      <c r="E486">
        <v>0.8984285714285715</v>
      </c>
      <c r="F486">
        <v>0.03052949594530132</v>
      </c>
      <c r="G486">
        <v>0.02165270464366631</v>
      </c>
      <c r="H486">
        <v>0.06</v>
      </c>
      <c r="I486">
        <v>0.1075610581438342</v>
      </c>
      <c r="J486" t="s">
        <v>515</v>
      </c>
      <c r="K486" t="s">
        <v>367</v>
      </c>
      <c r="L486">
        <v>5.38</v>
      </c>
      <c r="M486">
        <v>1.92</v>
      </c>
      <c r="N486">
        <v>0.3568773234200743</v>
      </c>
      <c r="O486">
        <v>10</v>
      </c>
      <c r="P486">
        <v>0.04996052445273014</v>
      </c>
      <c r="Q486">
        <v>0.325515273249209</v>
      </c>
      <c r="R486" t="s">
        <v>780</v>
      </c>
      <c r="S486" t="s">
        <v>790</v>
      </c>
      <c r="T486">
        <v>83951.32807</v>
      </c>
      <c r="U486" s="2">
        <v>44493</v>
      </c>
      <c r="V486" t="s">
        <v>801</v>
      </c>
    </row>
    <row r="487" spans="1:22">
      <c r="A487" s="1" t="s">
        <v>507</v>
      </c>
      <c r="B487">
        <f>HYPERLINK("https://www.suredividend.com/sure-analysis-VALE/","Vale S.A.")</f>
        <v>0</v>
      </c>
      <c r="C487">
        <v>12.71</v>
      </c>
      <c r="D487">
        <v>21</v>
      </c>
      <c r="E487">
        <v>0.6052380952380952</v>
      </c>
      <c r="F487">
        <v>0.1785995279307632</v>
      </c>
      <c r="G487">
        <v>0.1056425625199557</v>
      </c>
      <c r="H487">
        <v>-0.07000000000000001</v>
      </c>
      <c r="I487">
        <v>0.1068018821944168</v>
      </c>
      <c r="J487" t="s">
        <v>515</v>
      </c>
      <c r="K487" t="s">
        <v>777</v>
      </c>
      <c r="L487">
        <v>4.2</v>
      </c>
      <c r="M487">
        <v>2.27</v>
      </c>
      <c r="N487">
        <v>0.5404761904761904</v>
      </c>
      <c r="O487">
        <v>1</v>
      </c>
      <c r="P487">
        <v>-0.1803080202371039</v>
      </c>
      <c r="Q487">
        <v>0.058029285185092</v>
      </c>
      <c r="R487" t="s">
        <v>780</v>
      </c>
      <c r="S487" t="s">
        <v>788</v>
      </c>
      <c r="T487">
        <v>65233.546239</v>
      </c>
      <c r="U487" s="2">
        <v>44503</v>
      </c>
      <c r="V487" t="s">
        <v>800</v>
      </c>
    </row>
    <row r="488" spans="1:22">
      <c r="A488" s="1" t="s">
        <v>508</v>
      </c>
      <c r="B488">
        <f>HYPERLINK("https://www.suredividend.com/sure-analysis-TAP/","Molson Coors Beverage Company")</f>
        <v>0</v>
      </c>
      <c r="C488">
        <v>47.26</v>
      </c>
      <c r="D488">
        <v>58</v>
      </c>
      <c r="E488">
        <v>0.8148275862068965</v>
      </c>
      <c r="F488">
        <v>0.02877697841726619</v>
      </c>
      <c r="G488">
        <v>0.04180600227358267</v>
      </c>
      <c r="H488">
        <v>0.04</v>
      </c>
      <c r="I488">
        <v>0.106006189811674</v>
      </c>
      <c r="J488" t="s">
        <v>515</v>
      </c>
      <c r="K488" t="s">
        <v>515</v>
      </c>
      <c r="L488">
        <v>4.15</v>
      </c>
      <c r="M488">
        <v>1.36</v>
      </c>
      <c r="N488">
        <v>0.327710843373494</v>
      </c>
      <c r="O488">
        <v>0</v>
      </c>
      <c r="P488">
        <v>0.03941506521508265</v>
      </c>
      <c r="Q488">
        <v>0.01197193201844</v>
      </c>
      <c r="R488" t="s">
        <v>780</v>
      </c>
      <c r="S488" t="s">
        <v>792</v>
      </c>
      <c r="T488">
        <v>10256.318318</v>
      </c>
      <c r="U488" s="2">
        <v>44500</v>
      </c>
      <c r="V488" t="s">
        <v>799</v>
      </c>
    </row>
    <row r="489" spans="1:22">
      <c r="A489" s="1" t="s">
        <v>509</v>
      </c>
      <c r="B489">
        <f>HYPERLINK("https://www.suredividend.com/sure-analysis-DRI/","Darden Restaurants, Inc.")</f>
        <v>0</v>
      </c>
      <c r="C489">
        <v>148.38</v>
      </c>
      <c r="D489">
        <v>148</v>
      </c>
      <c r="E489">
        <v>1.002567567567568</v>
      </c>
      <c r="F489">
        <v>0.02965359212831918</v>
      </c>
      <c r="G489">
        <v>-0.0005127239116016202</v>
      </c>
      <c r="H489">
        <v>0.08</v>
      </c>
      <c r="I489">
        <v>0.1058160531240973</v>
      </c>
      <c r="J489" t="s">
        <v>515</v>
      </c>
      <c r="K489" t="s">
        <v>515</v>
      </c>
      <c r="L489">
        <v>7.42</v>
      </c>
      <c r="M489">
        <v>4.4</v>
      </c>
      <c r="N489">
        <v>0.5929919137466307</v>
      </c>
      <c r="O489">
        <v>1</v>
      </c>
      <c r="P489">
        <v>0.08016554685867416</v>
      </c>
      <c r="Q489">
        <v>0.329048276751597</v>
      </c>
      <c r="R489" t="s">
        <v>780</v>
      </c>
      <c r="S489" t="s">
        <v>791</v>
      </c>
      <c r="T489">
        <v>19257.498745</v>
      </c>
      <c r="U489" s="2">
        <v>44464</v>
      </c>
      <c r="V489" t="s">
        <v>797</v>
      </c>
    </row>
    <row r="490" spans="1:22">
      <c r="A490" s="1" t="s">
        <v>510</v>
      </c>
      <c r="B490">
        <f>HYPERLINK("https://www.suredividend.com/sure-analysis-IMBBY/","Imperial Brands Plc")</f>
        <v>0</v>
      </c>
      <c r="C490">
        <v>21.33</v>
      </c>
      <c r="D490">
        <v>22</v>
      </c>
      <c r="E490">
        <v>0.9695454545454545</v>
      </c>
      <c r="F490">
        <v>0.08860759493670886</v>
      </c>
      <c r="G490">
        <v>0.006204754406782254</v>
      </c>
      <c r="H490">
        <v>0.03</v>
      </c>
      <c r="I490">
        <v>0.1038276762690529</v>
      </c>
      <c r="J490" t="s">
        <v>515</v>
      </c>
      <c r="K490" t="s">
        <v>777</v>
      </c>
      <c r="L490">
        <v>3.32</v>
      </c>
      <c r="M490">
        <v>1.89</v>
      </c>
      <c r="N490">
        <v>0.5692771084337349</v>
      </c>
      <c r="O490">
        <v>0</v>
      </c>
      <c r="P490">
        <v>0</v>
      </c>
      <c r="Q490">
        <v>0.150864092284948</v>
      </c>
      <c r="R490" t="s">
        <v>780</v>
      </c>
      <c r="S490" t="s">
        <v>792</v>
      </c>
      <c r="T490">
        <v>20186.884794</v>
      </c>
      <c r="U490" s="2">
        <v>44516</v>
      </c>
      <c r="V490" t="s">
        <v>796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27.65</v>
      </c>
      <c r="D491">
        <v>42</v>
      </c>
      <c r="E491">
        <v>0.6583333333333333</v>
      </c>
      <c r="F491">
        <v>0.04737793851717903</v>
      </c>
      <c r="G491">
        <v>0.0872034727487101</v>
      </c>
      <c r="H491">
        <v>-0.02</v>
      </c>
      <c r="I491">
        <v>0.1029561642451557</v>
      </c>
      <c r="J491" t="s">
        <v>515</v>
      </c>
      <c r="K491" t="s">
        <v>777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0.329205505266345</v>
      </c>
      <c r="R491" t="s">
        <v>780</v>
      </c>
      <c r="S491" t="s">
        <v>793</v>
      </c>
      <c r="T491">
        <v>91425.76734999999</v>
      </c>
      <c r="U491" s="2">
        <v>44512</v>
      </c>
      <c r="V491" t="s">
        <v>804</v>
      </c>
    </row>
    <row r="492" spans="1:22">
      <c r="A492" s="1" t="s">
        <v>512</v>
      </c>
      <c r="B492">
        <f>HYPERLINK("https://www.suredividend.com/sure-analysis-SAFE/","Safehold Inc")</f>
        <v>0</v>
      </c>
      <c r="C492">
        <v>72.81999999999999</v>
      </c>
      <c r="D492">
        <v>65</v>
      </c>
      <c r="E492">
        <v>1.120307692307692</v>
      </c>
      <c r="F492">
        <v>0.009338093930238947</v>
      </c>
      <c r="G492">
        <v>-0.02246450383566601</v>
      </c>
      <c r="H492">
        <v>0.12</v>
      </c>
      <c r="I492">
        <v>0.1024469587287817</v>
      </c>
      <c r="J492" t="s">
        <v>515</v>
      </c>
      <c r="K492" t="s">
        <v>778</v>
      </c>
      <c r="L492">
        <v>1.48</v>
      </c>
      <c r="M492">
        <v>0.68</v>
      </c>
      <c r="N492">
        <v>0.4594594594594595</v>
      </c>
      <c r="O492">
        <v>3</v>
      </c>
      <c r="P492">
        <v>0.0576615571948691</v>
      </c>
      <c r="Q492">
        <v>0.120199119162296</v>
      </c>
      <c r="R492" t="s">
        <v>782</v>
      </c>
      <c r="S492" t="s">
        <v>794</v>
      </c>
      <c r="T492">
        <v>4118.689806</v>
      </c>
      <c r="U492" s="2">
        <v>44492</v>
      </c>
      <c r="V492" t="s">
        <v>803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58.63</v>
      </c>
      <c r="D493">
        <v>117</v>
      </c>
      <c r="E493">
        <v>0.5011111111111112</v>
      </c>
      <c r="F493">
        <v>0.04775712092785263</v>
      </c>
      <c r="G493">
        <v>0.1481885019976135</v>
      </c>
      <c r="H493">
        <v>-0.07000000000000001</v>
      </c>
      <c r="I493">
        <v>0.1022538758000764</v>
      </c>
      <c r="J493" t="s">
        <v>515</v>
      </c>
      <c r="K493" t="s">
        <v>777</v>
      </c>
      <c r="L493">
        <v>9</v>
      </c>
      <c r="M493">
        <v>2.8</v>
      </c>
      <c r="N493">
        <v>0.3111111111111111</v>
      </c>
      <c r="O493">
        <v>0</v>
      </c>
      <c r="P493">
        <v>0</v>
      </c>
      <c r="Q493">
        <v>0.04853896655513</v>
      </c>
      <c r="R493" t="s">
        <v>780</v>
      </c>
      <c r="S493" t="s">
        <v>788</v>
      </c>
      <c r="T493">
        <v>43363.592976</v>
      </c>
      <c r="U493" s="2">
        <v>44498</v>
      </c>
      <c r="V493" t="s">
        <v>798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35.46</v>
      </c>
      <c r="D494">
        <v>41</v>
      </c>
      <c r="E494">
        <v>0.8648780487804878</v>
      </c>
      <c r="F494">
        <v>0.03722504230118443</v>
      </c>
      <c r="G494">
        <v>0.02945892966409858</v>
      </c>
      <c r="H494">
        <v>0.04</v>
      </c>
      <c r="I494">
        <v>0.1016109003641132</v>
      </c>
      <c r="J494" t="s">
        <v>515</v>
      </c>
      <c r="K494" t="s">
        <v>367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0.198017493893354</v>
      </c>
      <c r="R494" t="s">
        <v>780</v>
      </c>
      <c r="S494" t="s">
        <v>790</v>
      </c>
      <c r="T494">
        <v>2242.153034</v>
      </c>
      <c r="U494" s="2">
        <v>44498</v>
      </c>
      <c r="V494" t="s">
        <v>801</v>
      </c>
    </row>
    <row r="495" spans="1:22">
      <c r="A495" s="1" t="s">
        <v>515</v>
      </c>
      <c r="B495">
        <f>HYPERLINK("https://www.suredividend.com/sure-analysis-D/","Dominion Energy Inc")</f>
        <v>0</v>
      </c>
      <c r="C495">
        <v>74.90000000000001</v>
      </c>
      <c r="D495">
        <v>77</v>
      </c>
      <c r="E495">
        <v>0.9727272727272728</v>
      </c>
      <c r="F495">
        <v>0.03364485981308411</v>
      </c>
      <c r="G495">
        <v>0.005545626638897794</v>
      </c>
      <c r="H495">
        <v>0.065</v>
      </c>
      <c r="I495">
        <v>0.09985551006677884</v>
      </c>
      <c r="J495" t="s">
        <v>515</v>
      </c>
      <c r="K495" t="s">
        <v>515</v>
      </c>
      <c r="L495">
        <v>3.85</v>
      </c>
      <c r="M495">
        <v>2.52</v>
      </c>
      <c r="N495">
        <v>0.6545454545454545</v>
      </c>
      <c r="O495">
        <v>16</v>
      </c>
      <c r="P495">
        <v>0.05985358218414349</v>
      </c>
      <c r="Q495">
        <v>-0.024522387146096</v>
      </c>
      <c r="R495" t="s">
        <v>780</v>
      </c>
      <c r="S495" t="s">
        <v>789</v>
      </c>
      <c r="T495">
        <v>60555.700568</v>
      </c>
      <c r="U495" s="2">
        <v>44517</v>
      </c>
      <c r="V495" t="s">
        <v>805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44.38</v>
      </c>
      <c r="D496">
        <v>56</v>
      </c>
      <c r="E496">
        <v>0.7925000000000001</v>
      </c>
      <c r="F496">
        <v>0.04326273095989184</v>
      </c>
      <c r="G496">
        <v>0.04761123137427492</v>
      </c>
      <c r="H496">
        <v>0.01</v>
      </c>
      <c r="I496">
        <v>0.09850891693782327</v>
      </c>
      <c r="J496" t="s">
        <v>515</v>
      </c>
      <c r="K496" t="s">
        <v>367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0.303978633319915</v>
      </c>
      <c r="R496" t="s">
        <v>780</v>
      </c>
      <c r="S496" t="s">
        <v>793</v>
      </c>
      <c r="T496">
        <v>172959.637017</v>
      </c>
      <c r="U496" s="2">
        <v>44502</v>
      </c>
      <c r="V496" t="s">
        <v>804</v>
      </c>
    </row>
    <row r="497" spans="1:22">
      <c r="A497" s="1" t="s">
        <v>517</v>
      </c>
      <c r="B497">
        <f>HYPERLINK("https://www.suredividend.com/sure-analysis-DD/","DuPont de Nemours Inc")</f>
        <v>0</v>
      </c>
      <c r="C497">
        <v>78.7</v>
      </c>
      <c r="D497">
        <v>77</v>
      </c>
      <c r="E497">
        <v>1.022077922077922</v>
      </c>
      <c r="F497">
        <v>0.01524777636594663</v>
      </c>
      <c r="G497">
        <v>-0.004358022852134269</v>
      </c>
      <c r="H497">
        <v>0.09</v>
      </c>
      <c r="I497">
        <v>0.09809936609504688</v>
      </c>
      <c r="J497" t="s">
        <v>515</v>
      </c>
      <c r="K497" t="s">
        <v>778</v>
      </c>
      <c r="L497">
        <v>4.25</v>
      </c>
      <c r="M497">
        <v>1.2</v>
      </c>
      <c r="N497">
        <v>0.2823529411764706</v>
      </c>
      <c r="O497">
        <v>0</v>
      </c>
      <c r="P497">
        <v>0.06054457313435013</v>
      </c>
      <c r="Q497">
        <v>0.209699112323713</v>
      </c>
      <c r="R497" t="s">
        <v>780</v>
      </c>
      <c r="S497" t="s">
        <v>788</v>
      </c>
      <c r="T497">
        <v>41164.56166</v>
      </c>
      <c r="U497" s="2">
        <v>44520</v>
      </c>
      <c r="V497" t="s">
        <v>798</v>
      </c>
    </row>
    <row r="498" spans="1:22">
      <c r="A498" s="1" t="s">
        <v>518</v>
      </c>
      <c r="B498">
        <f>HYPERLINK("https://www.suredividend.com/sure-analysis-TRST/","Trustco Bank Corp.")</f>
        <v>0</v>
      </c>
      <c r="C498">
        <v>34.15</v>
      </c>
      <c r="D498">
        <v>39</v>
      </c>
      <c r="E498">
        <v>0.8756410256410256</v>
      </c>
      <c r="F498">
        <v>0.03982430453879942</v>
      </c>
      <c r="G498">
        <v>0.02691566732790585</v>
      </c>
      <c r="H498">
        <v>0.04</v>
      </c>
      <c r="I498">
        <v>0.09782796234576918</v>
      </c>
      <c r="J498" t="s">
        <v>515</v>
      </c>
      <c r="K498" t="s">
        <v>367</v>
      </c>
      <c r="L498">
        <v>3.09</v>
      </c>
      <c r="M498">
        <v>1.36</v>
      </c>
      <c r="N498">
        <v>0.4401294498381877</v>
      </c>
      <c r="O498">
        <v>0</v>
      </c>
      <c r="P498">
        <v>0.0100884981090783</v>
      </c>
      <c r="Q498">
        <v>0.09046553139039901</v>
      </c>
      <c r="R498" t="s">
        <v>780</v>
      </c>
      <c r="S498" t="s">
        <v>790</v>
      </c>
      <c r="T498">
        <v>656.311809</v>
      </c>
      <c r="U498" s="2">
        <v>44493</v>
      </c>
      <c r="V498" t="s">
        <v>801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31.6</v>
      </c>
      <c r="D499">
        <v>35</v>
      </c>
      <c r="E499">
        <v>0.9028571428571429</v>
      </c>
      <c r="F499">
        <v>0.03955696202531645</v>
      </c>
      <c r="G499">
        <v>0.02064847815263726</v>
      </c>
      <c r="H499">
        <v>0.04</v>
      </c>
      <c r="I499">
        <v>0.0944526795570686</v>
      </c>
      <c r="J499" t="s">
        <v>515</v>
      </c>
      <c r="K499" t="s">
        <v>367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-0.075304183955942</v>
      </c>
      <c r="R499" t="s">
        <v>780</v>
      </c>
      <c r="S499" t="s">
        <v>792</v>
      </c>
      <c r="T499">
        <v>15158.19708</v>
      </c>
      <c r="U499" s="2">
        <v>44476</v>
      </c>
      <c r="V499" t="s">
        <v>799</v>
      </c>
    </row>
    <row r="500" spans="1:22">
      <c r="A500" s="1" t="s">
        <v>520</v>
      </c>
      <c r="B500">
        <f>HYPERLINK("https://www.suredividend.com/sure-analysis-PGRE/","Paramount Group Inc")</f>
        <v>0</v>
      </c>
      <c r="C500">
        <v>9.039999999999999</v>
      </c>
      <c r="D500">
        <v>11</v>
      </c>
      <c r="E500">
        <v>0.8218181818181818</v>
      </c>
      <c r="F500">
        <v>0.03097345132743363</v>
      </c>
      <c r="G500">
        <v>0.04002756715195188</v>
      </c>
      <c r="H500">
        <v>0.03</v>
      </c>
      <c r="I500">
        <v>0.09424114592875732</v>
      </c>
      <c r="J500" t="s">
        <v>515</v>
      </c>
      <c r="K500" t="s">
        <v>367</v>
      </c>
      <c r="L500">
        <v>0.91</v>
      </c>
      <c r="M500">
        <v>0.28</v>
      </c>
      <c r="N500">
        <v>0.3076923076923077</v>
      </c>
      <c r="O500">
        <v>0</v>
      </c>
      <c r="P500">
        <v>0.007042949693310208</v>
      </c>
      <c r="Q500">
        <v>-0.07086695102523201</v>
      </c>
      <c r="R500" t="s">
        <v>782</v>
      </c>
      <c r="S500" t="s">
        <v>794</v>
      </c>
      <c r="T500">
        <v>1979.36591</v>
      </c>
      <c r="U500" s="2">
        <v>44498</v>
      </c>
      <c r="V500" t="s">
        <v>801</v>
      </c>
    </row>
    <row r="501" spans="1:22">
      <c r="A501" s="1" t="s">
        <v>521</v>
      </c>
      <c r="B501">
        <f>HYPERLINK("https://www.suredividend.com/sure-analysis-PFE/","Pfizer Inc.")</f>
        <v>0</v>
      </c>
      <c r="C501">
        <v>50.89</v>
      </c>
      <c r="D501">
        <v>56</v>
      </c>
      <c r="E501">
        <v>0.9087500000000001</v>
      </c>
      <c r="F501">
        <v>0.03065435252505404</v>
      </c>
      <c r="G501">
        <v>0.01932133706168204</v>
      </c>
      <c r="H501">
        <v>0.05</v>
      </c>
      <c r="I501">
        <v>0.09334706437478246</v>
      </c>
      <c r="J501" t="s">
        <v>515</v>
      </c>
      <c r="K501" t="s">
        <v>367</v>
      </c>
      <c r="L501">
        <v>4.15</v>
      </c>
      <c r="M501">
        <v>1.56</v>
      </c>
      <c r="N501">
        <v>0.3759036144578313</v>
      </c>
      <c r="O501">
        <v>12</v>
      </c>
      <c r="P501">
        <v>0.01005227214699711</v>
      </c>
      <c r="Q501">
        <v>0.444839716199296</v>
      </c>
      <c r="R501" t="s">
        <v>780</v>
      </c>
      <c r="S501" t="s">
        <v>785</v>
      </c>
      <c r="T501">
        <v>285638.781172</v>
      </c>
      <c r="U501" s="2">
        <v>44504</v>
      </c>
      <c r="V501" t="s">
        <v>802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220.23</v>
      </c>
      <c r="D502">
        <v>208</v>
      </c>
      <c r="E502">
        <v>1.058798076923077</v>
      </c>
      <c r="F502">
        <v>0.02579121827180675</v>
      </c>
      <c r="G502">
        <v>-0.01136183624724529</v>
      </c>
      <c r="H502">
        <v>0.08</v>
      </c>
      <c r="I502">
        <v>0.09314698111904685</v>
      </c>
      <c r="J502" t="s">
        <v>515</v>
      </c>
      <c r="K502" t="s">
        <v>515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0.170626072063959</v>
      </c>
      <c r="R502" t="s">
        <v>780</v>
      </c>
      <c r="S502" t="s">
        <v>791</v>
      </c>
      <c r="T502">
        <v>2558.242994</v>
      </c>
      <c r="U502" s="2">
        <v>44518</v>
      </c>
      <c r="V502" t="s">
        <v>806</v>
      </c>
    </row>
    <row r="503" spans="1:22">
      <c r="A503" s="1" t="s">
        <v>523</v>
      </c>
      <c r="B503">
        <f>HYPERLINK("https://www.suredividend.com/sure-analysis-AMCR/","Amcor Plc")</f>
        <v>0</v>
      </c>
      <c r="C503">
        <v>11.66</v>
      </c>
      <c r="D503">
        <v>12</v>
      </c>
      <c r="E503">
        <v>0.9716666666666667</v>
      </c>
      <c r="F503">
        <v>0.04030874785591766</v>
      </c>
      <c r="G503">
        <v>0.005765048069014789</v>
      </c>
      <c r="H503">
        <v>0.05</v>
      </c>
      <c r="I503">
        <v>0.0884524096860615</v>
      </c>
      <c r="J503" t="s">
        <v>515</v>
      </c>
      <c r="K503" t="s">
        <v>367</v>
      </c>
      <c r="L503">
        <v>0.8</v>
      </c>
      <c r="M503">
        <v>0.47</v>
      </c>
      <c r="N503">
        <v>0.5874999999999999</v>
      </c>
      <c r="O503">
        <v>1</v>
      </c>
      <c r="P503">
        <v>0.0204250165236175</v>
      </c>
      <c r="Q503">
        <v>0.01855410741116</v>
      </c>
      <c r="R503" t="s">
        <v>780</v>
      </c>
      <c r="S503" t="s">
        <v>788</v>
      </c>
      <c r="T503">
        <v>17876.749351</v>
      </c>
      <c r="U503" s="2">
        <v>44522</v>
      </c>
      <c r="V503" t="s">
        <v>797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6.15</v>
      </c>
      <c r="D504">
        <v>6.6</v>
      </c>
      <c r="E504">
        <v>0.9318181818181819</v>
      </c>
      <c r="F504">
        <v>0.02601626016260163</v>
      </c>
      <c r="G504">
        <v>0.01422372146612827</v>
      </c>
      <c r="H504">
        <v>0.05</v>
      </c>
      <c r="I504">
        <v>0.08715968538250429</v>
      </c>
      <c r="J504" t="s">
        <v>515</v>
      </c>
      <c r="K504" t="s">
        <v>515</v>
      </c>
      <c r="L504">
        <v>0.57</v>
      </c>
      <c r="M504">
        <v>0.16</v>
      </c>
      <c r="N504">
        <v>0.280701754385965</v>
      </c>
      <c r="O504">
        <v>0</v>
      </c>
      <c r="P504">
        <v>0.04563955259127317</v>
      </c>
      <c r="Q504">
        <v>-0.236754905245913</v>
      </c>
      <c r="R504" t="s">
        <v>780</v>
      </c>
      <c r="S504" t="s">
        <v>789</v>
      </c>
      <c r="T504">
        <v>4203.585694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HYPERLINK("https://www.suredividend.com/sure-analysis-BHP/","BHP Group Limited")</f>
        <v>0</v>
      </c>
      <c r="C505">
        <v>55.48</v>
      </c>
      <c r="D505">
        <v>87</v>
      </c>
      <c r="E505">
        <v>0.6377011494252873</v>
      </c>
      <c r="F505">
        <v>0.06488824801730354</v>
      </c>
      <c r="G505">
        <v>0.09414923247960205</v>
      </c>
      <c r="H505">
        <v>-0.05</v>
      </c>
      <c r="I505">
        <v>0.08675591535994909</v>
      </c>
      <c r="J505" t="s">
        <v>515</v>
      </c>
      <c r="K505" t="s">
        <v>777</v>
      </c>
      <c r="L505">
        <v>6.2</v>
      </c>
      <c r="M505">
        <v>3.6</v>
      </c>
      <c r="N505">
        <v>0.5806451612903226</v>
      </c>
      <c r="O505">
        <v>1</v>
      </c>
      <c r="P505">
        <v>-0.02328131613882611</v>
      </c>
      <c r="Q505">
        <v>0.07534176214169</v>
      </c>
      <c r="R505" t="s">
        <v>780</v>
      </c>
      <c r="S505" t="s">
        <v>788</v>
      </c>
      <c r="T505">
        <v>81839.97367000001</v>
      </c>
      <c r="U505" s="2">
        <v>44524</v>
      </c>
      <c r="V505" t="s">
        <v>804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63.75</v>
      </c>
      <c r="D506">
        <v>73</v>
      </c>
      <c r="E506">
        <v>0.8732876712328768</v>
      </c>
      <c r="F506">
        <v>0.08800000000000001</v>
      </c>
      <c r="G506">
        <v>0.02746854257619802</v>
      </c>
      <c r="H506">
        <v>0</v>
      </c>
      <c r="I506">
        <v>0.08621564224835021</v>
      </c>
      <c r="J506" t="s">
        <v>515</v>
      </c>
      <c r="K506" t="s">
        <v>777</v>
      </c>
      <c r="L506">
        <v>14</v>
      </c>
      <c r="M506">
        <v>5.61</v>
      </c>
      <c r="N506">
        <v>0.4007142857142857</v>
      </c>
      <c r="O506">
        <v>5</v>
      </c>
      <c r="P506">
        <v>-0.05987225238578009</v>
      </c>
      <c r="Q506">
        <v>0.02007344528806</v>
      </c>
      <c r="R506" t="s">
        <v>780</v>
      </c>
      <c r="S506" t="s">
        <v>788</v>
      </c>
      <c r="T506">
        <v>103918.87296</v>
      </c>
      <c r="U506" s="2">
        <v>44524</v>
      </c>
      <c r="V506" t="s">
        <v>804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16.52</v>
      </c>
      <c r="D507">
        <v>20.3</v>
      </c>
      <c r="E507">
        <v>0.8137931034482758</v>
      </c>
      <c r="F507">
        <v>0.06537530266343826</v>
      </c>
      <c r="G507">
        <v>0.04207073363140013</v>
      </c>
      <c r="H507">
        <v>-0.012</v>
      </c>
      <c r="I507">
        <v>0.08393842031019427</v>
      </c>
      <c r="J507" t="s">
        <v>515</v>
      </c>
      <c r="K507" t="s">
        <v>777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0.177082516904529</v>
      </c>
      <c r="R507" t="s">
        <v>780</v>
      </c>
      <c r="S507" t="s">
        <v>793</v>
      </c>
      <c r="T507">
        <v>37442.923566</v>
      </c>
      <c r="U507" s="2">
        <v>44491</v>
      </c>
      <c r="V507" t="s">
        <v>803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57.85</v>
      </c>
      <c r="D508">
        <v>58</v>
      </c>
      <c r="E508">
        <v>0.9974137931034484</v>
      </c>
      <c r="F508">
        <v>0.03595505617977528</v>
      </c>
      <c r="G508">
        <v>0.0005180455206026391</v>
      </c>
      <c r="H508">
        <v>0.05</v>
      </c>
      <c r="I508">
        <v>0.08272692896256517</v>
      </c>
      <c r="J508" t="s">
        <v>515</v>
      </c>
      <c r="K508" t="s">
        <v>367</v>
      </c>
      <c r="L508">
        <v>4.14</v>
      </c>
      <c r="M508">
        <v>2.08</v>
      </c>
      <c r="N508">
        <v>0.5024154589371981</v>
      </c>
      <c r="O508">
        <v>10</v>
      </c>
      <c r="P508">
        <v>0.04963065931551602</v>
      </c>
      <c r="Q508">
        <v>0.4295104328315421</v>
      </c>
      <c r="R508" t="s">
        <v>780</v>
      </c>
      <c r="S508" t="s">
        <v>790</v>
      </c>
      <c r="T508">
        <v>1004.475987</v>
      </c>
      <c r="U508" s="2">
        <v>44495</v>
      </c>
      <c r="V508" t="s">
        <v>796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47.55</v>
      </c>
      <c r="D509">
        <v>46</v>
      </c>
      <c r="E509">
        <v>1.033695652173913</v>
      </c>
      <c r="F509">
        <v>0.03890641430073607</v>
      </c>
      <c r="G509">
        <v>-0.00660616123800295</v>
      </c>
      <c r="H509">
        <v>0.05</v>
      </c>
      <c r="I509">
        <v>0.07814872769549508</v>
      </c>
      <c r="J509" t="s">
        <v>515</v>
      </c>
      <c r="K509" t="s">
        <v>367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0.002118041285998</v>
      </c>
      <c r="R509" t="s">
        <v>780</v>
      </c>
      <c r="S509" t="s">
        <v>791</v>
      </c>
      <c r="T509">
        <v>18414.363686</v>
      </c>
      <c r="U509" s="2">
        <v>44498</v>
      </c>
      <c r="V509" t="s">
        <v>804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28.45</v>
      </c>
      <c r="D510">
        <v>23</v>
      </c>
      <c r="E510">
        <v>1.236956521739131</v>
      </c>
      <c r="F510">
        <v>0.0421792618629174</v>
      </c>
      <c r="G510">
        <v>-0.04163904184045097</v>
      </c>
      <c r="H510">
        <v>0.08</v>
      </c>
      <c r="I510">
        <v>0.07785533486455742</v>
      </c>
      <c r="J510" t="s">
        <v>515</v>
      </c>
      <c r="K510" t="s">
        <v>367</v>
      </c>
      <c r="L510">
        <v>1.25</v>
      </c>
      <c r="M510">
        <v>1.2</v>
      </c>
      <c r="N510">
        <v>0.96</v>
      </c>
      <c r="O510">
        <v>13</v>
      </c>
      <c r="P510">
        <v>0.0796084730466029</v>
      </c>
      <c r="Q510">
        <v>-0.047507449194817</v>
      </c>
      <c r="R510" t="s">
        <v>780</v>
      </c>
      <c r="S510" t="s">
        <v>785</v>
      </c>
      <c r="T510">
        <v>578.931298</v>
      </c>
      <c r="U510" s="2">
        <v>44499</v>
      </c>
      <c r="V510" t="s">
        <v>797</v>
      </c>
    </row>
    <row r="511" spans="1:22">
      <c r="A511" s="1" t="s">
        <v>531</v>
      </c>
      <c r="B511">
        <f>HYPERLINK("https://www.suredividend.com/sure-analysis-RF/","Regions Financial Corp.")</f>
        <v>0</v>
      </c>
      <c r="C511">
        <v>24.58</v>
      </c>
      <c r="D511">
        <v>26</v>
      </c>
      <c r="E511">
        <v>0.9453846153846153</v>
      </c>
      <c r="F511">
        <v>0.02766476810414972</v>
      </c>
      <c r="G511">
        <v>0.01129601027841431</v>
      </c>
      <c r="H511">
        <v>0.04</v>
      </c>
      <c r="I511">
        <v>0.07680046223428949</v>
      </c>
      <c r="J511" t="s">
        <v>515</v>
      </c>
      <c r="K511" t="s">
        <v>515</v>
      </c>
      <c r="L511">
        <v>2.4</v>
      </c>
      <c r="M511">
        <v>0.68</v>
      </c>
      <c r="N511">
        <v>0.2833333333333334</v>
      </c>
      <c r="O511">
        <v>0</v>
      </c>
      <c r="P511">
        <v>0.0505145404837426</v>
      </c>
      <c r="Q511">
        <v>0.5776737976495351</v>
      </c>
      <c r="R511" t="s">
        <v>780</v>
      </c>
      <c r="S511" t="s">
        <v>790</v>
      </c>
      <c r="T511">
        <v>23431.686873</v>
      </c>
      <c r="U511" s="2">
        <v>44491</v>
      </c>
      <c r="V511" t="s">
        <v>800</v>
      </c>
    </row>
    <row r="512" spans="1:22">
      <c r="A512" s="1" t="s">
        <v>532</v>
      </c>
      <c r="B512">
        <f>HYPERLINK("https://www.suredividend.com/sure-analysis-WMB/","Williams Cos Inc")</f>
        <v>0</v>
      </c>
      <c r="C512">
        <v>28.55</v>
      </c>
      <c r="D512">
        <v>25</v>
      </c>
      <c r="E512">
        <v>1.142</v>
      </c>
      <c r="F512">
        <v>0.0574430823117338</v>
      </c>
      <c r="G512">
        <v>-0.02620670655038659</v>
      </c>
      <c r="H512">
        <v>0.05</v>
      </c>
      <c r="I512">
        <v>0.07589687587371885</v>
      </c>
      <c r="J512" t="s">
        <v>515</v>
      </c>
      <c r="K512" t="s">
        <v>777</v>
      </c>
      <c r="L512">
        <v>3.35</v>
      </c>
      <c r="M512">
        <v>1.64</v>
      </c>
      <c r="N512">
        <v>0.4895522388059701</v>
      </c>
      <c r="O512">
        <v>4</v>
      </c>
      <c r="P512">
        <v>0.04048836820440749</v>
      </c>
      <c r="Q512">
        <v>0.389280882911115</v>
      </c>
      <c r="R512" t="s">
        <v>780</v>
      </c>
      <c r="S512" t="s">
        <v>793</v>
      </c>
      <c r="T512">
        <v>34689.100761</v>
      </c>
      <c r="U512" s="2">
        <v>44504</v>
      </c>
      <c r="V512" t="s">
        <v>804</v>
      </c>
    </row>
    <row r="513" spans="1:22">
      <c r="A513" s="1" t="s">
        <v>533</v>
      </c>
      <c r="B513">
        <f>HYPERLINK("https://www.suredividend.com/sure-analysis-NGG/","National Grid Plc")</f>
        <v>0</v>
      </c>
      <c r="C513">
        <v>66.64</v>
      </c>
      <c r="D513">
        <v>62</v>
      </c>
      <c r="E513">
        <v>1.074838709677419</v>
      </c>
      <c r="F513">
        <v>0.05387154861944778</v>
      </c>
      <c r="G513">
        <v>-0.01433045002241506</v>
      </c>
      <c r="H513">
        <v>0.04</v>
      </c>
      <c r="I513">
        <v>0.07497941426435317</v>
      </c>
      <c r="J513" t="s">
        <v>515</v>
      </c>
      <c r="K513" t="s">
        <v>777</v>
      </c>
      <c r="L513">
        <v>4.16</v>
      </c>
      <c r="M513">
        <v>3.59</v>
      </c>
      <c r="N513">
        <v>0.8629807692307692</v>
      </c>
      <c r="O513">
        <v>0</v>
      </c>
      <c r="P513">
        <v>0.0401055114467892</v>
      </c>
      <c r="Q513">
        <v>0.148523929592587</v>
      </c>
      <c r="R513" t="s">
        <v>780</v>
      </c>
      <c r="S513" t="s">
        <v>789</v>
      </c>
      <c r="T513">
        <v>48208.480358</v>
      </c>
      <c r="U513" s="2">
        <v>44430</v>
      </c>
      <c r="V513" t="s">
        <v>802</v>
      </c>
    </row>
    <row r="514" spans="1:22">
      <c r="A514" s="1" t="s">
        <v>534</v>
      </c>
      <c r="B514">
        <f>HYPERLINK("https://www.suredividend.com/sure-analysis-EMRAF/","Emera, Inc.")</f>
        <v>0</v>
      </c>
      <c r="C514">
        <v>46.78</v>
      </c>
      <c r="D514">
        <v>42</v>
      </c>
      <c r="E514">
        <v>1.113809523809524</v>
      </c>
      <c r="F514">
        <v>0.04510474561778537</v>
      </c>
      <c r="G514">
        <v>-0.02132653222100866</v>
      </c>
      <c r="H514">
        <v>0.055</v>
      </c>
      <c r="I514">
        <v>0.0738042456322896</v>
      </c>
      <c r="J514" t="s">
        <v>515</v>
      </c>
      <c r="K514" t="s">
        <v>777</v>
      </c>
      <c r="L514">
        <v>2.26</v>
      </c>
      <c r="M514">
        <v>2.11</v>
      </c>
      <c r="N514">
        <v>0.9336283185840708</v>
      </c>
      <c r="O514">
        <v>14</v>
      </c>
      <c r="P514">
        <v>0.04023181804828235</v>
      </c>
      <c r="Q514">
        <v>0.105648782793665</v>
      </c>
      <c r="R514" t="s">
        <v>780</v>
      </c>
      <c r="S514" t="s">
        <v>789</v>
      </c>
      <c r="T514">
        <v>12103.240827</v>
      </c>
      <c r="U514" s="2">
        <v>44516</v>
      </c>
      <c r="V514" t="s">
        <v>801</v>
      </c>
    </row>
    <row r="515" spans="1:22">
      <c r="A515" s="1" t="s">
        <v>535</v>
      </c>
      <c r="B515">
        <f>HYPERLINK("https://www.suredividend.com/sure-analysis-FE/","Firstenergy Corp.")</f>
        <v>0</v>
      </c>
      <c r="C515">
        <v>38.91</v>
      </c>
      <c r="D515">
        <v>39</v>
      </c>
      <c r="E515">
        <v>0.9976923076923077</v>
      </c>
      <c r="F515">
        <v>0.04009252120277564</v>
      </c>
      <c r="G515">
        <v>0.000462178598268137</v>
      </c>
      <c r="H515">
        <v>0.04</v>
      </c>
      <c r="I515">
        <v>0.07356255084616103</v>
      </c>
      <c r="J515" t="s">
        <v>515</v>
      </c>
      <c r="K515" t="s">
        <v>367</v>
      </c>
      <c r="L515">
        <v>2.6</v>
      </c>
      <c r="M515">
        <v>1.56</v>
      </c>
      <c r="N515">
        <v>0.6</v>
      </c>
      <c r="O515">
        <v>0</v>
      </c>
      <c r="P515">
        <v>0.01005227214699711</v>
      </c>
      <c r="Q515">
        <v>0.5232361035534341</v>
      </c>
      <c r="R515" t="s">
        <v>780</v>
      </c>
      <c r="S515" t="s">
        <v>789</v>
      </c>
      <c r="T515">
        <v>21183.367375</v>
      </c>
      <c r="U515" s="2">
        <v>44498</v>
      </c>
      <c r="V515" t="s">
        <v>795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46.39</v>
      </c>
      <c r="D516">
        <v>49</v>
      </c>
      <c r="E516">
        <v>0.946734693877551</v>
      </c>
      <c r="F516">
        <v>0.04311273981461522</v>
      </c>
      <c r="G516">
        <v>0.01100741655240545</v>
      </c>
      <c r="H516">
        <v>0.025</v>
      </c>
      <c r="I516">
        <v>0.07325680412719526</v>
      </c>
      <c r="J516" t="s">
        <v>515</v>
      </c>
      <c r="K516" t="s">
        <v>367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0.224669743080708</v>
      </c>
      <c r="R516" t="s">
        <v>782</v>
      </c>
      <c r="S516" t="s">
        <v>794</v>
      </c>
      <c r="T516">
        <v>4842.330246</v>
      </c>
      <c r="U516" s="2">
        <v>44496</v>
      </c>
      <c r="V516" t="s">
        <v>801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44.91</v>
      </c>
      <c r="D517">
        <v>48</v>
      </c>
      <c r="E517">
        <v>0.9356249999999999</v>
      </c>
      <c r="F517">
        <v>0.03384546871520819</v>
      </c>
      <c r="G517">
        <v>0.01339705172167172</v>
      </c>
      <c r="H517">
        <v>0.03</v>
      </c>
      <c r="I517">
        <v>0.07325019229224217</v>
      </c>
      <c r="J517" t="s">
        <v>515</v>
      </c>
      <c r="K517" t="s">
        <v>367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0.302354445723631</v>
      </c>
      <c r="R517" t="s">
        <v>780</v>
      </c>
      <c r="S517" t="s">
        <v>790</v>
      </c>
      <c r="T517">
        <v>12186.772346</v>
      </c>
      <c r="U517" s="2">
        <v>44509</v>
      </c>
      <c r="V517" t="s">
        <v>799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18.72</v>
      </c>
      <c r="D518">
        <v>20</v>
      </c>
      <c r="E518">
        <v>0.9359999999999999</v>
      </c>
      <c r="F518">
        <v>0.04487179487179487</v>
      </c>
      <c r="G518">
        <v>0.01331583701861527</v>
      </c>
      <c r="H518">
        <v>0.022</v>
      </c>
      <c r="I518">
        <v>0.07221702452191425</v>
      </c>
      <c r="J518" t="s">
        <v>515</v>
      </c>
      <c r="K518" t="s">
        <v>367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0.170944073659387</v>
      </c>
      <c r="R518" t="s">
        <v>782</v>
      </c>
      <c r="S518" t="s">
        <v>794</v>
      </c>
      <c r="T518">
        <v>2323.841308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HYPERLINK("https://www.suredividend.com/sure-analysis-REG/","Regency Centers Corporation")</f>
        <v>0</v>
      </c>
      <c r="C519">
        <v>74.34999999999999</v>
      </c>
      <c r="D519">
        <v>75</v>
      </c>
      <c r="E519">
        <v>0.9913333333333333</v>
      </c>
      <c r="F519">
        <v>0.0336247478143914</v>
      </c>
      <c r="G519">
        <v>0.001742404351494864</v>
      </c>
      <c r="H519">
        <v>0.04</v>
      </c>
      <c r="I519">
        <v>0.07173231786849588</v>
      </c>
      <c r="J519" t="s">
        <v>515</v>
      </c>
      <c r="K519" t="s">
        <v>515</v>
      </c>
      <c r="L519">
        <v>3.95</v>
      </c>
      <c r="M519">
        <v>2.5</v>
      </c>
      <c r="N519">
        <v>0.6329113924050632</v>
      </c>
      <c r="O519">
        <v>9</v>
      </c>
      <c r="P519">
        <v>0.03505466752592223</v>
      </c>
      <c r="Q519">
        <v>0.5867934394041251</v>
      </c>
      <c r="R519" t="s">
        <v>782</v>
      </c>
      <c r="S519" t="s">
        <v>794</v>
      </c>
      <c r="T519">
        <v>12729.686773</v>
      </c>
      <c r="U519" s="2">
        <v>44513</v>
      </c>
      <c r="V519" t="s">
        <v>795</v>
      </c>
    </row>
    <row r="520" spans="1:22">
      <c r="A520" s="1" t="s">
        <v>540</v>
      </c>
      <c r="B520">
        <f>HYPERLINK("https://www.suredividend.com/sure-analysis-SPG/","Simon Property Group, Inc.")</f>
        <v>0</v>
      </c>
      <c r="C520">
        <v>169.03</v>
      </c>
      <c r="D520">
        <v>157</v>
      </c>
      <c r="E520">
        <v>1.076624203821656</v>
      </c>
      <c r="F520">
        <v>0.03904632313790452</v>
      </c>
      <c r="G520">
        <v>-0.01465759775547137</v>
      </c>
      <c r="H520">
        <v>0.05</v>
      </c>
      <c r="I520">
        <v>0.07142762019588655</v>
      </c>
      <c r="J520" t="s">
        <v>515</v>
      </c>
      <c r="K520" t="s">
        <v>367</v>
      </c>
      <c r="L520">
        <v>11.6</v>
      </c>
      <c r="M520">
        <v>6.6</v>
      </c>
      <c r="N520">
        <v>0.5689655172413793</v>
      </c>
      <c r="O520">
        <v>0</v>
      </c>
      <c r="P520">
        <v>0.04991376879974663</v>
      </c>
      <c r="Q520">
        <v>0.9989474866809761</v>
      </c>
      <c r="R520" t="s">
        <v>782</v>
      </c>
      <c r="S520" t="s">
        <v>794</v>
      </c>
      <c r="T520">
        <v>55545.144882</v>
      </c>
      <c r="U520" s="2">
        <v>44502</v>
      </c>
      <c r="V520" t="s">
        <v>795</v>
      </c>
    </row>
    <row r="521" spans="1:22">
      <c r="A521" s="1" t="s">
        <v>541</v>
      </c>
      <c r="B521">
        <f>HYPERLINK("https://www.suredividend.com/sure-analysis-CNP/","Centerpoint Energy Inc.")</f>
        <v>0</v>
      </c>
      <c r="C521">
        <v>26.77</v>
      </c>
      <c r="D521">
        <v>21.9</v>
      </c>
      <c r="E521">
        <v>1.222374429223744</v>
      </c>
      <c r="F521">
        <v>0.02540156892043332</v>
      </c>
      <c r="G521">
        <v>-0.03936335662867319</v>
      </c>
      <c r="H521">
        <v>0.083</v>
      </c>
      <c r="I521">
        <v>0.07103437892950026</v>
      </c>
      <c r="J521" t="s">
        <v>515</v>
      </c>
      <c r="K521" t="s">
        <v>515</v>
      </c>
      <c r="L521">
        <v>1.37</v>
      </c>
      <c r="M521">
        <v>0.68</v>
      </c>
      <c r="N521">
        <v>0.4963503649635037</v>
      </c>
      <c r="O521">
        <v>1</v>
      </c>
      <c r="P521">
        <v>0.1383790323022041</v>
      </c>
      <c r="Q521">
        <v>0.128217231337213</v>
      </c>
      <c r="R521" t="s">
        <v>780</v>
      </c>
      <c r="S521" t="s">
        <v>789</v>
      </c>
      <c r="T521">
        <v>16834.735699</v>
      </c>
      <c r="U521" s="2">
        <v>44509</v>
      </c>
      <c r="V521" t="s">
        <v>803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9.74</v>
      </c>
      <c r="D522">
        <v>10</v>
      </c>
      <c r="E522">
        <v>0.974</v>
      </c>
      <c r="F522">
        <v>0.04414784394250513</v>
      </c>
      <c r="G522">
        <v>0.005282699577933148</v>
      </c>
      <c r="H522">
        <v>0.02</v>
      </c>
      <c r="I522">
        <v>0.07027155649163919</v>
      </c>
      <c r="J522" t="s">
        <v>515</v>
      </c>
      <c r="K522" t="s">
        <v>367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0.21016338448158</v>
      </c>
      <c r="R522" t="s">
        <v>782</v>
      </c>
      <c r="S522" t="s">
        <v>794</v>
      </c>
      <c r="T522">
        <v>478.361165</v>
      </c>
      <c r="U522" s="2">
        <v>44498</v>
      </c>
      <c r="V522" t="s">
        <v>805</v>
      </c>
    </row>
    <row r="523" spans="1:22">
      <c r="A523" s="1" t="s">
        <v>543</v>
      </c>
      <c r="B523">
        <f>HYPERLINK("https://www.suredividend.com/sure-analysis-DTEGY/","Deutsche Telekom AG")</f>
        <v>0</v>
      </c>
      <c r="C523">
        <v>19.02</v>
      </c>
      <c r="D523">
        <v>18</v>
      </c>
      <c r="E523">
        <v>1.056666666666667</v>
      </c>
      <c r="F523">
        <v>0.03785488958990536</v>
      </c>
      <c r="G523">
        <v>-0.01096331976727316</v>
      </c>
      <c r="H523">
        <v>0.05</v>
      </c>
      <c r="I523">
        <v>0.0701256690985721</v>
      </c>
      <c r="J523" t="s">
        <v>515</v>
      </c>
      <c r="K523" t="s">
        <v>515</v>
      </c>
      <c r="L523">
        <v>1.2</v>
      </c>
      <c r="M523">
        <v>0.72</v>
      </c>
      <c r="N523">
        <v>0.6</v>
      </c>
      <c r="O523">
        <v>1</v>
      </c>
      <c r="P523">
        <v>0.01087212085035083</v>
      </c>
      <c r="Q523">
        <v>0.101134133421331</v>
      </c>
      <c r="R523" t="s">
        <v>780</v>
      </c>
      <c r="S523" t="s">
        <v>784</v>
      </c>
      <c r="T523">
        <v>94842.442496</v>
      </c>
      <c r="U523" s="2">
        <v>44517</v>
      </c>
      <c r="V523" t="s">
        <v>804</v>
      </c>
    </row>
    <row r="524" spans="1:22">
      <c r="A524" s="1" t="s">
        <v>544</v>
      </c>
      <c r="B524">
        <f>HYPERLINK("https://www.suredividend.com/sure-analysis-FRFHF/","Fairfax Financial Holdings Ltd.")</f>
        <v>0</v>
      </c>
      <c r="C524">
        <v>458.9023</v>
      </c>
      <c r="D524">
        <v>565</v>
      </c>
      <c r="E524">
        <v>0.8122164601769912</v>
      </c>
      <c r="F524">
        <v>0.02179113070472734</v>
      </c>
      <c r="G524">
        <v>0.04247498537061367</v>
      </c>
      <c r="H524">
        <v>0.01</v>
      </c>
      <c r="I524">
        <v>0.07006198941069708</v>
      </c>
      <c r="J524" t="s">
        <v>515</v>
      </c>
      <c r="K524" t="s">
        <v>515</v>
      </c>
      <c r="L524">
        <v>32</v>
      </c>
      <c r="M524">
        <v>10</v>
      </c>
      <c r="N524">
        <v>0.3125</v>
      </c>
      <c r="O524">
        <v>0</v>
      </c>
      <c r="P524">
        <v>0</v>
      </c>
      <c r="Q524">
        <v>0.333243172574085</v>
      </c>
      <c r="R524" t="s">
        <v>780</v>
      </c>
      <c r="S524" t="s">
        <v>790</v>
      </c>
      <c r="T524">
        <v>12384.015481</v>
      </c>
      <c r="U524" s="2">
        <v>44515</v>
      </c>
      <c r="V524" t="s">
        <v>804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11.1296</v>
      </c>
      <c r="D525">
        <v>12.6</v>
      </c>
      <c r="E525">
        <v>0.8833015873015874</v>
      </c>
      <c r="F525">
        <v>0.05211328349626222</v>
      </c>
      <c r="G525">
        <v>0.02512824070151209</v>
      </c>
      <c r="H525">
        <v>0</v>
      </c>
      <c r="I525">
        <v>0.06848991753242917</v>
      </c>
      <c r="J525" t="s">
        <v>515</v>
      </c>
      <c r="K525" t="s">
        <v>777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0.207769940314704</v>
      </c>
      <c r="R525" t="s">
        <v>780</v>
      </c>
      <c r="S525" t="s">
        <v>789</v>
      </c>
      <c r="T525">
        <v>1959.27356</v>
      </c>
      <c r="U525" s="2">
        <v>44516</v>
      </c>
      <c r="V525" t="s">
        <v>795</v>
      </c>
    </row>
    <row r="526" spans="1:22">
      <c r="A526" s="1" t="s">
        <v>546</v>
      </c>
      <c r="B526">
        <f>HYPERLINK("https://www.suredividend.com/sure-analysis-INVH/","Invitation Homes Inc")</f>
        <v>0</v>
      </c>
      <c r="C526">
        <v>41.96</v>
      </c>
      <c r="D526">
        <v>35</v>
      </c>
      <c r="E526">
        <v>1.198857142857143</v>
      </c>
      <c r="F526">
        <v>0.01620591039084843</v>
      </c>
      <c r="G526">
        <v>-0.03562373526285023</v>
      </c>
      <c r="H526">
        <v>0.09</v>
      </c>
      <c r="I526">
        <v>0.06768378523002805</v>
      </c>
      <c r="J526" t="s">
        <v>515</v>
      </c>
      <c r="K526" t="s">
        <v>778</v>
      </c>
      <c r="L526">
        <v>1.28</v>
      </c>
      <c r="M526">
        <v>0.68</v>
      </c>
      <c r="N526">
        <v>0.53125</v>
      </c>
      <c r="O526">
        <v>4</v>
      </c>
      <c r="P526">
        <v>0.08447177119769855</v>
      </c>
      <c r="Q526">
        <v>0.495201884324967</v>
      </c>
      <c r="R526" t="s">
        <v>782</v>
      </c>
      <c r="S526" t="s">
        <v>794</v>
      </c>
      <c r="T526">
        <v>25040.413561</v>
      </c>
      <c r="U526" s="2">
        <v>44500</v>
      </c>
      <c r="V526" t="s">
        <v>795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60.13</v>
      </c>
      <c r="D527">
        <v>50</v>
      </c>
      <c r="E527">
        <v>1.2026</v>
      </c>
      <c r="F527">
        <v>0.02328288707799767</v>
      </c>
      <c r="G527">
        <v>-0.03622477044886052</v>
      </c>
      <c r="H527">
        <v>0.08500000000000001</v>
      </c>
      <c r="I527">
        <v>0.06674268893452462</v>
      </c>
      <c r="J527" t="s">
        <v>515</v>
      </c>
      <c r="K527" t="s">
        <v>515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0.135342320909331</v>
      </c>
      <c r="R527" t="s">
        <v>782</v>
      </c>
      <c r="S527" t="s">
        <v>794</v>
      </c>
      <c r="T527">
        <v>4727.251935</v>
      </c>
      <c r="U527" s="2">
        <v>44513</v>
      </c>
      <c r="V527" t="s">
        <v>795</v>
      </c>
    </row>
    <row r="528" spans="1:22">
      <c r="A528" s="1" t="s">
        <v>548</v>
      </c>
      <c r="B528">
        <f>HYPERLINK("https://www.suredividend.com/sure-analysis-SMFG/","Sumitomo Mitsui Financial Group Inc")</f>
        <v>0</v>
      </c>
      <c r="C528">
        <v>6.75</v>
      </c>
      <c r="D528">
        <v>7.15</v>
      </c>
      <c r="E528">
        <v>0.9440559440559441</v>
      </c>
      <c r="F528">
        <v>0.05037037037037037</v>
      </c>
      <c r="G528">
        <v>0.01158051125914006</v>
      </c>
      <c r="H528">
        <v>0.01</v>
      </c>
      <c r="I528">
        <v>0.06560228248505307</v>
      </c>
      <c r="J528" t="s">
        <v>515</v>
      </c>
      <c r="K528" t="s">
        <v>367</v>
      </c>
      <c r="L528">
        <v>0.65</v>
      </c>
      <c r="M528">
        <v>0.34</v>
      </c>
      <c r="N528">
        <v>0.5230769230769231</v>
      </c>
      <c r="O528">
        <v>0</v>
      </c>
      <c r="P528">
        <v>0.01149727415513624</v>
      </c>
      <c r="Q528">
        <v>0.108065072147347</v>
      </c>
      <c r="R528" t="s">
        <v>780</v>
      </c>
      <c r="S528" t="s">
        <v>790</v>
      </c>
      <c r="T528">
        <v>46384.720943</v>
      </c>
      <c r="U528" s="2">
        <v>44429</v>
      </c>
      <c r="V528" t="s">
        <v>798</v>
      </c>
    </row>
    <row r="529" spans="1:22">
      <c r="A529" s="1" t="s">
        <v>549</v>
      </c>
      <c r="B529">
        <f>HYPERLINK("https://www.suredividend.com/sure-analysis-LMRK/","Landmark Infrastructure Partners LP")</f>
        <v>0</v>
      </c>
      <c r="C529">
        <v>16.25</v>
      </c>
      <c r="D529">
        <v>16.4</v>
      </c>
      <c r="E529">
        <v>0.9908536585365855</v>
      </c>
      <c r="F529">
        <v>0.04923076923076923</v>
      </c>
      <c r="G529">
        <v>0.001839374789160964</v>
      </c>
      <c r="H529">
        <v>0.018</v>
      </c>
      <c r="I529">
        <v>0.06463124687388233</v>
      </c>
      <c r="J529" t="s">
        <v>515</v>
      </c>
      <c r="K529" t="s">
        <v>367</v>
      </c>
      <c r="L529">
        <v>1.49</v>
      </c>
      <c r="M529">
        <v>0.8</v>
      </c>
      <c r="N529">
        <v>0.5369127516778524</v>
      </c>
      <c r="O529">
        <v>0</v>
      </c>
      <c r="P529">
        <v>0.02383625553960966</v>
      </c>
      <c r="Q529">
        <v>0.650449938044648</v>
      </c>
      <c r="R529" t="s">
        <v>781</v>
      </c>
      <c r="S529" t="s">
        <v>794</v>
      </c>
      <c r="T529">
        <v>414.19612</v>
      </c>
      <c r="U529" s="2">
        <v>44509</v>
      </c>
      <c r="V529" t="s">
        <v>803</v>
      </c>
    </row>
    <row r="530" spans="1:22">
      <c r="A530" s="1" t="s">
        <v>550</v>
      </c>
      <c r="B530">
        <f>HYPERLINK("https://www.suredividend.com/sure-analysis-PCAR/","Paccar Inc.")</f>
        <v>0</v>
      </c>
      <c r="C530">
        <v>88.72</v>
      </c>
      <c r="D530">
        <v>83</v>
      </c>
      <c r="E530">
        <v>1.068915662650602</v>
      </c>
      <c r="F530">
        <v>0.02660054102795311</v>
      </c>
      <c r="G530">
        <v>-0.01324050999470627</v>
      </c>
      <c r="H530">
        <v>0.05</v>
      </c>
      <c r="I530">
        <v>0.06402600327276331</v>
      </c>
      <c r="J530" t="s">
        <v>515</v>
      </c>
      <c r="K530" t="s">
        <v>515</v>
      </c>
      <c r="L530">
        <v>5.5</v>
      </c>
      <c r="M530">
        <v>2.36</v>
      </c>
      <c r="N530">
        <v>0.4290909090909091</v>
      </c>
      <c r="O530">
        <v>11</v>
      </c>
      <c r="P530">
        <v>0.08262742077275398</v>
      </c>
      <c r="Q530">
        <v>0.004094696360948</v>
      </c>
      <c r="R530" t="s">
        <v>780</v>
      </c>
      <c r="S530" t="s">
        <v>787</v>
      </c>
      <c r="T530">
        <v>30801.572097</v>
      </c>
      <c r="U530" s="2">
        <v>44497</v>
      </c>
      <c r="V530" t="s">
        <v>799</v>
      </c>
    </row>
    <row r="531" spans="1:22">
      <c r="A531" s="1" t="s">
        <v>551</v>
      </c>
      <c r="B531">
        <f>HYPERLINK("https://www.suredividend.com/sure-analysis-NWL/","Newell Brands Inc")</f>
        <v>0</v>
      </c>
      <c r="C531">
        <v>22.99</v>
      </c>
      <c r="D531">
        <v>23</v>
      </c>
      <c r="E531">
        <v>0.9995652173913043</v>
      </c>
      <c r="F531">
        <v>0.04001739886907352</v>
      </c>
      <c r="G531">
        <v>8.697921328448821e-05</v>
      </c>
      <c r="H531">
        <v>0.03</v>
      </c>
      <c r="I531">
        <v>0.06340617944792948</v>
      </c>
      <c r="J531" t="s">
        <v>515</v>
      </c>
      <c r="K531" t="s">
        <v>367</v>
      </c>
      <c r="L531">
        <v>1.75</v>
      </c>
      <c r="M531">
        <v>0.92</v>
      </c>
      <c r="N531">
        <v>0.5257142857142857</v>
      </c>
      <c r="O531">
        <v>0</v>
      </c>
      <c r="P531">
        <v>0</v>
      </c>
      <c r="Q531">
        <v>0.100279018124213</v>
      </c>
      <c r="R531" t="s">
        <v>780</v>
      </c>
      <c r="S531" t="s">
        <v>792</v>
      </c>
      <c r="T531">
        <v>9779.946</v>
      </c>
      <c r="U531" s="2">
        <v>44519</v>
      </c>
      <c r="V531" t="s">
        <v>798</v>
      </c>
    </row>
    <row r="532" spans="1:22">
      <c r="A532" s="1" t="s">
        <v>552</v>
      </c>
      <c r="B532">
        <f>HYPERLINK("https://www.suredividend.com/sure-analysis-KHC/","Kraft Heinz Co")</f>
        <v>0</v>
      </c>
      <c r="C532">
        <v>35.19</v>
      </c>
      <c r="D532">
        <v>36</v>
      </c>
      <c r="E532">
        <v>0.9774999999999999</v>
      </c>
      <c r="F532">
        <v>0.04546746234725775</v>
      </c>
      <c r="G532">
        <v>0.004561770765542983</v>
      </c>
      <c r="H532">
        <v>0.02</v>
      </c>
      <c r="I532">
        <v>0.06293130731975416</v>
      </c>
      <c r="J532" t="s">
        <v>515</v>
      </c>
      <c r="K532" t="s">
        <v>367</v>
      </c>
      <c r="L532">
        <v>2.8</v>
      </c>
      <c r="M532">
        <v>1.6</v>
      </c>
      <c r="N532">
        <v>0.5714285714285715</v>
      </c>
      <c r="O532">
        <v>0</v>
      </c>
      <c r="P532">
        <v>0</v>
      </c>
      <c r="Q532">
        <v>0.09740010665269501</v>
      </c>
      <c r="R532" t="s">
        <v>780</v>
      </c>
      <c r="S532" t="s">
        <v>792</v>
      </c>
      <c r="T532">
        <v>43074.054203</v>
      </c>
      <c r="U532" s="2">
        <v>44508</v>
      </c>
      <c r="V532" t="s">
        <v>800</v>
      </c>
    </row>
    <row r="533" spans="1:22">
      <c r="A533" s="1" t="s">
        <v>553</v>
      </c>
      <c r="B533">
        <f>HYPERLINK("https://www.suredividend.com/sure-analysis-DEA/","Easterly Government Properties Inc")</f>
        <v>0</v>
      </c>
      <c r="C533">
        <v>21.52</v>
      </c>
      <c r="D533">
        <v>20.8</v>
      </c>
      <c r="E533">
        <v>1.034615384615384</v>
      </c>
      <c r="F533">
        <v>0.04925650557620818</v>
      </c>
      <c r="G533">
        <v>-0.006782841695216812</v>
      </c>
      <c r="H533">
        <v>0.021</v>
      </c>
      <c r="I533">
        <v>0.06204945042884891</v>
      </c>
      <c r="J533" t="s">
        <v>515</v>
      </c>
      <c r="K533" t="s">
        <v>777</v>
      </c>
      <c r="L533">
        <v>1.31</v>
      </c>
      <c r="M533">
        <v>1.06</v>
      </c>
      <c r="N533">
        <v>0.8091603053435115</v>
      </c>
      <c r="O533">
        <v>1</v>
      </c>
      <c r="P533">
        <v>0.04166362161741732</v>
      </c>
      <c r="Q533">
        <v>0.02965029210107</v>
      </c>
      <c r="R533" t="s">
        <v>782</v>
      </c>
      <c r="S533" t="s">
        <v>794</v>
      </c>
      <c r="T533">
        <v>1853.690578</v>
      </c>
      <c r="U533" s="2">
        <v>44506</v>
      </c>
      <c r="V533" t="s">
        <v>803</v>
      </c>
    </row>
    <row r="534" spans="1:22">
      <c r="A534" s="1" t="s">
        <v>554</v>
      </c>
      <c r="B534">
        <f>HYPERLINK("https://www.suredividend.com/sure-analysis-MPW/","Medical Properties Trust Inc")</f>
        <v>0</v>
      </c>
      <c r="C534">
        <v>22.1</v>
      </c>
      <c r="D534">
        <v>21.9</v>
      </c>
      <c r="E534">
        <v>1.009132420091324</v>
      </c>
      <c r="F534">
        <v>0.05067873303167421</v>
      </c>
      <c r="G534">
        <v>-0.00181654242623952</v>
      </c>
      <c r="H534">
        <v>0.014</v>
      </c>
      <c r="I534">
        <v>0.06165506510659657</v>
      </c>
      <c r="J534" t="s">
        <v>515</v>
      </c>
      <c r="K534" t="s">
        <v>367</v>
      </c>
      <c r="L534">
        <v>1.75</v>
      </c>
      <c r="M534">
        <v>1.12</v>
      </c>
      <c r="N534">
        <v>0.64</v>
      </c>
      <c r="O534">
        <v>9</v>
      </c>
      <c r="P534">
        <v>0.04111932758460823</v>
      </c>
      <c r="Q534">
        <v>0.17758015271243</v>
      </c>
      <c r="R534" t="s">
        <v>782</v>
      </c>
      <c r="S534" t="s">
        <v>794</v>
      </c>
      <c r="T534">
        <v>13178.23</v>
      </c>
      <c r="U534" s="2">
        <v>44503</v>
      </c>
      <c r="V534" t="s">
        <v>803</v>
      </c>
    </row>
    <row r="535" spans="1:22">
      <c r="A535" s="1" t="s">
        <v>555</v>
      </c>
      <c r="B535">
        <f>HYPERLINK("https://www.suredividend.com/sure-analysis-ADC/","Agree Realty Corp.")</f>
        <v>0</v>
      </c>
      <c r="C535">
        <v>70.12</v>
      </c>
      <c r="D535">
        <v>63</v>
      </c>
      <c r="E535">
        <v>1.113015873015873</v>
      </c>
      <c r="F535">
        <v>0.03394181403308613</v>
      </c>
      <c r="G535">
        <v>-0.02118700078280478</v>
      </c>
      <c r="H535">
        <v>0.05</v>
      </c>
      <c r="I535">
        <v>0.06080452671748904</v>
      </c>
      <c r="J535" t="s">
        <v>515</v>
      </c>
      <c r="K535" t="s">
        <v>515</v>
      </c>
      <c r="L535">
        <v>3.5</v>
      </c>
      <c r="M535">
        <v>2.38</v>
      </c>
      <c r="N535">
        <v>0.6799999999999999</v>
      </c>
      <c r="O535">
        <v>11</v>
      </c>
      <c r="P535">
        <v>0.04947750535151019</v>
      </c>
      <c r="Q535">
        <v>0.09963868118633001</v>
      </c>
      <c r="R535" t="s">
        <v>782</v>
      </c>
      <c r="S535" t="s">
        <v>794</v>
      </c>
      <c r="T535">
        <v>4892.95593</v>
      </c>
      <c r="U535" s="2">
        <v>44507</v>
      </c>
      <c r="V535" t="s">
        <v>797</v>
      </c>
    </row>
    <row r="536" spans="1:22">
      <c r="A536" s="1" t="s">
        <v>556</v>
      </c>
      <c r="B536">
        <f>HYPERLINK("https://www.suredividend.com/sure-analysis-ING/","ING Groep N.V.")</f>
        <v>0</v>
      </c>
      <c r="C536">
        <v>14.57</v>
      </c>
      <c r="D536">
        <v>14.7</v>
      </c>
      <c r="E536">
        <v>0.9911564625850341</v>
      </c>
      <c r="F536">
        <v>0.04804392587508579</v>
      </c>
      <c r="G536">
        <v>0.001778153759333323</v>
      </c>
      <c r="H536">
        <v>0.01</v>
      </c>
      <c r="I536">
        <v>0.06003988506341162</v>
      </c>
      <c r="J536" t="s">
        <v>515</v>
      </c>
      <c r="K536" t="s">
        <v>367</v>
      </c>
      <c r="L536">
        <v>1.47</v>
      </c>
      <c r="M536">
        <v>0.7</v>
      </c>
      <c r="N536">
        <v>0.4761904761904762</v>
      </c>
      <c r="O536">
        <v>0</v>
      </c>
      <c r="P536">
        <v>0.04920026914708719</v>
      </c>
      <c r="Q536">
        <v>0.49963461201972</v>
      </c>
      <c r="R536" t="s">
        <v>780</v>
      </c>
      <c r="S536" t="s">
        <v>790</v>
      </c>
      <c r="T536">
        <v>56881.695959</v>
      </c>
      <c r="U536" s="2">
        <v>44515</v>
      </c>
      <c r="V536" t="s">
        <v>795</v>
      </c>
    </row>
    <row r="537" spans="1:22">
      <c r="A537" s="1" t="s">
        <v>557</v>
      </c>
      <c r="B537">
        <f>HYPERLINK("https://www.suredividend.com/sure-analysis-MCY/","Mercury General Corp.")</f>
        <v>0</v>
      </c>
      <c r="C537">
        <v>52.31</v>
      </c>
      <c r="D537">
        <v>53</v>
      </c>
      <c r="E537">
        <v>0.9869811320754718</v>
      </c>
      <c r="F537">
        <v>0.04855668132288282</v>
      </c>
      <c r="G537">
        <v>0.002624308719345603</v>
      </c>
      <c r="H537">
        <v>0.015</v>
      </c>
      <c r="I537">
        <v>0.05991795210800666</v>
      </c>
      <c r="J537" t="s">
        <v>515</v>
      </c>
      <c r="K537" t="s">
        <v>777</v>
      </c>
      <c r="L537">
        <v>3.5</v>
      </c>
      <c r="M537">
        <v>2.54</v>
      </c>
      <c r="N537">
        <v>0.7257142857142858</v>
      </c>
      <c r="O537">
        <v>33</v>
      </c>
      <c r="P537">
        <v>0.004680391776183512</v>
      </c>
      <c r="Q537">
        <v>0.171973894399125</v>
      </c>
      <c r="R537" t="s">
        <v>780</v>
      </c>
      <c r="S537" t="s">
        <v>790</v>
      </c>
      <c r="T537">
        <v>2896.44592</v>
      </c>
      <c r="U537" s="2">
        <v>44510</v>
      </c>
      <c r="V537" t="s">
        <v>800</v>
      </c>
    </row>
    <row r="538" spans="1:22">
      <c r="A538" s="1" t="s">
        <v>558</v>
      </c>
      <c r="B538">
        <f>HYPERLINK("https://www.suredividend.com/sure-analysis-DEI/","Douglas Emmett Inc")</f>
        <v>0</v>
      </c>
      <c r="C538">
        <v>35.46</v>
      </c>
      <c r="D538">
        <v>29</v>
      </c>
      <c r="E538">
        <v>1.222758620689655</v>
      </c>
      <c r="F538">
        <v>0.03158488437676255</v>
      </c>
      <c r="G538">
        <v>-0.03942373073478489</v>
      </c>
      <c r="H538">
        <v>0.07000000000000001</v>
      </c>
      <c r="I538">
        <v>0.05962527556096187</v>
      </c>
      <c r="J538" t="s">
        <v>515</v>
      </c>
      <c r="K538" t="s">
        <v>515</v>
      </c>
      <c r="L538">
        <v>1.86</v>
      </c>
      <c r="M538">
        <v>1.12</v>
      </c>
      <c r="N538">
        <v>0.6021505376344086</v>
      </c>
      <c r="O538">
        <v>10</v>
      </c>
      <c r="P538">
        <v>0.06016789231717423</v>
      </c>
      <c r="Q538">
        <v>0.103030378439582</v>
      </c>
      <c r="R538" t="s">
        <v>782</v>
      </c>
      <c r="S538" t="s">
        <v>794</v>
      </c>
      <c r="T538">
        <v>6222.725759</v>
      </c>
      <c r="U538" s="2">
        <v>44524</v>
      </c>
      <c r="V538" t="s">
        <v>804</v>
      </c>
    </row>
    <row r="539" spans="1:22">
      <c r="A539" s="1" t="s">
        <v>559</v>
      </c>
      <c r="B539">
        <f>HYPERLINK("https://www.suredividend.com/sure-analysis-AGNC/","AGNC Investment Corp")</f>
        <v>0</v>
      </c>
      <c r="C539">
        <v>16.03</v>
      </c>
      <c r="D539">
        <v>23.5</v>
      </c>
      <c r="E539">
        <v>0.6821276595744681</v>
      </c>
      <c r="F539">
        <v>0.08983156581409855</v>
      </c>
      <c r="G539">
        <v>0.07951049271867339</v>
      </c>
      <c r="H539">
        <v>-0.099</v>
      </c>
      <c r="I539">
        <v>0.05882176983133514</v>
      </c>
      <c r="J539" t="s">
        <v>515</v>
      </c>
      <c r="K539" t="s">
        <v>777</v>
      </c>
      <c r="L539">
        <v>2.94</v>
      </c>
      <c r="M539">
        <v>1.44</v>
      </c>
      <c r="N539">
        <v>0.4897959183673469</v>
      </c>
      <c r="O539">
        <v>0</v>
      </c>
      <c r="P539">
        <v>0.008197818497166498</v>
      </c>
      <c r="Q539">
        <v>0.105585863950176</v>
      </c>
      <c r="R539" t="s">
        <v>782</v>
      </c>
      <c r="S539" t="s">
        <v>794</v>
      </c>
      <c r="T539">
        <v>8414.281363</v>
      </c>
      <c r="U539" s="2">
        <v>44503</v>
      </c>
      <c r="V539" t="s">
        <v>803</v>
      </c>
    </row>
    <row r="540" spans="1:22">
      <c r="A540" s="1" t="s">
        <v>560</v>
      </c>
      <c r="B540">
        <f>HYPERLINK("https://www.suredividend.com/sure-analysis-GEL/","Genesis Energy L.P.")</f>
        <v>0</v>
      </c>
      <c r="C540">
        <v>11.47</v>
      </c>
      <c r="D540">
        <v>10</v>
      </c>
      <c r="E540">
        <v>1.147</v>
      </c>
      <c r="F540">
        <v>0.05231037489102005</v>
      </c>
      <c r="G540">
        <v>-0.02705718234047194</v>
      </c>
      <c r="H540">
        <v>0.04</v>
      </c>
      <c r="I540">
        <v>0.05746148043374921</v>
      </c>
      <c r="J540" t="s">
        <v>515</v>
      </c>
      <c r="K540" t="s">
        <v>777</v>
      </c>
      <c r="L540">
        <v>2</v>
      </c>
      <c r="M540">
        <v>0.6</v>
      </c>
      <c r="N540">
        <v>0.3</v>
      </c>
      <c r="O540">
        <v>0</v>
      </c>
      <c r="P540">
        <v>0</v>
      </c>
      <c r="Q540">
        <v>0.8066406250000001</v>
      </c>
      <c r="R540" t="s">
        <v>781</v>
      </c>
      <c r="S540" t="s">
        <v>793</v>
      </c>
      <c r="T540">
        <v>1405.524865</v>
      </c>
      <c r="U540" s="2">
        <v>44522</v>
      </c>
      <c r="V540" t="s">
        <v>804</v>
      </c>
    </row>
    <row r="541" spans="1:22">
      <c r="A541" s="1" t="s">
        <v>561</v>
      </c>
      <c r="B541">
        <f>HYPERLINK("https://www.suredividend.com/sure-analysis-NTAP/","Netapp Inc")</f>
        <v>0</v>
      </c>
      <c r="C541">
        <v>89.78</v>
      </c>
      <c r="D541">
        <v>79</v>
      </c>
      <c r="E541">
        <v>1.136455696202532</v>
      </c>
      <c r="F541">
        <v>0.02227667631989307</v>
      </c>
      <c r="G541">
        <v>-0.02525840723895345</v>
      </c>
      <c r="H541">
        <v>0.06</v>
      </c>
      <c r="I541">
        <v>0.05561330902428141</v>
      </c>
      <c r="J541" t="s">
        <v>515</v>
      </c>
      <c r="K541" t="s">
        <v>515</v>
      </c>
      <c r="L541">
        <v>4.95</v>
      </c>
      <c r="M541">
        <v>2</v>
      </c>
      <c r="N541">
        <v>0.404040404040404</v>
      </c>
      <c r="O541">
        <v>7</v>
      </c>
      <c r="P541">
        <v>0.0602809527753625</v>
      </c>
      <c r="Q541">
        <v>0.653656721641205</v>
      </c>
      <c r="R541" t="s">
        <v>780</v>
      </c>
      <c r="S541" t="s">
        <v>786</v>
      </c>
      <c r="T541">
        <v>20077.449687</v>
      </c>
      <c r="U541" s="2">
        <v>44435</v>
      </c>
      <c r="V541" t="s">
        <v>799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99.55</v>
      </c>
      <c r="D542">
        <v>71</v>
      </c>
      <c r="E542">
        <v>1.402112676056338</v>
      </c>
      <c r="F542">
        <v>0.02571572074334505</v>
      </c>
      <c r="G542">
        <v>-0.06536203762563464</v>
      </c>
      <c r="H542">
        <v>0.1</v>
      </c>
      <c r="I542">
        <v>0.05466939685043681</v>
      </c>
      <c r="J542" t="s">
        <v>515</v>
      </c>
      <c r="K542" t="s">
        <v>515</v>
      </c>
      <c r="L542">
        <v>5.1</v>
      </c>
      <c r="M542">
        <v>2.56</v>
      </c>
      <c r="N542">
        <v>0.5019607843137255</v>
      </c>
      <c r="O542">
        <v>1</v>
      </c>
      <c r="P542">
        <v>0.06576275663547415</v>
      </c>
      <c r="Q542">
        <v>0.075937054169728</v>
      </c>
      <c r="R542" t="s">
        <v>780</v>
      </c>
      <c r="S542" t="s">
        <v>791</v>
      </c>
      <c r="T542">
        <v>8707.839491000001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22.8</v>
      </c>
      <c r="D543">
        <v>22</v>
      </c>
      <c r="E543">
        <v>1.036363636363636</v>
      </c>
      <c r="F543">
        <v>0.0337719298245614</v>
      </c>
      <c r="G543">
        <v>-0.007118161541522561</v>
      </c>
      <c r="H543">
        <v>0.03</v>
      </c>
      <c r="I543">
        <v>0.05183247712389627</v>
      </c>
      <c r="J543" t="s">
        <v>515</v>
      </c>
      <c r="K543" t="s">
        <v>367</v>
      </c>
      <c r="L543">
        <v>1.8</v>
      </c>
      <c r="M543">
        <v>0.77</v>
      </c>
      <c r="N543">
        <v>0.4277777777777778</v>
      </c>
      <c r="O543">
        <v>0</v>
      </c>
      <c r="P543">
        <v>0</v>
      </c>
      <c r="Q543">
        <v>0.268851911625577</v>
      </c>
      <c r="R543" t="s">
        <v>780</v>
      </c>
      <c r="S543" t="s">
        <v>786</v>
      </c>
      <c r="T543">
        <v>30409.806979</v>
      </c>
      <c r="U543" s="2">
        <v>44505</v>
      </c>
      <c r="V543" t="s">
        <v>800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22.37</v>
      </c>
      <c r="D544">
        <v>19</v>
      </c>
      <c r="E544">
        <v>1.177368421052632</v>
      </c>
      <c r="F544">
        <v>0.03397407241841752</v>
      </c>
      <c r="G544">
        <v>-0.03212889761690851</v>
      </c>
      <c r="H544">
        <v>0.055</v>
      </c>
      <c r="I544">
        <v>0.05147429796693626</v>
      </c>
      <c r="J544" t="s">
        <v>515</v>
      </c>
      <c r="K544" t="s">
        <v>515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0.4794092944203051</v>
      </c>
      <c r="R544" t="s">
        <v>782</v>
      </c>
      <c r="S544" t="s">
        <v>794</v>
      </c>
      <c r="T544">
        <v>4899.431228</v>
      </c>
      <c r="U544" s="2">
        <v>44512</v>
      </c>
      <c r="V544" t="s">
        <v>801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18.65</v>
      </c>
      <c r="D545">
        <v>18</v>
      </c>
      <c r="E545">
        <v>1.036111111111111</v>
      </c>
      <c r="F545">
        <v>0.032171581769437</v>
      </c>
      <c r="G545">
        <v>-0.007069768411767874</v>
      </c>
      <c r="H545">
        <v>0.03</v>
      </c>
      <c r="I545">
        <v>0.05135250781992595</v>
      </c>
      <c r="J545" t="s">
        <v>515</v>
      </c>
      <c r="K545" t="s">
        <v>515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0.375470167416476</v>
      </c>
      <c r="R545" t="s">
        <v>782</v>
      </c>
      <c r="S545" t="s">
        <v>794</v>
      </c>
      <c r="T545">
        <v>2184.619746</v>
      </c>
      <c r="U545" s="2">
        <v>44512</v>
      </c>
      <c r="V545" t="s">
        <v>801</v>
      </c>
    </row>
    <row r="546" spans="1:22">
      <c r="A546" s="1" t="s">
        <v>566</v>
      </c>
      <c r="B546">
        <f>HYPERLINK("https://www.suredividend.com/sure-analysis-WPP/","WPP Plc.")</f>
        <v>0</v>
      </c>
      <c r="C546">
        <v>73.78</v>
      </c>
      <c r="D546">
        <v>72</v>
      </c>
      <c r="E546">
        <v>1.024722222222222</v>
      </c>
      <c r="F546">
        <v>0.02629438872323123</v>
      </c>
      <c r="G546">
        <v>-0.004872405762565202</v>
      </c>
      <c r="H546">
        <v>0.03</v>
      </c>
      <c r="I546">
        <v>0.05051416582653356</v>
      </c>
      <c r="J546" t="s">
        <v>515</v>
      </c>
      <c r="K546" t="s">
        <v>515</v>
      </c>
      <c r="L546">
        <v>5.15</v>
      </c>
      <c r="M546">
        <v>1.94</v>
      </c>
      <c r="N546">
        <v>0.3766990291262136</v>
      </c>
      <c r="O546">
        <v>0</v>
      </c>
      <c r="P546">
        <v>0.03997297703182556</v>
      </c>
      <c r="Q546">
        <v>0.497347474722875</v>
      </c>
      <c r="R546" t="s">
        <v>780</v>
      </c>
      <c r="S546" t="s">
        <v>784</v>
      </c>
      <c r="T546">
        <v>17380.370168</v>
      </c>
      <c r="U546" s="2">
        <v>44413</v>
      </c>
      <c r="V546" t="s">
        <v>798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143.11</v>
      </c>
      <c r="D547">
        <v>114</v>
      </c>
      <c r="E547">
        <v>1.255350877192983</v>
      </c>
      <c r="F547">
        <v>0.01872685346935923</v>
      </c>
      <c r="G547">
        <v>-0.04446417580256257</v>
      </c>
      <c r="H547">
        <v>0.08</v>
      </c>
      <c r="I547">
        <v>0.05046253710839577</v>
      </c>
      <c r="J547" t="s">
        <v>515</v>
      </c>
      <c r="K547" t="s">
        <v>778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</v>
      </c>
      <c r="R547" t="s">
        <v>780</v>
      </c>
      <c r="S547" t="s">
        <v>786</v>
      </c>
      <c r="T547">
        <v>0</v>
      </c>
      <c r="U547" s="2">
        <v>44514</v>
      </c>
      <c r="V547" t="s">
        <v>798</v>
      </c>
    </row>
    <row r="548" spans="1:22">
      <c r="A548" s="1" t="s">
        <v>568</v>
      </c>
      <c r="B548">
        <f>HYPERLINK("https://www.suredividend.com/sure-analysis-JNPR/","Juniper Networks Inc")</f>
        <v>0</v>
      </c>
      <c r="C548">
        <v>32.42</v>
      </c>
      <c r="D548">
        <v>26</v>
      </c>
      <c r="E548">
        <v>1.246923076923077</v>
      </c>
      <c r="F548">
        <v>0.02467612584824183</v>
      </c>
      <c r="G548">
        <v>-0.0431759838955913</v>
      </c>
      <c r="H548">
        <v>0.07000000000000001</v>
      </c>
      <c r="I548">
        <v>0.04861557062315192</v>
      </c>
      <c r="J548" t="s">
        <v>515</v>
      </c>
      <c r="K548" t="s">
        <v>515</v>
      </c>
      <c r="L548">
        <v>1.8</v>
      </c>
      <c r="M548">
        <v>0.8</v>
      </c>
      <c r="N548">
        <v>0.4444444444444445</v>
      </c>
      <c r="O548">
        <v>3</v>
      </c>
      <c r="P548">
        <v>0.04978904632428516</v>
      </c>
      <c r="Q548">
        <v>0.501628076091135</v>
      </c>
      <c r="R548" t="s">
        <v>780</v>
      </c>
      <c r="S548" t="s">
        <v>786</v>
      </c>
      <c r="T548">
        <v>10542.371683</v>
      </c>
      <c r="U548" s="2">
        <v>44498</v>
      </c>
      <c r="V548" t="s">
        <v>801</v>
      </c>
    </row>
    <row r="549" spans="1:22">
      <c r="A549" s="1" t="s">
        <v>569</v>
      </c>
      <c r="B549">
        <f>HYPERLINK("https://www.suredividend.com/sure-analysis-GLW/","Corning, Inc.")</f>
        <v>0</v>
      </c>
      <c r="C549">
        <v>39.04</v>
      </c>
      <c r="D549">
        <v>34</v>
      </c>
      <c r="E549">
        <v>1.148235294117647</v>
      </c>
      <c r="F549">
        <v>0.02459016393442623</v>
      </c>
      <c r="G549">
        <v>-0.02726661468906943</v>
      </c>
      <c r="H549">
        <v>0.05</v>
      </c>
      <c r="I549">
        <v>0.046516337112676</v>
      </c>
      <c r="J549" t="s">
        <v>515</v>
      </c>
      <c r="K549" t="s">
        <v>515</v>
      </c>
      <c r="L549">
        <v>2.15</v>
      </c>
      <c r="M549">
        <v>0.96</v>
      </c>
      <c r="N549">
        <v>0.4465116279069767</v>
      </c>
      <c r="O549">
        <v>11</v>
      </c>
      <c r="P549">
        <v>0.05251935381426631</v>
      </c>
      <c r="Q549">
        <v>0.06628501820386601</v>
      </c>
      <c r="R549" t="s">
        <v>780</v>
      </c>
      <c r="S549" t="s">
        <v>786</v>
      </c>
      <c r="T549">
        <v>33317.066239</v>
      </c>
      <c r="U549" s="2">
        <v>44497</v>
      </c>
      <c r="V549" t="s">
        <v>799</v>
      </c>
    </row>
    <row r="550" spans="1:22">
      <c r="A550" s="1" t="s">
        <v>570</v>
      </c>
      <c r="B550">
        <f>HYPERLINK("https://www.suredividend.com/sure-analysis-HBAN/","Huntington Bancshares, Inc.")</f>
        <v>0</v>
      </c>
      <c r="C550">
        <v>16.35</v>
      </c>
      <c r="D550">
        <v>14</v>
      </c>
      <c r="E550">
        <v>1.167857142857143</v>
      </c>
      <c r="F550">
        <v>0.03792048929663609</v>
      </c>
      <c r="G550">
        <v>-0.03055749860904555</v>
      </c>
      <c r="H550">
        <v>0.04</v>
      </c>
      <c r="I550">
        <v>0.04641350646774089</v>
      </c>
      <c r="J550" t="s">
        <v>515</v>
      </c>
      <c r="K550" t="s">
        <v>367</v>
      </c>
      <c r="L550">
        <v>1.25</v>
      </c>
      <c r="M550">
        <v>0.62</v>
      </c>
      <c r="N550">
        <v>0.496</v>
      </c>
      <c r="O550">
        <v>1</v>
      </c>
      <c r="P550">
        <v>0.03880472124431766</v>
      </c>
      <c r="Q550">
        <v>0.318442061124103</v>
      </c>
      <c r="R550" t="s">
        <v>780</v>
      </c>
      <c r="S550" t="s">
        <v>790</v>
      </c>
      <c r="T550">
        <v>23649.641421</v>
      </c>
      <c r="U550" s="2">
        <v>44499</v>
      </c>
      <c r="V550" t="s">
        <v>799</v>
      </c>
    </row>
    <row r="551" spans="1:22">
      <c r="A551" s="1" t="s">
        <v>571</v>
      </c>
      <c r="B551">
        <f>HYPERLINK("https://www.suredividend.com/sure-analysis-BXP/","Boston Properties, Inc.")</f>
        <v>0</v>
      </c>
      <c r="C551">
        <v>118.11</v>
      </c>
      <c r="D551">
        <v>103</v>
      </c>
      <c r="E551">
        <v>1.146699029126214</v>
      </c>
      <c r="F551">
        <v>0.03318939971213276</v>
      </c>
      <c r="G551">
        <v>-0.02700611458784641</v>
      </c>
      <c r="H551">
        <v>0.044</v>
      </c>
      <c r="I551">
        <v>0.04606738924876685</v>
      </c>
      <c r="J551" t="s">
        <v>515</v>
      </c>
      <c r="K551" t="s">
        <v>515</v>
      </c>
      <c r="L551">
        <v>6.45</v>
      </c>
      <c r="M551">
        <v>3.92</v>
      </c>
      <c r="N551">
        <v>0.6077519379844961</v>
      </c>
      <c r="O551">
        <v>5</v>
      </c>
      <c r="P551">
        <v>0.01000199077119301</v>
      </c>
      <c r="Q551">
        <v>0.173931971382736</v>
      </c>
      <c r="R551" t="s">
        <v>782</v>
      </c>
      <c r="S551" t="s">
        <v>794</v>
      </c>
      <c r="T551">
        <v>18449.602156</v>
      </c>
      <c r="U551" s="2">
        <v>44503</v>
      </c>
      <c r="V551" t="s">
        <v>803</v>
      </c>
    </row>
    <row r="552" spans="1:22">
      <c r="A552" s="1" t="s">
        <v>572</v>
      </c>
      <c r="B552">
        <f>HYPERLINK("https://www.suredividend.com/sure-analysis-BBD/","Banco Bradesco S.A.")</f>
        <v>0</v>
      </c>
      <c r="C552">
        <v>3.76</v>
      </c>
      <c r="D552">
        <v>3.5</v>
      </c>
      <c r="E552">
        <v>1.074285714285714</v>
      </c>
      <c r="F552">
        <v>0.06382978723404255</v>
      </c>
      <c r="G552">
        <v>-0.01422899497840957</v>
      </c>
      <c r="H552">
        <v>0</v>
      </c>
      <c r="I552">
        <v>0.04563955259127317</v>
      </c>
      <c r="J552" t="s">
        <v>515</v>
      </c>
      <c r="K552" t="s">
        <v>777</v>
      </c>
      <c r="L552">
        <v>0.5</v>
      </c>
      <c r="M552">
        <v>0.24</v>
      </c>
      <c r="N552">
        <v>0.48</v>
      </c>
      <c r="O552">
        <v>0</v>
      </c>
      <c r="P552">
        <v>0</v>
      </c>
      <c r="Q552">
        <v>-0.100758137421376</v>
      </c>
      <c r="R552" t="s">
        <v>780</v>
      </c>
      <c r="S552" t="s">
        <v>790</v>
      </c>
      <c r="T552">
        <v>34108.449567</v>
      </c>
      <c r="U552" s="2">
        <v>44506</v>
      </c>
      <c r="V552" t="s">
        <v>795</v>
      </c>
    </row>
    <row r="553" spans="1:22">
      <c r="A553" s="1" t="s">
        <v>573</v>
      </c>
      <c r="B553">
        <f>HYPERLINK("https://www.suredividend.com/sure-analysis-AVGO/","Broadcom Inc")</f>
        <v>0</v>
      </c>
      <c r="C553">
        <v>558.73</v>
      </c>
      <c r="D553">
        <v>420</v>
      </c>
      <c r="E553">
        <v>1.330309523809524</v>
      </c>
      <c r="F553">
        <v>0.02577273459452687</v>
      </c>
      <c r="G553">
        <v>-0.05548369394011143</v>
      </c>
      <c r="H553">
        <v>0.075</v>
      </c>
      <c r="I553">
        <v>0.04437701713333753</v>
      </c>
      <c r="J553" t="s">
        <v>515</v>
      </c>
      <c r="K553" t="s">
        <v>515</v>
      </c>
      <c r="L553">
        <v>28</v>
      </c>
      <c r="M553">
        <v>14.4</v>
      </c>
      <c r="N553">
        <v>0.5142857142857143</v>
      </c>
      <c r="O553">
        <v>10</v>
      </c>
      <c r="P553">
        <v>0.08001710619661218</v>
      </c>
      <c r="Q553">
        <v>0.469891080789421</v>
      </c>
      <c r="R553" t="s">
        <v>780</v>
      </c>
      <c r="S553" t="s">
        <v>786</v>
      </c>
      <c r="T553">
        <v>229982.368594</v>
      </c>
      <c r="U553" s="2">
        <v>44453</v>
      </c>
      <c r="V553" t="s">
        <v>800</v>
      </c>
    </row>
    <row r="554" spans="1:22">
      <c r="A554" s="1" t="s">
        <v>574</v>
      </c>
      <c r="B554">
        <f>HYPERLINK("https://www.suredividend.com/sure-analysis-COP/","Conoco Phillips")</f>
        <v>0</v>
      </c>
      <c r="C554">
        <v>74.83</v>
      </c>
      <c r="D554">
        <v>74</v>
      </c>
      <c r="E554">
        <v>1.011216216216216</v>
      </c>
      <c r="F554">
        <v>0.02458906855539222</v>
      </c>
      <c r="G554">
        <v>-0.002228269890168111</v>
      </c>
      <c r="H554">
        <v>0.02</v>
      </c>
      <c r="I554">
        <v>0.04168909144059163</v>
      </c>
      <c r="J554" t="s">
        <v>515</v>
      </c>
      <c r="K554" t="s">
        <v>515</v>
      </c>
      <c r="L554">
        <v>5.8</v>
      </c>
      <c r="M554">
        <v>1.84</v>
      </c>
      <c r="N554">
        <v>0.3172413793103449</v>
      </c>
      <c r="O554">
        <v>6</v>
      </c>
      <c r="P554">
        <v>0.03066894385040531</v>
      </c>
      <c r="Q554">
        <v>0.7371622249048191</v>
      </c>
      <c r="R554" t="s">
        <v>780</v>
      </c>
      <c r="S554" t="s">
        <v>793</v>
      </c>
      <c r="T554">
        <v>98696.794058</v>
      </c>
      <c r="U554" s="2">
        <v>44504</v>
      </c>
      <c r="V554" t="s">
        <v>804</v>
      </c>
    </row>
    <row r="555" spans="1:22">
      <c r="A555" s="1" t="s">
        <v>575</v>
      </c>
      <c r="B555">
        <f>HYPERLINK("https://www.suredividend.com/sure-analysis-CCI/","Crown Castle International Corp")</f>
        <v>0</v>
      </c>
      <c r="C555">
        <v>186.66</v>
      </c>
      <c r="D555">
        <v>152</v>
      </c>
      <c r="E555">
        <v>1.228026315789474</v>
      </c>
      <c r="F555">
        <v>0.03150112504018</v>
      </c>
      <c r="G555">
        <v>-0.04024923868476227</v>
      </c>
      <c r="H555">
        <v>0.05</v>
      </c>
      <c r="I555">
        <v>0.04091140130062021</v>
      </c>
      <c r="J555" t="s">
        <v>515</v>
      </c>
      <c r="K555" t="s">
        <v>515</v>
      </c>
      <c r="L555">
        <v>6.35</v>
      </c>
      <c r="M555">
        <v>5.88</v>
      </c>
      <c r="N555">
        <v>0.925984251968504</v>
      </c>
      <c r="O555">
        <v>7</v>
      </c>
      <c r="P555">
        <v>0.04987304960985517</v>
      </c>
      <c r="Q555">
        <v>0.171917673191551</v>
      </c>
      <c r="R555" t="s">
        <v>782</v>
      </c>
      <c r="S555" t="s">
        <v>794</v>
      </c>
      <c r="T555">
        <v>80675.05827199999</v>
      </c>
      <c r="U555" s="2">
        <v>44493</v>
      </c>
      <c r="V555" t="s">
        <v>798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59.84</v>
      </c>
      <c r="D556">
        <v>62</v>
      </c>
      <c r="E556">
        <v>0.9651612903225807</v>
      </c>
      <c r="F556">
        <v>0.03074866310160428</v>
      </c>
      <c r="G556">
        <v>0.007117218136884595</v>
      </c>
      <c r="H556">
        <v>0</v>
      </c>
      <c r="I556">
        <v>0.04052394568387974</v>
      </c>
      <c r="J556" t="s">
        <v>515</v>
      </c>
      <c r="K556" t="s">
        <v>367</v>
      </c>
      <c r="L556">
        <v>5.15</v>
      </c>
      <c r="M556">
        <v>1.84</v>
      </c>
      <c r="N556">
        <v>0.3572815533980582</v>
      </c>
      <c r="O556">
        <v>10</v>
      </c>
      <c r="P556">
        <v>0.05979888147511248</v>
      </c>
      <c r="Q556">
        <v>0.3605101913217451</v>
      </c>
      <c r="R556" t="s">
        <v>780</v>
      </c>
      <c r="S556" t="s">
        <v>790</v>
      </c>
      <c r="T556">
        <v>88730.613111</v>
      </c>
      <c r="U556" s="2">
        <v>44491</v>
      </c>
      <c r="V556" t="s">
        <v>798</v>
      </c>
    </row>
    <row r="557" spans="1:22">
      <c r="A557" s="1" t="s">
        <v>577</v>
      </c>
      <c r="B557">
        <f>HYPERLINK("https://www.suredividend.com/sure-analysis-AES/","AES Corp.")</f>
        <v>0</v>
      </c>
      <c r="C557">
        <v>24.72</v>
      </c>
      <c r="D557">
        <v>19</v>
      </c>
      <c r="E557">
        <v>1.301052631578947</v>
      </c>
      <c r="F557">
        <v>0.02427184466019417</v>
      </c>
      <c r="G557">
        <v>-0.05127351012488501</v>
      </c>
      <c r="H557">
        <v>0.07000000000000001</v>
      </c>
      <c r="I557">
        <v>0.04045520691099491</v>
      </c>
      <c r="J557" t="s">
        <v>515</v>
      </c>
      <c r="K557" t="s">
        <v>515</v>
      </c>
      <c r="L557">
        <v>1.54</v>
      </c>
      <c r="M557">
        <v>0.6</v>
      </c>
      <c r="N557">
        <v>0.3896103896103896</v>
      </c>
      <c r="O557">
        <v>10</v>
      </c>
      <c r="P557">
        <v>0.05115774595007161</v>
      </c>
      <c r="Q557">
        <v>0.197424955072344</v>
      </c>
      <c r="R557" t="s">
        <v>780</v>
      </c>
      <c r="S557" t="s">
        <v>793</v>
      </c>
      <c r="T557">
        <v>16481.165853</v>
      </c>
      <c r="U557" s="2">
        <v>44513</v>
      </c>
      <c r="V557" t="s">
        <v>801</v>
      </c>
    </row>
    <row r="558" spans="1:22">
      <c r="A558" s="1" t="s">
        <v>578</v>
      </c>
      <c r="B558">
        <f>HYPERLINK("https://www.suredividend.com/sure-analysis-NSP/","Insperity Inc")</f>
        <v>0</v>
      </c>
      <c r="C558">
        <v>125.09</v>
      </c>
      <c r="D558">
        <v>96</v>
      </c>
      <c r="E558">
        <v>1.303020833333333</v>
      </c>
      <c r="F558">
        <v>0.0143896394595891</v>
      </c>
      <c r="G558">
        <v>-0.05156029208950641</v>
      </c>
      <c r="H558">
        <v>0.08</v>
      </c>
      <c r="I558">
        <v>0.03906268140060631</v>
      </c>
      <c r="J558" t="s">
        <v>515</v>
      </c>
      <c r="K558" t="s">
        <v>778</v>
      </c>
      <c r="L558">
        <v>4.36</v>
      </c>
      <c r="M558">
        <v>1.8</v>
      </c>
      <c r="N558">
        <v>0.4128440366972477</v>
      </c>
      <c r="O558">
        <v>14</v>
      </c>
      <c r="P558">
        <v>0.05024607263868264</v>
      </c>
      <c r="Q558">
        <v>0.435891667030164</v>
      </c>
      <c r="R558" t="s">
        <v>780</v>
      </c>
      <c r="S558" t="s">
        <v>790</v>
      </c>
      <c r="T558">
        <v>4816.183407</v>
      </c>
      <c r="U558" s="2">
        <v>44502</v>
      </c>
      <c r="V558" t="s">
        <v>801</v>
      </c>
    </row>
    <row r="559" spans="1:22">
      <c r="A559" s="1" t="s">
        <v>579</v>
      </c>
      <c r="B559">
        <f>HYPERLINK("https://www.suredividend.com/sure-analysis-HMC/","Honda Motor")</f>
        <v>0</v>
      </c>
      <c r="C559">
        <v>28.56</v>
      </c>
      <c r="D559">
        <v>25</v>
      </c>
      <c r="E559">
        <v>1.1424</v>
      </c>
      <c r="F559">
        <v>0.0350140056022409</v>
      </c>
      <c r="G559">
        <v>-0.02627490891087148</v>
      </c>
      <c r="H559">
        <v>0.029</v>
      </c>
      <c r="I559">
        <v>0.03720417953876565</v>
      </c>
      <c r="J559" t="s">
        <v>515</v>
      </c>
      <c r="K559" t="s">
        <v>367</v>
      </c>
      <c r="L559">
        <v>2.93</v>
      </c>
      <c r="M559">
        <v>1</v>
      </c>
      <c r="N559">
        <v>0.341296928327645</v>
      </c>
      <c r="O559">
        <v>0</v>
      </c>
      <c r="P559">
        <v>0.02834672210021361</v>
      </c>
      <c r="Q559">
        <v>0.00058858151854</v>
      </c>
      <c r="R559" t="s">
        <v>780</v>
      </c>
      <c r="S559" t="s">
        <v>791</v>
      </c>
      <c r="T559">
        <v>51734.395961</v>
      </c>
      <c r="U559" s="2">
        <v>44507</v>
      </c>
      <c r="V559" t="s">
        <v>796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73.95</v>
      </c>
      <c r="D560">
        <v>60</v>
      </c>
      <c r="E560">
        <v>1.2325</v>
      </c>
      <c r="F560">
        <v>0.02839756592292089</v>
      </c>
      <c r="G560">
        <v>-0.04094698625017246</v>
      </c>
      <c r="H560">
        <v>0.05</v>
      </c>
      <c r="I560">
        <v>0.03718490390776052</v>
      </c>
      <c r="J560" t="s">
        <v>515</v>
      </c>
      <c r="K560" t="s">
        <v>515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0.681362005538604</v>
      </c>
      <c r="R560" t="s">
        <v>780</v>
      </c>
      <c r="S560" t="s">
        <v>790</v>
      </c>
      <c r="T560">
        <v>18234.552694</v>
      </c>
      <c r="U560" s="2">
        <v>44522</v>
      </c>
      <c r="V560" t="s">
        <v>798</v>
      </c>
    </row>
    <row r="561" spans="1:22">
      <c r="A561" s="1" t="s">
        <v>581</v>
      </c>
      <c r="B561">
        <f>HYPERLINK("https://www.suredividend.com/sure-analysis-TJX/","TJX Companies, Inc.")</f>
        <v>0</v>
      </c>
      <c r="C561">
        <v>71.48</v>
      </c>
      <c r="D561">
        <v>51</v>
      </c>
      <c r="E561">
        <v>1.40156862745098</v>
      </c>
      <c r="F561">
        <v>0.01454952434247342</v>
      </c>
      <c r="G561">
        <v>-0.06528948897747977</v>
      </c>
      <c r="H561">
        <v>0.09</v>
      </c>
      <c r="I561">
        <v>0.03632575149502504</v>
      </c>
      <c r="J561" t="s">
        <v>515</v>
      </c>
      <c r="K561" t="s">
        <v>778</v>
      </c>
      <c r="L561">
        <v>2.36</v>
      </c>
      <c r="M561">
        <v>1.04</v>
      </c>
      <c r="N561">
        <v>0.440677966101695</v>
      </c>
      <c r="O561">
        <v>0</v>
      </c>
      <c r="P561">
        <v>0.09935163429189564</v>
      </c>
      <c r="Q561">
        <v>0.12767424286645</v>
      </c>
      <c r="R561" t="s">
        <v>780</v>
      </c>
      <c r="S561" t="s">
        <v>791</v>
      </c>
      <c r="T561">
        <v>85957.501802</v>
      </c>
      <c r="U561" s="2">
        <v>44429</v>
      </c>
      <c r="V561" t="s">
        <v>805</v>
      </c>
    </row>
    <row r="562" spans="1:22">
      <c r="A562" s="1" t="s">
        <v>582</v>
      </c>
      <c r="B562">
        <f>HYPERLINK("https://www.suredividend.com/sure-analysis-DOC/","Physicians Realty Trust")</f>
        <v>0</v>
      </c>
      <c r="C562">
        <v>18.43</v>
      </c>
      <c r="D562">
        <v>16</v>
      </c>
      <c r="E562">
        <v>1.151875</v>
      </c>
      <c r="F562">
        <v>0.04991861096039067</v>
      </c>
      <c r="G562">
        <v>-0.02788212362945175</v>
      </c>
      <c r="H562">
        <v>0.017</v>
      </c>
      <c r="I562">
        <v>0.03611325827584788</v>
      </c>
      <c r="J562" t="s">
        <v>515</v>
      </c>
      <c r="K562" t="s">
        <v>777</v>
      </c>
      <c r="L562">
        <v>1.06</v>
      </c>
      <c r="M562">
        <v>0.92</v>
      </c>
      <c r="N562">
        <v>0.8679245283018868</v>
      </c>
      <c r="O562">
        <v>0</v>
      </c>
      <c r="P562">
        <v>0</v>
      </c>
      <c r="Q562">
        <v>0.087136048322401</v>
      </c>
      <c r="R562" t="s">
        <v>782</v>
      </c>
      <c r="S562" t="s">
        <v>794</v>
      </c>
      <c r="T562">
        <v>4059.93519</v>
      </c>
      <c r="U562" s="2">
        <v>44506</v>
      </c>
      <c r="V562" t="s">
        <v>796</v>
      </c>
    </row>
    <row r="563" spans="1:22">
      <c r="A563" s="1" t="s">
        <v>583</v>
      </c>
      <c r="B563">
        <f>HYPERLINK("https://www.suredividend.com/sure-analysis-TU/","Telus Corp.")</f>
        <v>0</v>
      </c>
      <c r="C563">
        <v>23.3</v>
      </c>
      <c r="D563">
        <v>15</v>
      </c>
      <c r="E563">
        <v>1.553333333333333</v>
      </c>
      <c r="F563">
        <v>0.04506437768240344</v>
      </c>
      <c r="G563">
        <v>-0.08431295983368325</v>
      </c>
      <c r="H563">
        <v>0.08</v>
      </c>
      <c r="I563">
        <v>0.03587094824728987</v>
      </c>
      <c r="J563" t="s">
        <v>515</v>
      </c>
      <c r="K563" t="s">
        <v>367</v>
      </c>
      <c r="L563">
        <v>0.95</v>
      </c>
      <c r="M563">
        <v>1.05</v>
      </c>
      <c r="N563">
        <v>1.105263157894737</v>
      </c>
      <c r="O563">
        <v>14</v>
      </c>
      <c r="P563">
        <v>0.03046704262958766</v>
      </c>
      <c r="Q563">
        <v>0.273551130618246</v>
      </c>
      <c r="R563" t="s">
        <v>780</v>
      </c>
      <c r="S563" t="s">
        <v>784</v>
      </c>
      <c r="T563">
        <v>31706.28619</v>
      </c>
      <c r="U563" s="2">
        <v>44522</v>
      </c>
      <c r="V563" t="s">
        <v>804</v>
      </c>
    </row>
    <row r="564" spans="1:22">
      <c r="A564" s="1" t="s">
        <v>584</v>
      </c>
      <c r="B564">
        <f>HYPERLINK("https://www.suredividend.com/sure-analysis-STX/","Seagate Technology Holdings Plc")</f>
        <v>0</v>
      </c>
      <c r="C564">
        <v>101.04</v>
      </c>
      <c r="D564">
        <v>89</v>
      </c>
      <c r="E564">
        <v>1.135280898876404</v>
      </c>
      <c r="F564">
        <v>0.02771179730799683</v>
      </c>
      <c r="G564">
        <v>-0.02505675668376239</v>
      </c>
      <c r="H564">
        <v>0.03</v>
      </c>
      <c r="I564">
        <v>0.03198662771848504</v>
      </c>
      <c r="J564" t="s">
        <v>515</v>
      </c>
      <c r="K564" t="s">
        <v>515</v>
      </c>
      <c r="L564">
        <v>8.9</v>
      </c>
      <c r="M564">
        <v>2.8</v>
      </c>
      <c r="N564">
        <v>0.3146067415730337</v>
      </c>
      <c r="O564">
        <v>3</v>
      </c>
      <c r="P564">
        <v>0.02513307572787737</v>
      </c>
      <c r="Q564">
        <v>0.023129780731866</v>
      </c>
      <c r="R564" t="s">
        <v>780</v>
      </c>
      <c r="S564" t="s">
        <v>786</v>
      </c>
      <c r="T564">
        <v>22495.135883</v>
      </c>
      <c r="U564" s="2">
        <v>44507</v>
      </c>
      <c r="V564" t="s">
        <v>800</v>
      </c>
    </row>
    <row r="565" spans="1:22">
      <c r="A565" s="1" t="s">
        <v>585</v>
      </c>
      <c r="B565">
        <f>HYPERLINK("https://www.suredividend.com/sure-analysis-CODI/","Compass Diversified Holdings")</f>
        <v>0</v>
      </c>
      <c r="C565">
        <v>31.12</v>
      </c>
      <c r="D565">
        <v>24</v>
      </c>
      <c r="E565">
        <v>1.296666666666667</v>
      </c>
      <c r="F565">
        <v>0.04627249357326478</v>
      </c>
      <c r="G565">
        <v>-0.0506325647420931</v>
      </c>
      <c r="H565">
        <v>0.04</v>
      </c>
      <c r="I565">
        <v>0.03183812588123724</v>
      </c>
      <c r="J565" t="s">
        <v>515</v>
      </c>
      <c r="K565" t="s">
        <v>367</v>
      </c>
      <c r="L565">
        <v>2.4</v>
      </c>
      <c r="M565">
        <v>1.44</v>
      </c>
      <c r="N565">
        <v>0.6</v>
      </c>
      <c r="O565">
        <v>0</v>
      </c>
      <c r="P565">
        <v>0</v>
      </c>
      <c r="Q565">
        <v>0.7259739107285471</v>
      </c>
      <c r="R565" t="s">
        <v>780</v>
      </c>
      <c r="S565" t="s">
        <v>787</v>
      </c>
      <c r="T565">
        <v>2052.385628</v>
      </c>
      <c r="U565" s="2">
        <v>44504</v>
      </c>
      <c r="V565" t="s">
        <v>800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58.46</v>
      </c>
      <c r="D566">
        <v>50</v>
      </c>
      <c r="E566">
        <v>1.1692</v>
      </c>
      <c r="F566">
        <v>0.03147451248717072</v>
      </c>
      <c r="G566">
        <v>-0.0307802870577667</v>
      </c>
      <c r="H566">
        <v>0.03</v>
      </c>
      <c r="I566">
        <v>0.02986340500137685</v>
      </c>
      <c r="J566" t="s">
        <v>515</v>
      </c>
      <c r="K566" t="s">
        <v>515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0.370495661816246</v>
      </c>
      <c r="R566" t="s">
        <v>780</v>
      </c>
      <c r="S566" t="s">
        <v>791</v>
      </c>
      <c r="T566">
        <v>3350.779472</v>
      </c>
      <c r="U566" s="2">
        <v>44511</v>
      </c>
      <c r="V566" t="s">
        <v>800</v>
      </c>
    </row>
    <row r="567" spans="1:22">
      <c r="A567" s="1" t="s">
        <v>587</v>
      </c>
      <c r="B567">
        <f>HYPERLINK("https://www.suredividend.com/sure-analysis-TSM/","Taiwan Semiconductor Manufacturing")</f>
        <v>0</v>
      </c>
      <c r="C567">
        <v>120.71</v>
      </c>
      <c r="D567">
        <v>72</v>
      </c>
      <c r="E567">
        <v>1.676527777777778</v>
      </c>
      <c r="F567">
        <v>0.01656863557286058</v>
      </c>
      <c r="G567">
        <v>-0.09818418061572787</v>
      </c>
      <c r="H567">
        <v>0.12</v>
      </c>
      <c r="I567">
        <v>0.02945200199155318</v>
      </c>
      <c r="J567" t="s">
        <v>515</v>
      </c>
      <c r="K567" t="s">
        <v>778</v>
      </c>
      <c r="L567">
        <v>4.05</v>
      </c>
      <c r="M567">
        <v>2</v>
      </c>
      <c r="N567">
        <v>0.4938271604938272</v>
      </c>
      <c r="O567">
        <v>7</v>
      </c>
      <c r="P567">
        <v>0.08009875865888949</v>
      </c>
      <c r="Q567">
        <v>0.269091302871357</v>
      </c>
      <c r="R567" t="s">
        <v>780</v>
      </c>
      <c r="S567" t="s">
        <v>786</v>
      </c>
      <c r="T567">
        <v>626011.245065</v>
      </c>
      <c r="U567" s="2">
        <v>44490</v>
      </c>
      <c r="V567" t="s">
        <v>804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17.67</v>
      </c>
      <c r="D568">
        <v>16</v>
      </c>
      <c r="E568">
        <v>1.104375</v>
      </c>
      <c r="F568">
        <v>0.0209394453876627</v>
      </c>
      <c r="G568">
        <v>-0.01966008245346751</v>
      </c>
      <c r="H568">
        <v>0.02</v>
      </c>
      <c r="I568">
        <v>0.02249656569063752</v>
      </c>
      <c r="J568" t="s">
        <v>515</v>
      </c>
      <c r="K568" t="s">
        <v>515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0.211012192363838</v>
      </c>
      <c r="R568" t="s">
        <v>780</v>
      </c>
      <c r="S568" t="s">
        <v>790</v>
      </c>
      <c r="T568">
        <v>65421.814322</v>
      </c>
      <c r="U568" s="2">
        <v>44498</v>
      </c>
      <c r="V568" t="s">
        <v>804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8.48</v>
      </c>
      <c r="D569">
        <v>7</v>
      </c>
      <c r="E569">
        <v>1.211428571428572</v>
      </c>
      <c r="F569">
        <v>0.03183962264150943</v>
      </c>
      <c r="G569">
        <v>-0.03763363127725794</v>
      </c>
      <c r="H569">
        <v>0.03</v>
      </c>
      <c r="I569">
        <v>0.0222196038400031</v>
      </c>
      <c r="J569" t="s">
        <v>515</v>
      </c>
      <c r="K569" t="s">
        <v>515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-0.002200336522056</v>
      </c>
      <c r="R569" t="s">
        <v>780</v>
      </c>
      <c r="S569" t="s">
        <v>784</v>
      </c>
      <c r="T569">
        <v>6417.469664</v>
      </c>
      <c r="U569" s="2">
        <v>44502</v>
      </c>
      <c r="V569" t="s">
        <v>800</v>
      </c>
    </row>
    <row r="570" spans="1:22">
      <c r="A570" s="1" t="s">
        <v>590</v>
      </c>
      <c r="B570">
        <f>HYPERLINK("https://www.suredividend.com/sure-analysis-RGA/","Reinsurance Group Of America, Inc.")</f>
        <v>0</v>
      </c>
      <c r="C570">
        <v>107.43</v>
      </c>
      <c r="D570">
        <v>50</v>
      </c>
      <c r="E570">
        <v>2.1486</v>
      </c>
      <c r="F570">
        <v>0.02718048962114865</v>
      </c>
      <c r="G570">
        <v>-0.1418387786290018</v>
      </c>
      <c r="H570">
        <v>0.15</v>
      </c>
      <c r="I570">
        <v>0.02170919896203594</v>
      </c>
      <c r="J570" t="s">
        <v>515</v>
      </c>
      <c r="K570" t="s">
        <v>515</v>
      </c>
      <c r="L570">
        <v>4.2</v>
      </c>
      <c r="M570">
        <v>2.92</v>
      </c>
      <c r="N570">
        <v>0.6952380952380952</v>
      </c>
      <c r="O570">
        <v>11</v>
      </c>
      <c r="P570">
        <v>0.08986498009382693</v>
      </c>
      <c r="Q570">
        <v>-0.117756475164881</v>
      </c>
      <c r="R570" t="s">
        <v>780</v>
      </c>
      <c r="S570" t="s">
        <v>790</v>
      </c>
      <c r="T570">
        <v>7262.284222</v>
      </c>
      <c r="U570" s="2">
        <v>44511</v>
      </c>
      <c r="V570" t="s">
        <v>801</v>
      </c>
    </row>
    <row r="571" spans="1:22">
      <c r="A571" s="1" t="s">
        <v>591</v>
      </c>
      <c r="B571">
        <f>HYPERLINK("https://www.suredividend.com/sure-analysis-EGP/","Eastgroup Properties, Inc.")</f>
        <v>0</v>
      </c>
      <c r="C571">
        <v>209.65</v>
      </c>
      <c r="D571">
        <v>145</v>
      </c>
      <c r="E571">
        <v>1.445862068965517</v>
      </c>
      <c r="F571">
        <v>0.01717147626997377</v>
      </c>
      <c r="G571">
        <v>-0.07108788488261686</v>
      </c>
      <c r="H571">
        <v>0.075</v>
      </c>
      <c r="I571">
        <v>0.01898428034206479</v>
      </c>
      <c r="J571" t="s">
        <v>515</v>
      </c>
      <c r="K571" t="s">
        <v>778</v>
      </c>
      <c r="L571">
        <v>6.05</v>
      </c>
      <c r="M571">
        <v>3.6</v>
      </c>
      <c r="N571">
        <v>0.5950413223140496</v>
      </c>
      <c r="O571">
        <v>11</v>
      </c>
      <c r="P571">
        <v>0.07003448782339894</v>
      </c>
      <c r="Q571">
        <v>0.5564320771259791</v>
      </c>
      <c r="R571" t="s">
        <v>782</v>
      </c>
      <c r="S571" t="s">
        <v>794</v>
      </c>
      <c r="T571">
        <v>8529.457834000001</v>
      </c>
      <c r="U571" s="2">
        <v>44500</v>
      </c>
      <c r="V571" t="s">
        <v>795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552.58</v>
      </c>
      <c r="D572">
        <v>266</v>
      </c>
      <c r="E572">
        <v>2.077368421052632</v>
      </c>
      <c r="F572">
        <v>0.004343262514025118</v>
      </c>
      <c r="G572">
        <v>-0.1360327207223723</v>
      </c>
      <c r="H572">
        <v>0.17</v>
      </c>
      <c r="I572">
        <v>0.01816277911832587</v>
      </c>
      <c r="J572" t="s">
        <v>515</v>
      </c>
      <c r="K572" t="s">
        <v>778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0.8245177036791481</v>
      </c>
      <c r="R572" t="s">
        <v>780</v>
      </c>
      <c r="S572" t="s">
        <v>786</v>
      </c>
      <c r="T572">
        <v>25470.06994</v>
      </c>
      <c r="U572" s="2">
        <v>44500</v>
      </c>
      <c r="V572" t="s">
        <v>795</v>
      </c>
    </row>
    <row r="573" spans="1:22">
      <c r="A573" s="1" t="s">
        <v>593</v>
      </c>
      <c r="B573">
        <f>HYPERLINK("https://www.suredividend.com/sure-analysis-PLD/","Prologis Inc")</f>
        <v>0</v>
      </c>
      <c r="C573">
        <v>154.51</v>
      </c>
      <c r="D573">
        <v>99</v>
      </c>
      <c r="E573">
        <v>1.560707070707071</v>
      </c>
      <c r="F573">
        <v>0.01630962397255841</v>
      </c>
      <c r="G573">
        <v>-0.08517985311217191</v>
      </c>
      <c r="H573">
        <v>0.09</v>
      </c>
      <c r="I573">
        <v>0.01722425035751196</v>
      </c>
      <c r="J573" t="s">
        <v>515</v>
      </c>
      <c r="K573" t="s">
        <v>778</v>
      </c>
      <c r="L573">
        <v>4.21</v>
      </c>
      <c r="M573">
        <v>2.52</v>
      </c>
      <c r="N573">
        <v>0.5985748218527316</v>
      </c>
      <c r="O573">
        <v>8</v>
      </c>
      <c r="P573">
        <v>0.07984205343909734</v>
      </c>
      <c r="Q573">
        <v>0.5981059791152961</v>
      </c>
      <c r="R573" t="s">
        <v>782</v>
      </c>
      <c r="S573" t="s">
        <v>794</v>
      </c>
      <c r="T573">
        <v>114233.41477</v>
      </c>
      <c r="U573" s="2">
        <v>44486</v>
      </c>
      <c r="V573" t="s">
        <v>795</v>
      </c>
    </row>
    <row r="574" spans="1:22">
      <c r="A574" s="1" t="s">
        <v>594</v>
      </c>
      <c r="B574">
        <f>HYPERLINK("https://www.suredividend.com/sure-analysis-SKT/","Tanger Factory Outlet Centers, Inc.")</f>
        <v>0</v>
      </c>
      <c r="C574">
        <v>21.34</v>
      </c>
      <c r="D574">
        <v>18</v>
      </c>
      <c r="E574">
        <v>1.185555555555555</v>
      </c>
      <c r="F574">
        <v>0.03420805998125586</v>
      </c>
      <c r="G574">
        <v>-0.03346937814837936</v>
      </c>
      <c r="H574">
        <v>0.015</v>
      </c>
      <c r="I574">
        <v>0.01650565198310416</v>
      </c>
      <c r="J574" t="s">
        <v>515</v>
      </c>
      <c r="K574" t="s">
        <v>367</v>
      </c>
      <c r="L574">
        <v>1.69</v>
      </c>
      <c r="M574">
        <v>0.73</v>
      </c>
      <c r="N574">
        <v>0.4319526627218935</v>
      </c>
      <c r="O574">
        <v>1</v>
      </c>
      <c r="P574">
        <v>0.01072631497080168</v>
      </c>
      <c r="Q574">
        <v>1.215738596837328</v>
      </c>
      <c r="R574" t="s">
        <v>782</v>
      </c>
      <c r="S574" t="s">
        <v>794</v>
      </c>
      <c r="T574">
        <v>2219.029956</v>
      </c>
      <c r="U574" s="2">
        <v>44511</v>
      </c>
      <c r="V574" t="s">
        <v>801</v>
      </c>
    </row>
    <row r="575" spans="1:22">
      <c r="A575" s="1" t="s">
        <v>595</v>
      </c>
      <c r="B575">
        <f>HYPERLINK("https://www.suredividend.com/sure-analysis-BRX/","Brixmor Property Group Inc")</f>
        <v>0</v>
      </c>
      <c r="C575">
        <v>25.03</v>
      </c>
      <c r="D575">
        <v>20</v>
      </c>
      <c r="E575">
        <v>1.2515</v>
      </c>
      <c r="F575">
        <v>0.03835397522972433</v>
      </c>
      <c r="G575">
        <v>-0.043876859697488</v>
      </c>
      <c r="H575">
        <v>0.006</v>
      </c>
      <c r="I575">
        <v>0.006681057375976795</v>
      </c>
      <c r="J575" t="s">
        <v>515</v>
      </c>
      <c r="K575" t="s">
        <v>367</v>
      </c>
      <c r="L575">
        <v>1.73</v>
      </c>
      <c r="M575">
        <v>0.96</v>
      </c>
      <c r="N575">
        <v>0.5549132947976878</v>
      </c>
      <c r="O575">
        <v>1</v>
      </c>
      <c r="P575">
        <v>0.03131030647754507</v>
      </c>
      <c r="Q575">
        <v>0.555411938703222</v>
      </c>
      <c r="R575" t="s">
        <v>782</v>
      </c>
      <c r="S575" t="s">
        <v>794</v>
      </c>
      <c r="T575">
        <v>7433.620778</v>
      </c>
      <c r="U575" s="2">
        <v>44516</v>
      </c>
      <c r="V575" t="s">
        <v>805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43.43</v>
      </c>
      <c r="D576">
        <v>50</v>
      </c>
      <c r="E576">
        <v>0.8686</v>
      </c>
      <c r="F576">
        <v>0.04351830531890398</v>
      </c>
      <c r="G576">
        <v>0.02857516723951248</v>
      </c>
      <c r="H576">
        <v>-0.07000000000000001</v>
      </c>
      <c r="I576">
        <v>0.005690503633783539</v>
      </c>
      <c r="J576" t="s">
        <v>515</v>
      </c>
      <c r="K576" t="s">
        <v>367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0.9012971548399241</v>
      </c>
      <c r="R576" t="s">
        <v>780</v>
      </c>
      <c r="S576" t="s">
        <v>793</v>
      </c>
      <c r="T576">
        <v>51122.255326</v>
      </c>
      <c r="U576" s="2">
        <v>44522</v>
      </c>
      <c r="V576" t="s">
        <v>804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20.76</v>
      </c>
      <c r="D577">
        <v>15</v>
      </c>
      <c r="E577">
        <v>1.384</v>
      </c>
      <c r="F577">
        <v>0.02890173410404624</v>
      </c>
      <c r="G577">
        <v>-0.06292838675307444</v>
      </c>
      <c r="H577">
        <v>0.03</v>
      </c>
      <c r="I577">
        <v>0.004073846080043797</v>
      </c>
      <c r="J577" t="s">
        <v>515</v>
      </c>
      <c r="K577" t="s">
        <v>515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0.98146433650533</v>
      </c>
      <c r="R577" t="s">
        <v>782</v>
      </c>
      <c r="S577" t="s">
        <v>794</v>
      </c>
      <c r="T577">
        <v>4422.661822</v>
      </c>
      <c r="U577" s="2">
        <v>44509</v>
      </c>
      <c r="V577" t="s">
        <v>804</v>
      </c>
    </row>
    <row r="578" spans="1:22">
      <c r="A578" s="1" t="s">
        <v>598</v>
      </c>
      <c r="B578">
        <f>HYPERLINK("https://www.suredividend.com/sure-analysis-ARE/","Alexandria Real Estate Equities Inc.")</f>
        <v>0</v>
      </c>
      <c r="C578">
        <v>210.38</v>
      </c>
      <c r="D578">
        <v>140</v>
      </c>
      <c r="E578">
        <v>1.502714285714286</v>
      </c>
      <c r="F578">
        <v>0.02129479988592072</v>
      </c>
      <c r="G578">
        <v>-0.07822544192311676</v>
      </c>
      <c r="H578">
        <v>0.06</v>
      </c>
      <c r="I578">
        <v>0.003543787354756134</v>
      </c>
      <c r="J578" t="s">
        <v>515</v>
      </c>
      <c r="K578" t="s">
        <v>778</v>
      </c>
      <c r="L578">
        <v>7.75</v>
      </c>
      <c r="M578">
        <v>4.48</v>
      </c>
      <c r="N578">
        <v>0.5780645161290323</v>
      </c>
      <c r="O578">
        <v>11</v>
      </c>
      <c r="P578">
        <v>0.06016789231717423</v>
      </c>
      <c r="Q578">
        <v>0.328117996573331</v>
      </c>
      <c r="R578" t="s">
        <v>782</v>
      </c>
      <c r="S578" t="s">
        <v>794</v>
      </c>
      <c r="T578">
        <v>32601.399322</v>
      </c>
      <c r="U578" s="2">
        <v>44496</v>
      </c>
      <c r="V578" t="s">
        <v>799</v>
      </c>
    </row>
    <row r="579" spans="1:22">
      <c r="A579" s="1" t="s">
        <v>599</v>
      </c>
      <c r="B579">
        <f>HYPERLINK("https://www.suredividend.com/sure-analysis-DRE/","Duke Realty Corp")</f>
        <v>0</v>
      </c>
      <c r="C579">
        <v>59.91</v>
      </c>
      <c r="D579">
        <v>38</v>
      </c>
      <c r="E579">
        <v>1.576578947368421</v>
      </c>
      <c r="F579">
        <v>0.01869470872976131</v>
      </c>
      <c r="G579">
        <v>-0.08702926746846174</v>
      </c>
      <c r="H579">
        <v>0.07000000000000001</v>
      </c>
      <c r="I579">
        <v>0.0002756836568407195</v>
      </c>
      <c r="J579" t="s">
        <v>515</v>
      </c>
      <c r="K579" t="s">
        <v>778</v>
      </c>
      <c r="L579">
        <v>1.72</v>
      </c>
      <c r="M579">
        <v>1.12</v>
      </c>
      <c r="N579">
        <v>0.6511627906976745</v>
      </c>
      <c r="O579">
        <v>7</v>
      </c>
      <c r="P579">
        <v>0.06016789231717423</v>
      </c>
      <c r="Q579">
        <v>0.612065602001964</v>
      </c>
      <c r="R579" t="s">
        <v>782</v>
      </c>
      <c r="S579" t="s">
        <v>794</v>
      </c>
      <c r="T579">
        <v>22816.741473</v>
      </c>
      <c r="U579" s="2">
        <v>44499</v>
      </c>
      <c r="V579" t="s">
        <v>797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31.41</v>
      </c>
      <c r="D580">
        <v>20</v>
      </c>
      <c r="E580">
        <v>1.5705</v>
      </c>
      <c r="F580">
        <v>0.01591849729385546</v>
      </c>
      <c r="G580">
        <v>-0.08632359053562999</v>
      </c>
      <c r="H580">
        <v>0.07000000000000001</v>
      </c>
      <c r="I580">
        <v>-0.001826657897142647</v>
      </c>
      <c r="J580" t="s">
        <v>515</v>
      </c>
      <c r="K580" t="s">
        <v>778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0.427811643415292</v>
      </c>
      <c r="R580" t="s">
        <v>780</v>
      </c>
      <c r="S580" t="s">
        <v>793</v>
      </c>
      <c r="T580">
        <v>44056.689526</v>
      </c>
      <c r="U580" s="2">
        <v>44493</v>
      </c>
      <c r="V580" t="s">
        <v>804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85.8</v>
      </c>
      <c r="D581">
        <v>53</v>
      </c>
      <c r="E581">
        <v>1.618867924528302</v>
      </c>
      <c r="F581">
        <v>0.0168997668997669</v>
      </c>
      <c r="G581">
        <v>-0.09184973009930042</v>
      </c>
      <c r="H581">
        <v>0.07000000000000001</v>
      </c>
      <c r="I581">
        <v>-0.006022375336083852</v>
      </c>
      <c r="J581" t="s">
        <v>515</v>
      </c>
      <c r="K581" t="s">
        <v>778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0.467607440667094</v>
      </c>
      <c r="R581" t="s">
        <v>782</v>
      </c>
      <c r="S581" t="s">
        <v>794</v>
      </c>
      <c r="T581">
        <v>15772.280753</v>
      </c>
      <c r="U581" s="2">
        <v>44493</v>
      </c>
      <c r="V581" t="s">
        <v>797</v>
      </c>
    </row>
    <row r="582" spans="1:22">
      <c r="A582" s="1" t="s">
        <v>602</v>
      </c>
      <c r="B582">
        <f>HYPERLINK("https://www.suredividend.com/sure-analysis-JCI/","Johnson Controls International plc")</f>
        <v>0</v>
      </c>
      <c r="C582">
        <v>78.89</v>
      </c>
      <c r="D582">
        <v>52</v>
      </c>
      <c r="E582">
        <v>1.517115384615385</v>
      </c>
      <c r="F582">
        <v>0.013689948028901</v>
      </c>
      <c r="G582">
        <v>-0.07998209917062837</v>
      </c>
      <c r="H582">
        <v>0.06</v>
      </c>
      <c r="I582">
        <v>-0.007294923489127414</v>
      </c>
      <c r="J582" t="s">
        <v>515</v>
      </c>
      <c r="K582" t="s">
        <v>778</v>
      </c>
      <c r="L582">
        <v>3.27</v>
      </c>
      <c r="M582">
        <v>1.08</v>
      </c>
      <c r="N582">
        <v>0.3302752293577982</v>
      </c>
      <c r="O582">
        <v>1</v>
      </c>
      <c r="P582">
        <v>0.06069091570555463</v>
      </c>
      <c r="Q582">
        <v>0.7210498644146921</v>
      </c>
      <c r="R582" t="s">
        <v>780</v>
      </c>
      <c r="S582" t="s">
        <v>787</v>
      </c>
      <c r="T582">
        <v>55564.782642</v>
      </c>
      <c r="U582" s="2">
        <v>44511</v>
      </c>
      <c r="V582" t="s">
        <v>799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122.26</v>
      </c>
      <c r="D583">
        <v>72</v>
      </c>
      <c r="E583">
        <v>1.698055555555556</v>
      </c>
      <c r="F583">
        <v>0.006543432030099787</v>
      </c>
      <c r="G583">
        <v>-0.1004824915346614</v>
      </c>
      <c r="H583">
        <v>0.09</v>
      </c>
      <c r="I583">
        <v>-0.01046171099078352</v>
      </c>
      <c r="J583" t="s">
        <v>515</v>
      </c>
      <c r="K583" t="s">
        <v>778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0.4722174055449591</v>
      </c>
      <c r="R583" t="s">
        <v>780</v>
      </c>
      <c r="S583" t="s">
        <v>787</v>
      </c>
      <c r="T583">
        <v>6371.152968</v>
      </c>
      <c r="U583" s="2">
        <v>44501</v>
      </c>
      <c r="V583" t="s">
        <v>801</v>
      </c>
    </row>
    <row r="584" spans="1:22">
      <c r="A584" s="1" t="s">
        <v>604</v>
      </c>
      <c r="B584">
        <f>HYPERLINK("https://www.suredividend.com/sure-analysis-OGZPY/","Gazprom")</f>
        <v>0</v>
      </c>
      <c r="C584">
        <v>8.99</v>
      </c>
      <c r="D584">
        <v>4.25</v>
      </c>
      <c r="E584">
        <v>2.115294117647059</v>
      </c>
      <c r="F584">
        <v>0.03781979977753059</v>
      </c>
      <c r="G584">
        <v>-0.1391532431169533</v>
      </c>
      <c r="H584">
        <v>0.08</v>
      </c>
      <c r="I584">
        <v>-0.01348389206884315</v>
      </c>
      <c r="J584" t="s">
        <v>515</v>
      </c>
      <c r="K584" t="s">
        <v>367</v>
      </c>
      <c r="L584">
        <v>0.85</v>
      </c>
      <c r="M584">
        <v>0.34</v>
      </c>
      <c r="N584">
        <v>0.4</v>
      </c>
      <c r="O584">
        <v>0</v>
      </c>
      <c r="P584">
        <v>0.0801851873035635</v>
      </c>
      <c r="Q584">
        <v>0.8272357723577231</v>
      </c>
      <c r="R584" t="s">
        <v>780</v>
      </c>
      <c r="S584" t="s">
        <v>793</v>
      </c>
      <c r="T584">
        <v>106412.440486</v>
      </c>
      <c r="U584" s="2">
        <v>44442</v>
      </c>
      <c r="V584" t="s">
        <v>804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171.23</v>
      </c>
      <c r="D585">
        <v>106</v>
      </c>
      <c r="E585">
        <v>1.615377358490566</v>
      </c>
      <c r="F585">
        <v>0.02966769841733341</v>
      </c>
      <c r="G585">
        <v>-0.09145759607377335</v>
      </c>
      <c r="H585">
        <v>0.046</v>
      </c>
      <c r="I585">
        <v>-0.01424685760296418</v>
      </c>
      <c r="J585" t="s">
        <v>515</v>
      </c>
      <c r="K585" t="s">
        <v>515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0.431724876042041</v>
      </c>
      <c r="R585" t="s">
        <v>782</v>
      </c>
      <c r="S585" t="s">
        <v>794</v>
      </c>
      <c r="T585">
        <v>7567.975767</v>
      </c>
      <c r="U585" s="2">
        <v>44503</v>
      </c>
      <c r="V585" t="s">
        <v>803</v>
      </c>
    </row>
    <row r="586" spans="1:22">
      <c r="A586" s="1" t="s">
        <v>606</v>
      </c>
      <c r="B586">
        <f>HYPERLINK("https://www.suredividend.com/sure-analysis-TRSWF/","TransAlta Renewables, Inc.")</f>
        <v>0</v>
      </c>
      <c r="C586">
        <v>14.85</v>
      </c>
      <c r="D586">
        <v>9</v>
      </c>
      <c r="E586">
        <v>1.65</v>
      </c>
      <c r="F586">
        <v>0.05117845117845118</v>
      </c>
      <c r="G586">
        <v>-0.09530287298975992</v>
      </c>
      <c r="H586">
        <v>0.02</v>
      </c>
      <c r="I586">
        <v>-0.01460894265086876</v>
      </c>
      <c r="J586" t="s">
        <v>515</v>
      </c>
      <c r="K586" t="s">
        <v>777</v>
      </c>
      <c r="L586">
        <v>0.8</v>
      </c>
      <c r="M586">
        <v>0.76</v>
      </c>
      <c r="N586">
        <v>0.95</v>
      </c>
      <c r="O586">
        <v>0</v>
      </c>
      <c r="P586">
        <v>0.005208615197356048</v>
      </c>
      <c r="Q586">
        <v>0.119706840390879</v>
      </c>
      <c r="R586" t="s">
        <v>780</v>
      </c>
      <c r="S586" t="s">
        <v>789</v>
      </c>
      <c r="T586">
        <v>3962.926554</v>
      </c>
      <c r="U586" s="2">
        <v>44515</v>
      </c>
      <c r="V586" t="s">
        <v>801</v>
      </c>
    </row>
    <row r="587" spans="1:22">
      <c r="A587" s="1" t="s">
        <v>607</v>
      </c>
      <c r="B587">
        <f>HYPERLINK("https://www.suredividend.com/sure-analysis-FR/","First Industrial Realty Trust, Inc.")</f>
        <v>0</v>
      </c>
      <c r="C587">
        <v>61.5</v>
      </c>
      <c r="D587">
        <v>36</v>
      </c>
      <c r="E587">
        <v>1.708333333333333</v>
      </c>
      <c r="F587">
        <v>0.0175609756097561</v>
      </c>
      <c r="G587">
        <v>-0.1015674519177134</v>
      </c>
      <c r="H587">
        <v>0.07000000000000001</v>
      </c>
      <c r="I587">
        <v>-0.0152263462522606</v>
      </c>
      <c r="J587" t="s">
        <v>515</v>
      </c>
      <c r="K587" t="s">
        <v>778</v>
      </c>
      <c r="L587">
        <v>1.95</v>
      </c>
      <c r="M587">
        <v>1.08</v>
      </c>
      <c r="N587">
        <v>0.5538461538461539</v>
      </c>
      <c r="O587">
        <v>9</v>
      </c>
      <c r="P587">
        <v>0.06069091570555463</v>
      </c>
      <c r="Q587">
        <v>0.4836079415241351</v>
      </c>
      <c r="R587" t="s">
        <v>782</v>
      </c>
      <c r="S587" t="s">
        <v>794</v>
      </c>
      <c r="T587">
        <v>7941.583806</v>
      </c>
      <c r="U587" s="2">
        <v>44492</v>
      </c>
      <c r="V587" t="s">
        <v>797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54.51</v>
      </c>
      <c r="D588">
        <v>38</v>
      </c>
      <c r="E588">
        <v>1.434473684210526</v>
      </c>
      <c r="F588">
        <v>0.02806824435883324</v>
      </c>
      <c r="G588">
        <v>-0.06961760718101173</v>
      </c>
      <c r="H588">
        <v>0.02</v>
      </c>
      <c r="I588">
        <v>-0.01681468441254153</v>
      </c>
      <c r="J588" t="s">
        <v>515</v>
      </c>
      <c r="K588" t="s">
        <v>515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0.318609545465541</v>
      </c>
      <c r="R588" t="s">
        <v>780</v>
      </c>
      <c r="S588" t="s">
        <v>789</v>
      </c>
      <c r="T588">
        <v>53301.658297</v>
      </c>
      <c r="U588" s="2">
        <v>44504</v>
      </c>
      <c r="V588" t="s">
        <v>796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65.14</v>
      </c>
      <c r="D589">
        <v>53</v>
      </c>
      <c r="E589">
        <v>1.229056603773585</v>
      </c>
      <c r="F589">
        <v>0.0184218606079214</v>
      </c>
      <c r="G589">
        <v>-0.04041019976698679</v>
      </c>
      <c r="H589">
        <v>0</v>
      </c>
      <c r="I589">
        <v>-0.0196055332250179</v>
      </c>
      <c r="J589" t="s">
        <v>515</v>
      </c>
      <c r="K589" t="s">
        <v>515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0.725334392795656</v>
      </c>
      <c r="R589" t="s">
        <v>780</v>
      </c>
      <c r="S589" t="s">
        <v>788</v>
      </c>
      <c r="T589">
        <v>13970.930162</v>
      </c>
      <c r="U589" s="2">
        <v>44427</v>
      </c>
      <c r="V589" t="s">
        <v>798</v>
      </c>
    </row>
    <row r="590" spans="1:22">
      <c r="A590" s="1" t="s">
        <v>610</v>
      </c>
      <c r="B590">
        <f>HYPERLINK("https://www.suredividend.com/sure-analysis-WPM/","Wheaton Precious Metals Corp")</f>
        <v>0</v>
      </c>
      <c r="C590">
        <v>42.69</v>
      </c>
      <c r="D590">
        <v>42</v>
      </c>
      <c r="E590">
        <v>1.016428571428571</v>
      </c>
      <c r="F590">
        <v>0.0140548137737175</v>
      </c>
      <c r="G590">
        <v>-0.003253711667443038</v>
      </c>
      <c r="H590">
        <v>-0.04</v>
      </c>
      <c r="I590">
        <v>-0.02599017221823219</v>
      </c>
      <c r="J590" t="s">
        <v>515</v>
      </c>
      <c r="K590" t="s">
        <v>778</v>
      </c>
      <c r="L590">
        <v>1.5</v>
      </c>
      <c r="M590">
        <v>0.6</v>
      </c>
      <c r="N590">
        <v>0.4</v>
      </c>
      <c r="O590">
        <v>2</v>
      </c>
      <c r="P590">
        <v>0.01924487649145656</v>
      </c>
      <c r="Q590">
        <v>0.125366752516851</v>
      </c>
      <c r="R590" t="s">
        <v>780</v>
      </c>
      <c r="S590" t="s">
        <v>788</v>
      </c>
      <c r="T590">
        <v>19232.157149</v>
      </c>
      <c r="U590" s="2">
        <v>44428</v>
      </c>
      <c r="V590" t="s">
        <v>798</v>
      </c>
    </row>
    <row r="591" spans="1:22">
      <c r="A591" s="1" t="s">
        <v>611</v>
      </c>
      <c r="B591">
        <f>HYPERLINK("https://www.suredividend.com/sure-analysis-TRGP/","Targa Resources Corp")</f>
        <v>0</v>
      </c>
      <c r="C591">
        <v>56.67</v>
      </c>
      <c r="D591">
        <v>36</v>
      </c>
      <c r="E591">
        <v>1.574166666666667</v>
      </c>
      <c r="F591">
        <v>0.0247044291512264</v>
      </c>
      <c r="G591">
        <v>-0.08674962834218691</v>
      </c>
      <c r="H591">
        <v>0.03</v>
      </c>
      <c r="I591">
        <v>-0.02738808765769751</v>
      </c>
      <c r="J591" t="s">
        <v>515</v>
      </c>
      <c r="K591" t="s">
        <v>515</v>
      </c>
      <c r="L591">
        <v>5.2</v>
      </c>
      <c r="M591">
        <v>1.4</v>
      </c>
      <c r="N591">
        <v>0.2692307692307692</v>
      </c>
      <c r="O591">
        <v>0</v>
      </c>
      <c r="P591">
        <v>0.02706608708935176</v>
      </c>
      <c r="Q591">
        <v>1.272845769747528</v>
      </c>
      <c r="R591" t="s">
        <v>780</v>
      </c>
      <c r="S591" t="s">
        <v>793</v>
      </c>
      <c r="T591">
        <v>12975.827939</v>
      </c>
      <c r="U591" s="2">
        <v>44515</v>
      </c>
      <c r="V591" t="s">
        <v>804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41.15</v>
      </c>
      <c r="D592">
        <v>29</v>
      </c>
      <c r="E592">
        <v>1.418965517241379</v>
      </c>
      <c r="F592">
        <v>0.009720534629404618</v>
      </c>
      <c r="G592">
        <v>-0.06759277164054867</v>
      </c>
      <c r="H592">
        <v>0.03</v>
      </c>
      <c r="I592">
        <v>-0.02845650079392326</v>
      </c>
      <c r="J592" t="s">
        <v>515</v>
      </c>
      <c r="K592" t="s">
        <v>778</v>
      </c>
      <c r="L592">
        <v>1.36</v>
      </c>
      <c r="M592">
        <v>0.4</v>
      </c>
      <c r="N592">
        <v>0.2941176470588235</v>
      </c>
      <c r="O592">
        <v>1</v>
      </c>
      <c r="P592">
        <v>0</v>
      </c>
      <c r="Q592">
        <v>0.451575921124574</v>
      </c>
      <c r="R592" t="s">
        <v>782</v>
      </c>
      <c r="S592" t="s">
        <v>794</v>
      </c>
      <c r="T592">
        <v>13734.246962</v>
      </c>
      <c r="U592" s="2">
        <v>44506</v>
      </c>
      <c r="V592" t="s">
        <v>796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362.37</v>
      </c>
      <c r="D593">
        <v>201</v>
      </c>
      <c r="E593">
        <v>1.802835820895522</v>
      </c>
      <c r="F593">
        <v>0.01070728813091591</v>
      </c>
      <c r="G593">
        <v>-0.111190343658628</v>
      </c>
      <c r="H593">
        <v>0.075</v>
      </c>
      <c r="I593">
        <v>-0.0287794296914049</v>
      </c>
      <c r="J593" t="s">
        <v>515</v>
      </c>
      <c r="K593" t="s">
        <v>778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0.467396322134736</v>
      </c>
      <c r="R593" t="s">
        <v>780</v>
      </c>
      <c r="S593" t="s">
        <v>786</v>
      </c>
      <c r="T593">
        <v>237982.687542</v>
      </c>
      <c r="U593" s="2">
        <v>44476</v>
      </c>
      <c r="V593" t="s">
        <v>800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210.56</v>
      </c>
      <c r="D594">
        <v>118</v>
      </c>
      <c r="E594">
        <v>1.784406779661017</v>
      </c>
      <c r="F594">
        <v>0.01947188449848024</v>
      </c>
      <c r="G594">
        <v>-0.109361987169323</v>
      </c>
      <c r="H594">
        <v>0.06</v>
      </c>
      <c r="I594">
        <v>-0.02915268582647956</v>
      </c>
      <c r="J594" t="s">
        <v>515</v>
      </c>
      <c r="K594" t="s">
        <v>778</v>
      </c>
      <c r="L594">
        <v>6.98</v>
      </c>
      <c r="M594">
        <v>4.1</v>
      </c>
      <c r="N594">
        <v>0.5873925501432664</v>
      </c>
      <c r="O594">
        <v>10</v>
      </c>
      <c r="P594">
        <v>0.04868220215701768</v>
      </c>
      <c r="Q594">
        <v>0.716750794739189</v>
      </c>
      <c r="R594" t="s">
        <v>782</v>
      </c>
      <c r="S594" t="s">
        <v>794</v>
      </c>
      <c r="T594">
        <v>24243.525291</v>
      </c>
      <c r="U594" s="2">
        <v>44509</v>
      </c>
      <c r="V594" t="s">
        <v>804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39.07</v>
      </c>
      <c r="D595">
        <v>22</v>
      </c>
      <c r="E595">
        <v>1.775909090909091</v>
      </c>
      <c r="F595">
        <v>0.03480931661121065</v>
      </c>
      <c r="G595">
        <v>-0.1085112769247543</v>
      </c>
      <c r="H595">
        <v>0.03</v>
      </c>
      <c r="I595">
        <v>-0.03083479187525862</v>
      </c>
      <c r="J595" t="s">
        <v>515</v>
      </c>
      <c r="K595" t="s">
        <v>367</v>
      </c>
      <c r="L595">
        <v>2.8</v>
      </c>
      <c r="M595">
        <v>1.36</v>
      </c>
      <c r="N595">
        <v>0.4857142857142858</v>
      </c>
      <c r="O595">
        <v>2</v>
      </c>
      <c r="P595">
        <v>0.0505145404837426</v>
      </c>
      <c r="Q595">
        <v>0.376697968604098</v>
      </c>
      <c r="R595" t="s">
        <v>780</v>
      </c>
      <c r="S595" t="s">
        <v>789</v>
      </c>
      <c r="T595">
        <v>4439.261802</v>
      </c>
      <c r="U595" s="2">
        <v>44515</v>
      </c>
      <c r="V595" t="s">
        <v>801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52.88</v>
      </c>
      <c r="D596">
        <v>33</v>
      </c>
      <c r="E596">
        <v>1.602424242424243</v>
      </c>
      <c r="F596">
        <v>0.0113464447806354</v>
      </c>
      <c r="G596">
        <v>-0.08999349105989729</v>
      </c>
      <c r="H596">
        <v>0.05</v>
      </c>
      <c r="I596">
        <v>-0.03125312440926453</v>
      </c>
      <c r="J596" t="s">
        <v>515</v>
      </c>
      <c r="K596" t="s">
        <v>778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-0.148812877263581</v>
      </c>
      <c r="R596" t="s">
        <v>780</v>
      </c>
      <c r="S596" t="s">
        <v>788</v>
      </c>
      <c r="T596">
        <v>1799.967566</v>
      </c>
      <c r="U596" s="2">
        <v>44520</v>
      </c>
      <c r="V596" t="s">
        <v>795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228.94</v>
      </c>
      <c r="D597">
        <v>133</v>
      </c>
      <c r="E597">
        <v>1.721353383458647</v>
      </c>
      <c r="F597">
        <v>0.01572464401153141</v>
      </c>
      <c r="G597">
        <v>-0.1029307036521926</v>
      </c>
      <c r="H597">
        <v>0.054</v>
      </c>
      <c r="I597">
        <v>-0.03326626134308253</v>
      </c>
      <c r="J597" t="s">
        <v>515</v>
      </c>
      <c r="K597" t="s">
        <v>778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0.364444462986151</v>
      </c>
      <c r="R597" t="s">
        <v>780</v>
      </c>
      <c r="S597" t="s">
        <v>790</v>
      </c>
      <c r="T597">
        <v>82280.158931</v>
      </c>
      <c r="U597" s="2">
        <v>44503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170.95</v>
      </c>
      <c r="D598">
        <v>100</v>
      </c>
      <c r="E598">
        <v>1.7095</v>
      </c>
      <c r="F598">
        <v>0.01778297747879497</v>
      </c>
      <c r="G598">
        <v>-0.1016901143988637</v>
      </c>
      <c r="H598">
        <v>0.04</v>
      </c>
      <c r="I598">
        <v>-0.04153498623710361</v>
      </c>
      <c r="J598" t="s">
        <v>515</v>
      </c>
      <c r="K598" t="s">
        <v>515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0.414530734910568</v>
      </c>
      <c r="R598" t="s">
        <v>780</v>
      </c>
      <c r="S598" t="s">
        <v>787</v>
      </c>
      <c r="T598">
        <v>68140.67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HYPERLINK("https://www.suredividend.com/sure-analysis-CPT/","Camden Property Trust")</f>
        <v>0</v>
      </c>
      <c r="C599">
        <v>170.69</v>
      </c>
      <c r="D599">
        <v>97</v>
      </c>
      <c r="E599">
        <v>1.759690721649485</v>
      </c>
      <c r="F599">
        <v>0.01945046575663483</v>
      </c>
      <c r="G599">
        <v>-0.1068740025186515</v>
      </c>
      <c r="H599">
        <v>0.04</v>
      </c>
      <c r="I599">
        <v>-0.04341391808220596</v>
      </c>
      <c r="J599" t="s">
        <v>515</v>
      </c>
      <c r="K599" t="s">
        <v>778</v>
      </c>
      <c r="L599">
        <v>5.37</v>
      </c>
      <c r="M599">
        <v>3.32</v>
      </c>
      <c r="N599">
        <v>0.6182495344506517</v>
      </c>
      <c r="O599">
        <v>10</v>
      </c>
      <c r="P599">
        <v>0.04003668004870131</v>
      </c>
      <c r="Q599">
        <v>0.7519028812125891</v>
      </c>
      <c r="R599" t="s">
        <v>782</v>
      </c>
      <c r="S599" t="s">
        <v>794</v>
      </c>
      <c r="T599">
        <v>17444.054235</v>
      </c>
      <c r="U599" s="2">
        <v>44505</v>
      </c>
      <c r="V599" t="s">
        <v>799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24.38</v>
      </c>
      <c r="D600">
        <v>12.6</v>
      </c>
      <c r="E600">
        <v>1.934920634920635</v>
      </c>
      <c r="F600">
        <v>0.02789171452009844</v>
      </c>
      <c r="G600">
        <v>-0.1236706268946098</v>
      </c>
      <c r="H600">
        <v>0.035</v>
      </c>
      <c r="I600">
        <v>-0.04863984101981245</v>
      </c>
      <c r="J600" t="s">
        <v>515</v>
      </c>
      <c r="K600" t="s">
        <v>515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0.636186705144122</v>
      </c>
      <c r="R600" t="s">
        <v>782</v>
      </c>
      <c r="S600" t="s">
        <v>794</v>
      </c>
      <c r="T600">
        <v>15028.516054</v>
      </c>
      <c r="U600" s="2">
        <v>44509</v>
      </c>
      <c r="V600" t="s">
        <v>803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39.2</v>
      </c>
      <c r="D601">
        <v>20</v>
      </c>
      <c r="E601">
        <v>1.96</v>
      </c>
      <c r="F601">
        <v>0.01530612244897959</v>
      </c>
      <c r="G601">
        <v>-0.1259248251825292</v>
      </c>
      <c r="H601">
        <v>0.05</v>
      </c>
      <c r="I601">
        <v>-0.06159602368448158</v>
      </c>
      <c r="J601" t="s">
        <v>515</v>
      </c>
      <c r="K601" t="s">
        <v>778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0.5791678752135101</v>
      </c>
      <c r="R601" t="s">
        <v>780</v>
      </c>
      <c r="S601" t="s">
        <v>784</v>
      </c>
      <c r="T601">
        <v>1283.948842</v>
      </c>
      <c r="U601" s="2">
        <v>44491</v>
      </c>
      <c r="V601" t="s">
        <v>800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</v>
      </c>
      <c r="D602">
        <v>6.3</v>
      </c>
      <c r="E602">
        <v>0.7142857142857143</v>
      </c>
      <c r="F602">
        <v>0.1066666666666667</v>
      </c>
      <c r="G602">
        <v>0.06961037572506878</v>
      </c>
      <c r="H602">
        <v>0.02</v>
      </c>
      <c r="I602">
        <v>0.1576381720682345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0.08089930822444201</v>
      </c>
      <c r="R602" t="s">
        <v>780</v>
      </c>
      <c r="S602" t="s">
        <v>784</v>
      </c>
      <c r="T602">
        <v>25371.240782</v>
      </c>
      <c r="U602" s="2">
        <v>44434</v>
      </c>
      <c r="V602" t="s">
        <v>800</v>
      </c>
    </row>
    <row r="603" spans="1:22">
      <c r="A603" s="1" t="s">
        <v>623</v>
      </c>
      <c r="B603">
        <f>HYPERLINK("https://www.suredividend.com/sure-analysis-SCCO/","Southern Copper Corporation")</f>
        <v>0</v>
      </c>
      <c r="C603">
        <v>59.3</v>
      </c>
      <c r="D603">
        <v>80</v>
      </c>
      <c r="E603">
        <v>0.74125</v>
      </c>
      <c r="F603">
        <v>0.0539629005059022</v>
      </c>
      <c r="G603">
        <v>0.06171281341255375</v>
      </c>
      <c r="H603">
        <v>0.05</v>
      </c>
      <c r="I603">
        <v>0.152655785641487</v>
      </c>
      <c r="J603" t="s">
        <v>778</v>
      </c>
      <c r="K603" t="s">
        <v>367</v>
      </c>
      <c r="L603">
        <v>4.43</v>
      </c>
      <c r="M603">
        <v>3.2</v>
      </c>
      <c r="N603">
        <v>0.7223476297968399</v>
      </c>
      <c r="O603">
        <v>0</v>
      </c>
      <c r="P603">
        <v>0.04978904632428516</v>
      </c>
      <c r="Q603">
        <v>0.04498916242268301</v>
      </c>
      <c r="R603" t="s">
        <v>780</v>
      </c>
      <c r="S603" t="s">
        <v>788</v>
      </c>
      <c r="T603">
        <v>45843.719252</v>
      </c>
      <c r="U603" s="2">
        <v>44498</v>
      </c>
      <c r="V603" t="s">
        <v>801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11.09</v>
      </c>
      <c r="D604">
        <v>15</v>
      </c>
      <c r="E604">
        <v>0.7393333333333333</v>
      </c>
      <c r="F604">
        <v>0.09738503155996393</v>
      </c>
      <c r="G604">
        <v>0.06226272576239622</v>
      </c>
      <c r="H604">
        <v>0.02</v>
      </c>
      <c r="I604">
        <v>0.1482828503001199</v>
      </c>
      <c r="J604" t="s">
        <v>778</v>
      </c>
      <c r="K604" t="s">
        <v>777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-0.018027909612523</v>
      </c>
      <c r="R604" t="s">
        <v>780</v>
      </c>
      <c r="S604" t="s">
        <v>784</v>
      </c>
      <c r="T604">
        <v>29492.010556</v>
      </c>
      <c r="U604" s="2">
        <v>44496</v>
      </c>
      <c r="V604" t="s">
        <v>806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269.08</v>
      </c>
      <c r="D605">
        <v>158</v>
      </c>
      <c r="E605">
        <v>1.703037974683544</v>
      </c>
      <c r="F605">
        <v>0.02229820127843021</v>
      </c>
      <c r="G605">
        <v>-0.1010094354189833</v>
      </c>
      <c r="H605">
        <v>0.25</v>
      </c>
      <c r="I605">
        <v>0.1476708724856377</v>
      </c>
      <c r="J605" t="s">
        <v>778</v>
      </c>
      <c r="K605" t="s">
        <v>778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0.7898430993792621</v>
      </c>
      <c r="R605" t="s">
        <v>782</v>
      </c>
      <c r="S605" t="s">
        <v>794</v>
      </c>
      <c r="T605">
        <v>6438.62804</v>
      </c>
      <c r="U605" s="2">
        <v>44509</v>
      </c>
      <c r="V605" t="s">
        <v>795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29.18</v>
      </c>
      <c r="D606">
        <v>40</v>
      </c>
      <c r="E606">
        <v>0.7295</v>
      </c>
      <c r="F606">
        <v>0.09184372858122002</v>
      </c>
      <c r="G606">
        <v>0.06511117374245723</v>
      </c>
      <c r="H606">
        <v>0.02</v>
      </c>
      <c r="I606">
        <v>0.1472000442026695</v>
      </c>
      <c r="J606" t="s">
        <v>778</v>
      </c>
      <c r="K606" t="s">
        <v>777</v>
      </c>
      <c r="L606">
        <v>3.3</v>
      </c>
      <c r="M606">
        <v>2.68</v>
      </c>
      <c r="N606">
        <v>0.8121212121212122</v>
      </c>
      <c r="O606">
        <v>18</v>
      </c>
      <c r="P606">
        <v>0.01023605168466424</v>
      </c>
      <c r="Q606">
        <v>-0.143854707625502</v>
      </c>
      <c r="R606" t="s">
        <v>782</v>
      </c>
      <c r="S606" t="s">
        <v>794</v>
      </c>
      <c r="T606">
        <v>6973.26488</v>
      </c>
      <c r="U606" s="2">
        <v>44424</v>
      </c>
      <c r="V606" t="s">
        <v>798</v>
      </c>
    </row>
    <row r="607" spans="1:22">
      <c r="A607" s="1" t="s">
        <v>627</v>
      </c>
      <c r="B607">
        <f>HYPERLINK("https://www.suredividend.com/sure-analysis-PSXP/","Phillips 66 Partners LP")</f>
        <v>0</v>
      </c>
      <c r="C607">
        <v>36.91</v>
      </c>
      <c r="D607">
        <v>44</v>
      </c>
      <c r="E607">
        <v>0.8388636363636363</v>
      </c>
      <c r="F607">
        <v>0.09482525060959091</v>
      </c>
      <c r="G607">
        <v>0.03576617999131981</v>
      </c>
      <c r="H607">
        <v>0.04</v>
      </c>
      <c r="I607">
        <v>0.1398898574634109</v>
      </c>
      <c r="J607" t="s">
        <v>778</v>
      </c>
      <c r="K607" t="s">
        <v>777</v>
      </c>
      <c r="L607">
        <v>4.4</v>
      </c>
      <c r="M607">
        <v>3.5</v>
      </c>
      <c r="N607">
        <v>0.7954545454545454</v>
      </c>
      <c r="O607">
        <v>7</v>
      </c>
      <c r="P607">
        <v>0</v>
      </c>
      <c r="Q607">
        <v>0.403043284892671</v>
      </c>
      <c r="R607" t="s">
        <v>781</v>
      </c>
      <c r="S607" t="s">
        <v>793</v>
      </c>
      <c r="T607">
        <v>8428.034788999999</v>
      </c>
      <c r="U607" s="2">
        <v>44501</v>
      </c>
      <c r="V607" t="s">
        <v>804</v>
      </c>
    </row>
    <row r="608" spans="1:22">
      <c r="A608" s="1" t="s">
        <v>628</v>
      </c>
      <c r="B608">
        <f>HYPERLINK("https://www.suredividend.com/sure-analysis-IEP/","Icahn Enterprises L P")</f>
        <v>0</v>
      </c>
      <c r="C608">
        <v>51.47</v>
      </c>
      <c r="D608">
        <v>57</v>
      </c>
      <c r="E608">
        <v>0.9029824561403509</v>
      </c>
      <c r="F608">
        <v>0.1554303477754032</v>
      </c>
      <c r="G608">
        <v>0.02062014805355261</v>
      </c>
      <c r="H608">
        <v>0</v>
      </c>
      <c r="I608">
        <v>0.1351245413413587</v>
      </c>
      <c r="J608" t="s">
        <v>778</v>
      </c>
      <c r="K608" t="s">
        <v>367</v>
      </c>
      <c r="L608">
        <v>8</v>
      </c>
      <c r="M608">
        <v>8</v>
      </c>
      <c r="N608">
        <v>1</v>
      </c>
      <c r="O608">
        <v>0</v>
      </c>
      <c r="P608">
        <v>0</v>
      </c>
      <c r="Q608">
        <v>0.181230664720516</v>
      </c>
      <c r="R608" t="s">
        <v>781</v>
      </c>
      <c r="S608" t="s">
        <v>787</v>
      </c>
      <c r="T608">
        <v>14339.82807</v>
      </c>
      <c r="U608" s="2">
        <v>44513</v>
      </c>
      <c r="V608" t="s">
        <v>795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5.77</v>
      </c>
      <c r="D609">
        <v>6</v>
      </c>
      <c r="E609">
        <v>0.9616666666666666</v>
      </c>
      <c r="F609">
        <v>0.02253032928942808</v>
      </c>
      <c r="G609">
        <v>0.007848114001454798</v>
      </c>
      <c r="H609">
        <v>0.1</v>
      </c>
      <c r="I609">
        <v>0.1318358297083055</v>
      </c>
      <c r="J609" t="s">
        <v>778</v>
      </c>
      <c r="K609" t="s">
        <v>778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0.093942553796568</v>
      </c>
      <c r="R609" t="s">
        <v>780</v>
      </c>
      <c r="S609" t="s">
        <v>793</v>
      </c>
      <c r="T609">
        <v>985.506353</v>
      </c>
      <c r="U609" s="2">
        <v>44509</v>
      </c>
      <c r="V609" t="s">
        <v>804</v>
      </c>
    </row>
    <row r="610" spans="1:22">
      <c r="A610" s="1" t="s">
        <v>630</v>
      </c>
      <c r="B610">
        <f>HYPERLINK("https://www.suredividend.com/sure-analysis-APAM/","Artisan Partners Asset Management Inc")</f>
        <v>0</v>
      </c>
      <c r="C610">
        <v>49.05</v>
      </c>
      <c r="D610">
        <v>55</v>
      </c>
      <c r="E610">
        <v>0.8918181818181817</v>
      </c>
      <c r="F610">
        <v>0.08725790010193681</v>
      </c>
      <c r="G610">
        <v>0.02316278542113381</v>
      </c>
      <c r="H610">
        <v>0.04</v>
      </c>
      <c r="I610">
        <v>0.1281847864968486</v>
      </c>
      <c r="J610" t="s">
        <v>778</v>
      </c>
      <c r="K610" t="s">
        <v>367</v>
      </c>
      <c r="L610">
        <v>5</v>
      </c>
      <c r="M610">
        <v>4.28</v>
      </c>
      <c r="N610">
        <v>0.8560000000000001</v>
      </c>
      <c r="O610">
        <v>2</v>
      </c>
      <c r="P610">
        <v>0.02019566627646463</v>
      </c>
      <c r="Q610">
        <v>0.109490041733111</v>
      </c>
      <c r="R610" t="s">
        <v>780</v>
      </c>
      <c r="S610" t="s">
        <v>790</v>
      </c>
      <c r="T610">
        <v>3198.839454</v>
      </c>
      <c r="U610" s="2">
        <v>44520</v>
      </c>
      <c r="V610" t="s">
        <v>798</v>
      </c>
    </row>
    <row r="611" spans="1:22">
      <c r="A611" s="1" t="s">
        <v>631</v>
      </c>
      <c r="B611">
        <f>HYPERLINK("https://www.suredividend.com/sure-analysis-GECC/","Great Elm Capital Corp")</f>
        <v>0</v>
      </c>
      <c r="C611">
        <v>3.45</v>
      </c>
      <c r="D611">
        <v>3.5</v>
      </c>
      <c r="E611">
        <v>0.9857142857142858</v>
      </c>
      <c r="F611">
        <v>0.1159420289855072</v>
      </c>
      <c r="G611">
        <v>0.002881892180566226</v>
      </c>
      <c r="H611">
        <v>0.042</v>
      </c>
      <c r="I611">
        <v>0.1279655938502193</v>
      </c>
      <c r="J611" t="s">
        <v>778</v>
      </c>
      <c r="K611" t="s">
        <v>367</v>
      </c>
      <c r="L611">
        <v>0.33</v>
      </c>
      <c r="M611">
        <v>0.4</v>
      </c>
      <c r="N611">
        <v>1.212121212121212</v>
      </c>
      <c r="O611">
        <v>0</v>
      </c>
      <c r="P611">
        <v>0</v>
      </c>
      <c r="Q611">
        <v>-0.013355449423742</v>
      </c>
      <c r="R611" t="s">
        <v>783</v>
      </c>
      <c r="S611" t="s">
        <v>790</v>
      </c>
      <c r="T611">
        <v>92.824555</v>
      </c>
      <c r="U611" s="2">
        <v>44509</v>
      </c>
      <c r="V611" t="s">
        <v>803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18.26</v>
      </c>
      <c r="D612">
        <v>18.88</v>
      </c>
      <c r="E612">
        <v>0.9671610169491527</v>
      </c>
      <c r="F612">
        <v>0.05914567360350493</v>
      </c>
      <c r="G612">
        <v>0.00670040505273839</v>
      </c>
      <c r="H612">
        <v>0.07000000000000001</v>
      </c>
      <c r="I612">
        <v>0.1264154920243341</v>
      </c>
      <c r="J612" t="s">
        <v>778</v>
      </c>
      <c r="K612" t="s">
        <v>367</v>
      </c>
      <c r="L612">
        <v>1.51</v>
      </c>
      <c r="M612">
        <v>1.08</v>
      </c>
      <c r="N612">
        <v>0.7152317880794702</v>
      </c>
      <c r="O612">
        <v>3</v>
      </c>
      <c r="P612">
        <v>0.06932726018096602</v>
      </c>
      <c r="Q612">
        <v>0.202740086945066</v>
      </c>
      <c r="R612" t="s">
        <v>782</v>
      </c>
      <c r="S612" t="s">
        <v>794</v>
      </c>
      <c r="T612">
        <v>206.395373</v>
      </c>
      <c r="U612" s="2">
        <v>44494</v>
      </c>
      <c r="V612" t="s">
        <v>795</v>
      </c>
    </row>
    <row r="613" spans="1:22">
      <c r="A613" s="1" t="s">
        <v>633</v>
      </c>
      <c r="B613">
        <f>HYPERLINK("https://www.suredividend.com/sure-analysis-CLPR/","Clipper Realty Inc")</f>
        <v>0</v>
      </c>
      <c r="C613">
        <v>9.75</v>
      </c>
      <c r="D613">
        <v>11.7</v>
      </c>
      <c r="E613">
        <v>0.8333333333333334</v>
      </c>
      <c r="F613">
        <v>0.03897435897435898</v>
      </c>
      <c r="G613">
        <v>0.03713728933664817</v>
      </c>
      <c r="H613">
        <v>0.055</v>
      </c>
      <c r="I613">
        <v>0.1201120981189943</v>
      </c>
      <c r="J613" t="s">
        <v>778</v>
      </c>
      <c r="K613" t="s">
        <v>515</v>
      </c>
      <c r="L613">
        <v>0.35</v>
      </c>
      <c r="M613">
        <v>0.38</v>
      </c>
      <c r="N613">
        <v>1.085714285714286</v>
      </c>
      <c r="O613">
        <v>0</v>
      </c>
      <c r="P613">
        <v>0</v>
      </c>
      <c r="Q613">
        <v>0.6367573738018091</v>
      </c>
      <c r="R613" t="s">
        <v>782</v>
      </c>
      <c r="S613" t="s">
        <v>794</v>
      </c>
      <c r="T613">
        <v>156.616473</v>
      </c>
      <c r="U613" s="2">
        <v>44511</v>
      </c>
      <c r="V613" t="s">
        <v>803</v>
      </c>
    </row>
    <row r="614" spans="1:22">
      <c r="A614" s="1" t="s">
        <v>634</v>
      </c>
      <c r="B614">
        <f>HYPERLINK("https://www.suredividend.com/sure-analysis-VICI/","VICI Properties Inc")</f>
        <v>0</v>
      </c>
      <c r="C614">
        <v>28.44</v>
      </c>
      <c r="D614">
        <v>31</v>
      </c>
      <c r="E614">
        <v>0.9174193548387097</v>
      </c>
      <c r="F614">
        <v>0.05063291139240506</v>
      </c>
      <c r="G614">
        <v>0.01738755371678535</v>
      </c>
      <c r="H614">
        <v>0.06</v>
      </c>
      <c r="I614">
        <v>0.11989574462861</v>
      </c>
      <c r="J614" t="s">
        <v>778</v>
      </c>
      <c r="K614" t="s">
        <v>367</v>
      </c>
      <c r="L614">
        <v>2</v>
      </c>
      <c r="M614">
        <v>1.44</v>
      </c>
      <c r="N614">
        <v>0.72</v>
      </c>
      <c r="O614">
        <v>3</v>
      </c>
      <c r="P614">
        <v>0.06032490771095733</v>
      </c>
      <c r="Q614">
        <v>0.142067769112769</v>
      </c>
      <c r="R614" t="s">
        <v>782</v>
      </c>
      <c r="S614" t="s">
        <v>794</v>
      </c>
      <c r="T614">
        <v>17887.225179</v>
      </c>
      <c r="U614" s="2">
        <v>44509</v>
      </c>
      <c r="V614" t="s">
        <v>804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30.16</v>
      </c>
      <c r="D615">
        <v>30</v>
      </c>
      <c r="E615">
        <v>1.005333333333333</v>
      </c>
      <c r="F615">
        <v>0.1044429708222812</v>
      </c>
      <c r="G615">
        <v>-0.001063266626553538</v>
      </c>
      <c r="H615">
        <v>0.03</v>
      </c>
      <c r="I615">
        <v>0.1148483474630928</v>
      </c>
      <c r="J615" t="s">
        <v>778</v>
      </c>
      <c r="K615" t="s">
        <v>367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0.8135462766980951</v>
      </c>
      <c r="R615" t="s">
        <v>783</v>
      </c>
      <c r="S615" t="s">
        <v>790</v>
      </c>
      <c r="T615">
        <v>680.028016</v>
      </c>
      <c r="U615" s="2">
        <v>44516</v>
      </c>
      <c r="V615" t="s">
        <v>795</v>
      </c>
    </row>
    <row r="616" spans="1:22">
      <c r="A616" s="1" t="s">
        <v>636</v>
      </c>
      <c r="B616">
        <f>HYPERLINK("https://www.suredividend.com/sure-analysis-LTC/","LTC Properties, Inc.")</f>
        <v>0</v>
      </c>
      <c r="C616">
        <v>33.42</v>
      </c>
      <c r="D616">
        <v>36</v>
      </c>
      <c r="E616">
        <v>0.9283333333333333</v>
      </c>
      <c r="F616">
        <v>0.0682226211849192</v>
      </c>
      <c r="G616">
        <v>0.01498403474804477</v>
      </c>
      <c r="H616">
        <v>0.05</v>
      </c>
      <c r="I616">
        <v>0.114036815904206</v>
      </c>
      <c r="J616" t="s">
        <v>778</v>
      </c>
      <c r="K616" t="s">
        <v>367</v>
      </c>
      <c r="L616">
        <v>2.4</v>
      </c>
      <c r="M616">
        <v>2.28</v>
      </c>
      <c r="N616">
        <v>0.95</v>
      </c>
      <c r="O616">
        <v>0</v>
      </c>
      <c r="P616">
        <v>0</v>
      </c>
      <c r="Q616">
        <v>-0.084260626769073</v>
      </c>
      <c r="R616" t="s">
        <v>782</v>
      </c>
      <c r="S616" t="s">
        <v>794</v>
      </c>
      <c r="T616">
        <v>1315.88055</v>
      </c>
      <c r="U616" s="2">
        <v>44510</v>
      </c>
      <c r="V616" t="s">
        <v>804</v>
      </c>
    </row>
    <row r="617" spans="1:22">
      <c r="A617" s="1" t="s">
        <v>637</v>
      </c>
      <c r="B617">
        <f>HYPERLINK("https://www.suredividend.com/sure-analysis-SBRA/","Sabra Healthcare REIT Inc")</f>
        <v>0</v>
      </c>
      <c r="C617">
        <v>13.97</v>
      </c>
      <c r="D617">
        <v>14.5</v>
      </c>
      <c r="E617">
        <v>0.963448275862069</v>
      </c>
      <c r="F617">
        <v>0.08589835361488904</v>
      </c>
      <c r="G617">
        <v>0.007475095303595358</v>
      </c>
      <c r="H617">
        <v>0.038</v>
      </c>
      <c r="I617">
        <v>0.1121514980574629</v>
      </c>
      <c r="J617" t="s">
        <v>778</v>
      </c>
      <c r="K617" t="s">
        <v>367</v>
      </c>
      <c r="L617">
        <v>1.58</v>
      </c>
      <c r="M617">
        <v>1.2</v>
      </c>
      <c r="N617">
        <v>0.7594936708860759</v>
      </c>
      <c r="O617">
        <v>0</v>
      </c>
      <c r="P617">
        <v>0.01613736474159566</v>
      </c>
      <c r="Q617">
        <v>-0.143890182620419</v>
      </c>
      <c r="R617" t="s">
        <v>782</v>
      </c>
      <c r="S617" t="s">
        <v>794</v>
      </c>
      <c r="T617">
        <v>3194.632945</v>
      </c>
      <c r="U617" s="2">
        <v>44509</v>
      </c>
      <c r="V617" t="s">
        <v>803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26.64</v>
      </c>
      <c r="D618">
        <v>29</v>
      </c>
      <c r="E618">
        <v>0.9186206896551724</v>
      </c>
      <c r="F618">
        <v>0.05105105105105105</v>
      </c>
      <c r="G618">
        <v>0.01712131478803136</v>
      </c>
      <c r="H618">
        <v>0.05</v>
      </c>
      <c r="I618">
        <v>0.1101226321425446</v>
      </c>
      <c r="J618" t="s">
        <v>778</v>
      </c>
      <c r="K618" t="s">
        <v>515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0.560230520545377</v>
      </c>
      <c r="R618" t="s">
        <v>780</v>
      </c>
      <c r="S618" t="s">
        <v>793</v>
      </c>
      <c r="T618">
        <v>38769.669495</v>
      </c>
      <c r="U618" s="2">
        <v>44502</v>
      </c>
      <c r="V618" t="s">
        <v>804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6.14</v>
      </c>
      <c r="D619">
        <v>6.3</v>
      </c>
      <c r="E619">
        <v>0.9746031746031746</v>
      </c>
      <c r="F619">
        <v>0.1107491856677525</v>
      </c>
      <c r="G619">
        <v>0.005158236376113789</v>
      </c>
      <c r="H619">
        <v>0.018</v>
      </c>
      <c r="I619">
        <v>0.1100277589813823</v>
      </c>
      <c r="J619" t="s">
        <v>778</v>
      </c>
      <c r="K619" t="s">
        <v>367</v>
      </c>
      <c r="L619">
        <v>0.75</v>
      </c>
      <c r="M619">
        <v>0.68</v>
      </c>
      <c r="N619">
        <v>0.9066666666666667</v>
      </c>
      <c r="O619">
        <v>0</v>
      </c>
      <c r="P619">
        <v>0.005814345444414393</v>
      </c>
      <c r="Q619">
        <v>0.02391355101224</v>
      </c>
      <c r="R619" t="s">
        <v>782</v>
      </c>
      <c r="S619" t="s">
        <v>794</v>
      </c>
      <c r="T619">
        <v>2111.57748</v>
      </c>
      <c r="U619" s="2">
        <v>44511</v>
      </c>
      <c r="V619" t="s">
        <v>803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35.551</v>
      </c>
      <c r="D620">
        <v>35</v>
      </c>
      <c r="E620">
        <v>1.015742857142857</v>
      </c>
      <c r="F620">
        <v>0.05175663131838767</v>
      </c>
      <c r="G620">
        <v>-0.003119170001714022</v>
      </c>
      <c r="H620">
        <v>0.07000000000000001</v>
      </c>
      <c r="I620">
        <v>0.108336122026266</v>
      </c>
      <c r="J620" t="s">
        <v>778</v>
      </c>
      <c r="K620" t="s">
        <v>367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0.19488716952468</v>
      </c>
      <c r="R620" t="s">
        <v>780</v>
      </c>
      <c r="S620" t="s">
        <v>787</v>
      </c>
      <c r="T620">
        <v>1357.646296</v>
      </c>
      <c r="U620" s="2">
        <v>44516</v>
      </c>
      <c r="V620" t="s">
        <v>795</v>
      </c>
    </row>
    <row r="621" spans="1:22">
      <c r="A621" s="1" t="s">
        <v>641</v>
      </c>
      <c r="B621">
        <f>HYPERLINK("https://www.suredividend.com/sure-analysis-USAC/","USA Compression Partners LP")</f>
        <v>0</v>
      </c>
      <c r="C621">
        <v>15.59</v>
      </c>
      <c r="D621">
        <v>14.8</v>
      </c>
      <c r="E621">
        <v>1.053378378378378</v>
      </c>
      <c r="F621">
        <v>0.1347017318794099</v>
      </c>
      <c r="G621">
        <v>-0.01034660227289175</v>
      </c>
      <c r="H621">
        <v>0.01</v>
      </c>
      <c r="I621">
        <v>0.1081762073596855</v>
      </c>
      <c r="J621" t="s">
        <v>778</v>
      </c>
      <c r="K621" t="s">
        <v>367</v>
      </c>
      <c r="L621">
        <v>2.11</v>
      </c>
      <c r="M621">
        <v>2.1</v>
      </c>
      <c r="N621">
        <v>0.9952606635071091</v>
      </c>
      <c r="O621">
        <v>0</v>
      </c>
      <c r="P621">
        <v>0</v>
      </c>
      <c r="Q621">
        <v>0.394728837517221</v>
      </c>
      <c r="R621" t="s">
        <v>781</v>
      </c>
      <c r="S621" t="s">
        <v>793</v>
      </c>
      <c r="T621">
        <v>1513.27796</v>
      </c>
      <c r="U621" s="2">
        <v>44502</v>
      </c>
      <c r="V621" t="s">
        <v>801</v>
      </c>
    </row>
    <row r="622" spans="1:22">
      <c r="A622" s="1" t="s">
        <v>642</v>
      </c>
      <c r="B622">
        <f>HYPERLINK("https://www.suredividend.com/sure-analysis-QSR/","Restaurant Brands International Inc")</f>
        <v>0</v>
      </c>
      <c r="C622">
        <v>58.71</v>
      </c>
      <c r="D622">
        <v>53</v>
      </c>
      <c r="E622">
        <v>1.107735849056604</v>
      </c>
      <c r="F622">
        <v>0.03610969170499063</v>
      </c>
      <c r="G622">
        <v>-0.02025567215058055</v>
      </c>
      <c r="H622">
        <v>0.1</v>
      </c>
      <c r="I622">
        <v>0.1059301950259182</v>
      </c>
      <c r="J622" t="s">
        <v>778</v>
      </c>
      <c r="K622" t="s">
        <v>515</v>
      </c>
      <c r="L622">
        <v>2.8</v>
      </c>
      <c r="M622">
        <v>2.12</v>
      </c>
      <c r="N622">
        <v>0.7571428571428572</v>
      </c>
      <c r="O622">
        <v>9</v>
      </c>
      <c r="P622">
        <v>0.03517300006217261</v>
      </c>
      <c r="Q622">
        <v>0.009887297196879001</v>
      </c>
      <c r="R622" t="s">
        <v>780</v>
      </c>
      <c r="S622" t="s">
        <v>791</v>
      </c>
      <c r="T622">
        <v>18519.048592</v>
      </c>
      <c r="U622" s="2">
        <v>44495</v>
      </c>
      <c r="V622" t="s">
        <v>804</v>
      </c>
    </row>
    <row r="623" spans="1:22">
      <c r="A623" s="1" t="s">
        <v>643</v>
      </c>
      <c r="B623">
        <f>HYPERLINK("https://www.suredividend.com/sure-analysis-CTRE/","CareTrust REIT Inc")</f>
        <v>0</v>
      </c>
      <c r="C623">
        <v>20.71</v>
      </c>
      <c r="D623">
        <v>22</v>
      </c>
      <c r="E623">
        <v>0.9413636363636364</v>
      </c>
      <c r="F623">
        <v>0.05118300338000966</v>
      </c>
      <c r="G623">
        <v>0.01215847614873766</v>
      </c>
      <c r="H623">
        <v>0.05</v>
      </c>
      <c r="I623">
        <v>0.1056569809737649</v>
      </c>
      <c r="J623" t="s">
        <v>778</v>
      </c>
      <c r="K623" t="s">
        <v>367</v>
      </c>
      <c r="L623">
        <v>1.5</v>
      </c>
      <c r="M623">
        <v>1.06</v>
      </c>
      <c r="N623">
        <v>0.7066666666666667</v>
      </c>
      <c r="O623">
        <v>5</v>
      </c>
      <c r="P623">
        <v>0.04955591526723868</v>
      </c>
      <c r="Q623">
        <v>0.082445668649321</v>
      </c>
      <c r="R623" t="s">
        <v>782</v>
      </c>
      <c r="S623" t="s">
        <v>794</v>
      </c>
      <c r="T623">
        <v>2009.550241</v>
      </c>
      <c r="U623" s="2">
        <v>44508</v>
      </c>
      <c r="V623" t="s">
        <v>801</v>
      </c>
    </row>
    <row r="624" spans="1:22">
      <c r="A624" s="1" t="s">
        <v>644</v>
      </c>
      <c r="B624">
        <f>HYPERLINK("https://www.suredividend.com/sure-analysis-SFL/","SFL Corporation Ltd")</f>
        <v>0</v>
      </c>
      <c r="C624">
        <v>8.48</v>
      </c>
      <c r="D624">
        <v>8.640000000000001</v>
      </c>
      <c r="E624">
        <v>0.9814814814814815</v>
      </c>
      <c r="F624">
        <v>0.08490566037735849</v>
      </c>
      <c r="G624">
        <v>0.00374542323524385</v>
      </c>
      <c r="H624">
        <v>0.03</v>
      </c>
      <c r="I624">
        <v>0.1045175029994578</v>
      </c>
      <c r="J624" t="s">
        <v>778</v>
      </c>
      <c r="K624" t="s">
        <v>367</v>
      </c>
      <c r="L624">
        <v>0.96</v>
      </c>
      <c r="M624">
        <v>0.72</v>
      </c>
      <c r="N624">
        <v>0.75</v>
      </c>
      <c r="O624">
        <v>1</v>
      </c>
      <c r="P624">
        <v>0.02884302866442456</v>
      </c>
      <c r="Q624">
        <v>0.219827958226646</v>
      </c>
      <c r="R624" t="s">
        <v>780</v>
      </c>
      <c r="S624" t="s">
        <v>787</v>
      </c>
      <c r="T624">
        <v>1086.500636</v>
      </c>
      <c r="U624" s="2">
        <v>44517</v>
      </c>
      <c r="V624" t="s">
        <v>795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17.68</v>
      </c>
      <c r="D625">
        <v>18.8</v>
      </c>
      <c r="E625">
        <v>0.9404255319148935</v>
      </c>
      <c r="F625">
        <v>0.1018099547511312</v>
      </c>
      <c r="G625">
        <v>0.01236032769294892</v>
      </c>
      <c r="H625">
        <v>0.01</v>
      </c>
      <c r="I625">
        <v>0.1042430495970079</v>
      </c>
      <c r="J625" t="s">
        <v>778</v>
      </c>
      <c r="K625" t="s">
        <v>367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0.256529618705803</v>
      </c>
      <c r="R625" t="s">
        <v>782</v>
      </c>
      <c r="S625" t="s">
        <v>790</v>
      </c>
      <c r="T625">
        <v>1015.321153</v>
      </c>
      <c r="U625" s="2">
        <v>44509</v>
      </c>
      <c r="V625" t="s">
        <v>795</v>
      </c>
    </row>
    <row r="626" spans="1:22">
      <c r="A626" s="1" t="s">
        <v>646</v>
      </c>
      <c r="B626">
        <f>HYPERLINK("https://www.suredividend.com/sure-analysis-VGR/","Vector Group Ltd")</f>
        <v>0</v>
      </c>
      <c r="C626">
        <v>16.56</v>
      </c>
      <c r="D626">
        <v>20</v>
      </c>
      <c r="E626">
        <v>0.828</v>
      </c>
      <c r="F626">
        <v>0.04830917874396136</v>
      </c>
      <c r="G626">
        <v>0.03846994685274363</v>
      </c>
      <c r="H626">
        <v>0.03</v>
      </c>
      <c r="I626">
        <v>0.1042193145268995</v>
      </c>
      <c r="J626" t="s">
        <v>778</v>
      </c>
      <c r="K626" t="s">
        <v>515</v>
      </c>
      <c r="L626">
        <v>1</v>
      </c>
      <c r="M626">
        <v>0.8</v>
      </c>
      <c r="N626">
        <v>0.8</v>
      </c>
      <c r="O626">
        <v>0</v>
      </c>
      <c r="P626">
        <v>0</v>
      </c>
      <c r="Q626">
        <v>0.5087875944131121</v>
      </c>
      <c r="R626" t="s">
        <v>780</v>
      </c>
      <c r="S626" t="s">
        <v>792</v>
      </c>
      <c r="T626">
        <v>2549.568111</v>
      </c>
      <c r="U626" s="2">
        <v>44454</v>
      </c>
      <c r="V626" t="s">
        <v>802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48.68</v>
      </c>
      <c r="D627">
        <v>53</v>
      </c>
      <c r="E627">
        <v>0.9184905660377358</v>
      </c>
      <c r="F627">
        <v>0.05669679539852095</v>
      </c>
      <c r="G627">
        <v>0.01715013250488706</v>
      </c>
      <c r="H627">
        <v>0.04</v>
      </c>
      <c r="I627">
        <v>0.1032830343126951</v>
      </c>
      <c r="J627" t="s">
        <v>778</v>
      </c>
      <c r="K627" t="s">
        <v>367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0.145805382554948</v>
      </c>
      <c r="R627" t="s">
        <v>780</v>
      </c>
      <c r="S627" t="s">
        <v>793</v>
      </c>
      <c r="T627">
        <v>47670.349004</v>
      </c>
      <c r="U627" s="2">
        <v>44510</v>
      </c>
      <c r="V627" t="s">
        <v>804</v>
      </c>
    </row>
    <row r="628" spans="1:22">
      <c r="A628" s="1" t="s">
        <v>648</v>
      </c>
      <c r="B628">
        <f>HYPERLINK("https://www.suredividend.com/sure-analysis-KNOP/","KNOT Offshore Partners LP")</f>
        <v>0</v>
      </c>
      <c r="C628">
        <v>17.09</v>
      </c>
      <c r="D628">
        <v>17.29</v>
      </c>
      <c r="E628">
        <v>0.9884326200115674</v>
      </c>
      <c r="F628">
        <v>0.1217086015213575</v>
      </c>
      <c r="G628">
        <v>0.002329669987360949</v>
      </c>
      <c r="H628">
        <v>0</v>
      </c>
      <c r="I628">
        <v>0.1013267264770086</v>
      </c>
      <c r="J628" t="s">
        <v>778</v>
      </c>
      <c r="K628" t="s">
        <v>367</v>
      </c>
      <c r="L628">
        <v>2.47</v>
      </c>
      <c r="M628">
        <v>2.08</v>
      </c>
      <c r="N628">
        <v>0.8421052631578947</v>
      </c>
      <c r="O628">
        <v>0</v>
      </c>
      <c r="P628">
        <v>0</v>
      </c>
      <c r="Q628">
        <v>0.287062349849001</v>
      </c>
      <c r="R628" t="s">
        <v>781</v>
      </c>
      <c r="S628" t="s">
        <v>787</v>
      </c>
      <c r="T628">
        <v>562.421407</v>
      </c>
      <c r="U628" s="2">
        <v>44520</v>
      </c>
      <c r="V628" t="s">
        <v>795</v>
      </c>
    </row>
    <row r="629" spans="1:22">
      <c r="A629" s="1" t="s">
        <v>649</v>
      </c>
      <c r="B629">
        <f>HYPERLINK("https://www.suredividend.com/sure-analysis-CTO/","CTO Realty Growth Inc")</f>
        <v>0</v>
      </c>
      <c r="C629">
        <v>56.49</v>
      </c>
      <c r="D629">
        <v>56</v>
      </c>
      <c r="E629">
        <v>1.00875</v>
      </c>
      <c r="F629">
        <v>0.07080899274207825</v>
      </c>
      <c r="G629">
        <v>-0.001740871043463432</v>
      </c>
      <c r="H629">
        <v>0.045</v>
      </c>
      <c r="I629">
        <v>0.1001250093299266</v>
      </c>
      <c r="J629" t="s">
        <v>778</v>
      </c>
      <c r="K629" t="s">
        <v>367</v>
      </c>
      <c r="L629">
        <v>4.15</v>
      </c>
      <c r="M629">
        <v>4</v>
      </c>
      <c r="N629">
        <v>0.9638554216867469</v>
      </c>
      <c r="O629">
        <v>8</v>
      </c>
      <c r="P629">
        <v>0.02016978262061087</v>
      </c>
      <c r="Q629">
        <v>0.274996614454024</v>
      </c>
      <c r="R629" t="s">
        <v>782</v>
      </c>
      <c r="S629" t="s">
        <v>794</v>
      </c>
      <c r="T629">
        <v>336.801854</v>
      </c>
      <c r="U629" s="2">
        <v>44502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43.34</v>
      </c>
      <c r="D630">
        <v>45</v>
      </c>
      <c r="E630">
        <v>0.9631111111111111</v>
      </c>
      <c r="F630">
        <v>0.06137517305029995</v>
      </c>
      <c r="G630">
        <v>0.007545624555944208</v>
      </c>
      <c r="H630">
        <v>0.04</v>
      </c>
      <c r="I630">
        <v>0.09763705848279924</v>
      </c>
      <c r="J630" t="s">
        <v>778</v>
      </c>
      <c r="K630" t="s">
        <v>367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0.173114193220082</v>
      </c>
      <c r="R630" t="s">
        <v>781</v>
      </c>
      <c r="S630" t="s">
        <v>793</v>
      </c>
      <c r="T630">
        <v>20977.670501</v>
      </c>
      <c r="U630" s="2">
        <v>44509</v>
      </c>
      <c r="V630" t="s">
        <v>804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3.95</v>
      </c>
      <c r="D631">
        <v>4.05</v>
      </c>
      <c r="E631">
        <v>0.9753086419753088</v>
      </c>
      <c r="F631">
        <v>0.1012658227848101</v>
      </c>
      <c r="G631">
        <v>0.005012782605984922</v>
      </c>
      <c r="H631">
        <v>0.01</v>
      </c>
      <c r="I631">
        <v>0.09634724567197095</v>
      </c>
      <c r="J631" t="s">
        <v>778</v>
      </c>
      <c r="K631" t="s">
        <v>367</v>
      </c>
      <c r="L631">
        <v>0.45</v>
      </c>
      <c r="M631">
        <v>0.4</v>
      </c>
      <c r="N631">
        <v>0.888888888888889</v>
      </c>
      <c r="O631">
        <v>0</v>
      </c>
      <c r="P631">
        <v>0</v>
      </c>
      <c r="Q631">
        <v>0.150798275259293</v>
      </c>
      <c r="R631" t="s">
        <v>780</v>
      </c>
      <c r="S631" t="s">
        <v>794</v>
      </c>
      <c r="T631">
        <v>1498.181576</v>
      </c>
      <c r="U631" s="2">
        <v>44435</v>
      </c>
      <c r="V631" t="s">
        <v>798</v>
      </c>
    </row>
    <row r="632" spans="1:22">
      <c r="A632" s="1" t="s">
        <v>652</v>
      </c>
      <c r="B632">
        <f>HYPERLINK("https://www.suredividend.com/sure-analysis-SRC/","Spirit Realty Capital Inc")</f>
        <v>0</v>
      </c>
      <c r="C632">
        <v>47.15</v>
      </c>
      <c r="D632">
        <v>50</v>
      </c>
      <c r="E632">
        <v>0.9429999999999999</v>
      </c>
      <c r="F632">
        <v>0.05408271474019088</v>
      </c>
      <c r="G632">
        <v>0.01180695755940842</v>
      </c>
      <c r="H632">
        <v>0.04</v>
      </c>
      <c r="I632">
        <v>0.09546112726281253</v>
      </c>
      <c r="J632" t="s">
        <v>778</v>
      </c>
      <c r="K632" t="s">
        <v>367</v>
      </c>
      <c r="L632">
        <v>3.3</v>
      </c>
      <c r="M632">
        <v>2.55</v>
      </c>
      <c r="N632">
        <v>0.7727272727272727</v>
      </c>
      <c r="O632">
        <v>1</v>
      </c>
      <c r="P632">
        <v>0.02033265364950054</v>
      </c>
      <c r="Q632">
        <v>0.33297146621207</v>
      </c>
      <c r="R632" t="s">
        <v>782</v>
      </c>
      <c r="S632" t="s">
        <v>794</v>
      </c>
      <c r="T632">
        <v>5814.327522</v>
      </c>
      <c r="U632" s="2">
        <v>44509</v>
      </c>
      <c r="V632" t="s">
        <v>795</v>
      </c>
    </row>
    <row r="633" spans="1:22">
      <c r="A633" s="1" t="s">
        <v>653</v>
      </c>
      <c r="B633">
        <f>HYPERLINK("https://www.suredividend.com/sure-analysis-AFIN/","American Fin Tr Inc")</f>
        <v>0</v>
      </c>
      <c r="C633">
        <v>8.4</v>
      </c>
      <c r="D633">
        <v>9</v>
      </c>
      <c r="E633">
        <v>0.9333333333333333</v>
      </c>
      <c r="F633">
        <v>0.1011904761904762</v>
      </c>
      <c r="G633">
        <v>0.01389421401466451</v>
      </c>
      <c r="H633">
        <v>0</v>
      </c>
      <c r="I633">
        <v>0.09543677971210718</v>
      </c>
      <c r="J633" t="s">
        <v>778</v>
      </c>
      <c r="K633" t="s">
        <v>367</v>
      </c>
      <c r="L633">
        <v>1</v>
      </c>
      <c r="M633">
        <v>0.85</v>
      </c>
      <c r="N633">
        <v>0.85</v>
      </c>
      <c r="O633">
        <v>0</v>
      </c>
      <c r="P633">
        <v>0</v>
      </c>
      <c r="Q633">
        <v>0.103013590703171</v>
      </c>
      <c r="R633" t="s">
        <v>782</v>
      </c>
      <c r="S633" t="s">
        <v>794</v>
      </c>
      <c r="T633">
        <v>1037.454382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HYPERLINK("https://www.suredividend.com/sure-analysis-ORCC/","Owl Rock Capital Corp")</f>
        <v>0</v>
      </c>
      <c r="C634">
        <v>14.21</v>
      </c>
      <c r="D634">
        <v>14.64</v>
      </c>
      <c r="E634">
        <v>0.9706284153005464</v>
      </c>
      <c r="F634">
        <v>0.0872624912033779</v>
      </c>
      <c r="G634">
        <v>0.005980123253294334</v>
      </c>
      <c r="H634">
        <v>0.02</v>
      </c>
      <c r="I634">
        <v>0.09493939805317075</v>
      </c>
      <c r="J634" t="s">
        <v>778</v>
      </c>
      <c r="K634" t="s">
        <v>367</v>
      </c>
      <c r="L634">
        <v>1.22</v>
      </c>
      <c r="M634">
        <v>1.24</v>
      </c>
      <c r="N634">
        <v>1.016393442622951</v>
      </c>
      <c r="O634">
        <v>0</v>
      </c>
      <c r="P634">
        <v>0</v>
      </c>
      <c r="Q634">
        <v>0.134078212290502</v>
      </c>
      <c r="R634" t="s">
        <v>783</v>
      </c>
      <c r="S634" t="s">
        <v>790</v>
      </c>
      <c r="T634">
        <v>5586.697792</v>
      </c>
      <c r="U634" s="2">
        <v>44509</v>
      </c>
      <c r="V634" t="s">
        <v>795</v>
      </c>
    </row>
    <row r="635" spans="1:22">
      <c r="A635" s="1" t="s">
        <v>655</v>
      </c>
      <c r="B635">
        <f>HYPERLINK("https://www.suredividend.com/sure-analysis-AQN/","Algonquin Power &amp; Utilities Corp")</f>
        <v>0</v>
      </c>
      <c r="C635">
        <v>13.87</v>
      </c>
      <c r="D635">
        <v>13</v>
      </c>
      <c r="E635">
        <v>1.066923076923077</v>
      </c>
      <c r="F635">
        <v>0.04902667627974045</v>
      </c>
      <c r="G635">
        <v>-0.01287221058677113</v>
      </c>
      <c r="H635">
        <v>0.065</v>
      </c>
      <c r="I635">
        <v>0.09483803737182028</v>
      </c>
      <c r="J635" t="s">
        <v>778</v>
      </c>
      <c r="K635" t="s">
        <v>515</v>
      </c>
      <c r="L635">
        <v>0.73</v>
      </c>
      <c r="M635">
        <v>0.68</v>
      </c>
      <c r="N635">
        <v>0.9315068493150686</v>
      </c>
      <c r="O635">
        <v>9</v>
      </c>
      <c r="P635">
        <v>0.05530068195228077</v>
      </c>
      <c r="Q635">
        <v>-0.06269850923785901</v>
      </c>
      <c r="R635" t="s">
        <v>780</v>
      </c>
      <c r="S635" t="s">
        <v>789</v>
      </c>
      <c r="T635">
        <v>9296.03168</v>
      </c>
      <c r="U635" s="2">
        <v>44513</v>
      </c>
      <c r="V635" t="s">
        <v>805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4.85</v>
      </c>
      <c r="D636">
        <v>3.6</v>
      </c>
      <c r="E636">
        <v>1.347222222222222</v>
      </c>
      <c r="F636">
        <v>0.1608247422680412</v>
      </c>
      <c r="G636">
        <v>-0.05786713800846366</v>
      </c>
      <c r="H636">
        <v>0.003</v>
      </c>
      <c r="I636">
        <v>0.09439883850674891</v>
      </c>
      <c r="J636" t="s">
        <v>778</v>
      </c>
      <c r="K636" t="s">
        <v>777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-0.014968418059589</v>
      </c>
      <c r="R636" t="s">
        <v>782</v>
      </c>
      <c r="S636" t="s">
        <v>794</v>
      </c>
      <c r="T636">
        <v>781.613143</v>
      </c>
      <c r="U636" s="2">
        <v>44506</v>
      </c>
      <c r="V636" t="s">
        <v>803</v>
      </c>
    </row>
    <row r="637" spans="1:22">
      <c r="A637" s="1" t="s">
        <v>657</v>
      </c>
      <c r="B637">
        <f>HYPERLINK("https://www.suredividend.com/sure-analysis-GNL/","Global Net Lease Inc")</f>
        <v>0</v>
      </c>
      <c r="C637">
        <v>15</v>
      </c>
      <c r="D637">
        <v>12.4</v>
      </c>
      <c r="E637">
        <v>1.209677419354839</v>
      </c>
      <c r="F637">
        <v>0.1066666666666667</v>
      </c>
      <c r="G637">
        <v>-0.03735516449890208</v>
      </c>
      <c r="H637">
        <v>0.04</v>
      </c>
      <c r="I637">
        <v>0.09423415848912864</v>
      </c>
      <c r="J637" t="s">
        <v>778</v>
      </c>
      <c r="K637" t="s">
        <v>367</v>
      </c>
      <c r="L637">
        <v>1.77</v>
      </c>
      <c r="M637">
        <v>1.6</v>
      </c>
      <c r="N637">
        <v>0.903954802259887</v>
      </c>
      <c r="O637">
        <v>0</v>
      </c>
      <c r="P637">
        <v>0.01808400232019891</v>
      </c>
      <c r="Q637">
        <v>-0.066438462735335</v>
      </c>
      <c r="R637" t="s">
        <v>782</v>
      </c>
      <c r="S637" t="s">
        <v>794</v>
      </c>
      <c r="T637">
        <v>1554.06417</v>
      </c>
      <c r="U637" s="2">
        <v>44509</v>
      </c>
      <c r="V637" t="s">
        <v>803</v>
      </c>
    </row>
    <row r="638" spans="1:22">
      <c r="A638" s="1" t="s">
        <v>658</v>
      </c>
      <c r="B638">
        <f>HYPERLINK("https://www.suredividend.com/sure-analysis-GSBD/","Goldman Sachs BDC Inc")</f>
        <v>0</v>
      </c>
      <c r="C638">
        <v>18.98</v>
      </c>
      <c r="D638">
        <v>20.64</v>
      </c>
      <c r="E638">
        <v>0.9195736434108527</v>
      </c>
      <c r="F638">
        <v>0.09483667017913593</v>
      </c>
      <c r="G638">
        <v>0.0169104188765814</v>
      </c>
      <c r="H638">
        <v>0</v>
      </c>
      <c r="I638">
        <v>0.09324222717135888</v>
      </c>
      <c r="J638" t="s">
        <v>778</v>
      </c>
      <c r="K638" t="s">
        <v>367</v>
      </c>
      <c r="L638">
        <v>2.15</v>
      </c>
      <c r="M638">
        <v>1.8</v>
      </c>
      <c r="N638">
        <v>0.8372093023255814</v>
      </c>
      <c r="O638">
        <v>0</v>
      </c>
      <c r="P638">
        <v>0</v>
      </c>
      <c r="Q638">
        <v>0.158758455639942</v>
      </c>
      <c r="R638" t="s">
        <v>783</v>
      </c>
      <c r="S638" t="s">
        <v>790</v>
      </c>
      <c r="T638">
        <v>1932.521033</v>
      </c>
      <c r="U638" s="2">
        <v>44513</v>
      </c>
      <c r="V638" t="s">
        <v>795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28.35</v>
      </c>
      <c r="D639">
        <v>29</v>
      </c>
      <c r="E639">
        <v>0.9775862068965517</v>
      </c>
      <c r="F639">
        <v>0.04479717813051146</v>
      </c>
      <c r="G639">
        <v>0.004544053001752424</v>
      </c>
      <c r="H639">
        <v>0.05</v>
      </c>
      <c r="I639">
        <v>0.09193286155061098</v>
      </c>
      <c r="J639" t="s">
        <v>778</v>
      </c>
      <c r="K639" t="s">
        <v>515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0.02278261810704</v>
      </c>
      <c r="R639" t="s">
        <v>782</v>
      </c>
      <c r="S639" t="s">
        <v>794</v>
      </c>
      <c r="T639">
        <v>2192.947146</v>
      </c>
      <c r="U639" s="2">
        <v>44499</v>
      </c>
      <c r="V639" t="s">
        <v>797</v>
      </c>
    </row>
    <row r="640" spans="1:22">
      <c r="A640" s="1" t="s">
        <v>660</v>
      </c>
      <c r="B640">
        <f>HYPERLINK("https://www.suredividend.com/sure-analysis-UMH/","UMH Properties Inc")</f>
        <v>0</v>
      </c>
      <c r="C640">
        <v>23.5</v>
      </c>
      <c r="D640">
        <v>25.7</v>
      </c>
      <c r="E640">
        <v>0.914396887159533</v>
      </c>
      <c r="F640">
        <v>0.03234042553191489</v>
      </c>
      <c r="G640">
        <v>0.0180592452741779</v>
      </c>
      <c r="H640">
        <v>0.045</v>
      </c>
      <c r="I640">
        <v>0.09048039674016395</v>
      </c>
      <c r="J640" t="s">
        <v>778</v>
      </c>
      <c r="K640" t="s">
        <v>515</v>
      </c>
      <c r="L640">
        <v>0.89</v>
      </c>
      <c r="M640">
        <v>0.76</v>
      </c>
      <c r="N640">
        <v>0.8539325842696629</v>
      </c>
      <c r="O640">
        <v>1</v>
      </c>
      <c r="P640">
        <v>0.03439350143683439</v>
      </c>
      <c r="Q640">
        <v>0.669306775964823</v>
      </c>
      <c r="R640" t="s">
        <v>782</v>
      </c>
      <c r="S640" t="s">
        <v>794</v>
      </c>
      <c r="T640">
        <v>1151.835886</v>
      </c>
      <c r="U640" s="2">
        <v>44509</v>
      </c>
      <c r="V640" t="s">
        <v>803</v>
      </c>
    </row>
    <row r="641" spans="1:22">
      <c r="A641" s="1" t="s">
        <v>661</v>
      </c>
      <c r="B641">
        <f>HYPERLINK("https://www.suredividend.com/sure-analysis-VST/","Vistra Corp")</f>
        <v>0</v>
      </c>
      <c r="C641">
        <v>20.62</v>
      </c>
      <c r="D641">
        <v>19</v>
      </c>
      <c r="E641">
        <v>1.085263157894737</v>
      </c>
      <c r="F641">
        <v>0.02909796314258002</v>
      </c>
      <c r="G641">
        <v>-0.01623132887146639</v>
      </c>
      <c r="H641">
        <v>0.08</v>
      </c>
      <c r="I641">
        <v>0.08991767733780542</v>
      </c>
      <c r="J641" t="s">
        <v>778</v>
      </c>
      <c r="K641" t="s">
        <v>778</v>
      </c>
      <c r="L641">
        <v>-0.55</v>
      </c>
      <c r="M641">
        <v>0.6</v>
      </c>
      <c r="N641">
        <v>9.99</v>
      </c>
      <c r="O641">
        <v>2</v>
      </c>
      <c r="P641">
        <v>0.0796084730466029</v>
      </c>
      <c r="Q641">
        <v>0.09929361588697801</v>
      </c>
      <c r="R641" t="s">
        <v>780</v>
      </c>
      <c r="S641" t="s">
        <v>789</v>
      </c>
      <c r="T641">
        <v>9951.779462</v>
      </c>
      <c r="U641" s="2">
        <v>44515</v>
      </c>
      <c r="V641" t="s">
        <v>801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28.48</v>
      </c>
      <c r="D642">
        <v>27.05</v>
      </c>
      <c r="E642">
        <v>1.052865064695009</v>
      </c>
      <c r="F642">
        <v>0.0351123595505618</v>
      </c>
      <c r="G642">
        <v>-0.01025012199099518</v>
      </c>
      <c r="H642">
        <v>0.07000000000000001</v>
      </c>
      <c r="I642">
        <v>0.08965848287932165</v>
      </c>
      <c r="J642" t="s">
        <v>778</v>
      </c>
      <c r="K642" t="s">
        <v>515</v>
      </c>
      <c r="L642">
        <v>1.48</v>
      </c>
      <c r="M642">
        <v>1</v>
      </c>
      <c r="N642">
        <v>0.6756756756756757</v>
      </c>
      <c r="O642">
        <v>2</v>
      </c>
      <c r="P642">
        <v>0.05061112176150684</v>
      </c>
      <c r="Q642">
        <v>0.38980387563988</v>
      </c>
      <c r="R642" t="s">
        <v>782</v>
      </c>
      <c r="S642" t="s">
        <v>794</v>
      </c>
      <c r="T642">
        <v>3462.42359</v>
      </c>
      <c r="U642" s="2">
        <v>44508</v>
      </c>
      <c r="V642" t="s">
        <v>801</v>
      </c>
    </row>
    <row r="643" spans="1:22">
      <c r="A643" s="1" t="s">
        <v>663</v>
      </c>
      <c r="B643">
        <f>HYPERLINK("https://www.suredividend.com/sure-analysis-EPR/","EPR Properties")</f>
        <v>0</v>
      </c>
      <c r="C643">
        <v>51.14</v>
      </c>
      <c r="D643">
        <v>42</v>
      </c>
      <c r="E643">
        <v>1.217619047619048</v>
      </c>
      <c r="F643">
        <v>0.05866249511145874</v>
      </c>
      <c r="G643">
        <v>-0.0386141774628862</v>
      </c>
      <c r="H643">
        <v>0.08</v>
      </c>
      <c r="I643">
        <v>0.08843867254130422</v>
      </c>
      <c r="J643" t="s">
        <v>778</v>
      </c>
      <c r="K643" t="s">
        <v>515</v>
      </c>
      <c r="L643">
        <v>3</v>
      </c>
      <c r="M643">
        <v>3</v>
      </c>
      <c r="N643">
        <v>1</v>
      </c>
      <c r="O643">
        <v>0</v>
      </c>
      <c r="P643">
        <v>0.03012896281839894</v>
      </c>
      <c r="Q643">
        <v>0.288453301756065</v>
      </c>
      <c r="R643" t="s">
        <v>782</v>
      </c>
      <c r="S643" t="s">
        <v>794</v>
      </c>
      <c r="T643">
        <v>3825.549844</v>
      </c>
      <c r="U643" s="2">
        <v>44522</v>
      </c>
      <c r="V643" t="s">
        <v>798</v>
      </c>
    </row>
    <row r="644" spans="1:22">
      <c r="A644" s="1" t="s">
        <v>664</v>
      </c>
      <c r="B644">
        <f>HYPERLINK("https://www.suredividend.com/sure-analysis-CWCO/","Consolidated Water Co. Ltd.")</f>
        <v>0</v>
      </c>
      <c r="C644">
        <v>11.31</v>
      </c>
      <c r="D644">
        <v>12.4</v>
      </c>
      <c r="E644">
        <v>0.9120967741935484</v>
      </c>
      <c r="F644">
        <v>0.03006189213085765</v>
      </c>
      <c r="G644">
        <v>0.01857219364689433</v>
      </c>
      <c r="H644">
        <v>0.042</v>
      </c>
      <c r="I644">
        <v>0.08808869110343687</v>
      </c>
      <c r="J644" t="s">
        <v>778</v>
      </c>
      <c r="K644" t="s">
        <v>778</v>
      </c>
      <c r="L644">
        <v>0.33</v>
      </c>
      <c r="M644">
        <v>0.34</v>
      </c>
      <c r="N644">
        <v>1.03030303030303</v>
      </c>
      <c r="O644">
        <v>0</v>
      </c>
      <c r="P644">
        <v>0.0576615571948691</v>
      </c>
      <c r="Q644">
        <v>0.051515912197026</v>
      </c>
      <c r="R644" t="s">
        <v>780</v>
      </c>
      <c r="S644" t="s">
        <v>789</v>
      </c>
      <c r="T644">
        <v>172.033006</v>
      </c>
      <c r="U644" s="2">
        <v>44517</v>
      </c>
      <c r="V644" t="s">
        <v>803</v>
      </c>
    </row>
    <row r="645" spans="1:22">
      <c r="A645" s="1" t="s">
        <v>665</v>
      </c>
      <c r="B645">
        <f>HYPERLINK("https://www.suredividend.com/sure-analysis-AAT/","American Assets Trust Inc")</f>
        <v>0</v>
      </c>
      <c r="C645">
        <v>38.1</v>
      </c>
      <c r="D645">
        <v>38</v>
      </c>
      <c r="E645">
        <v>1.002631578947369</v>
      </c>
      <c r="F645">
        <v>0.03149606299212598</v>
      </c>
      <c r="G645">
        <v>-0.0005254863649064578</v>
      </c>
      <c r="H645">
        <v>0.06</v>
      </c>
      <c r="I645">
        <v>0.08696711152683045</v>
      </c>
      <c r="J645" t="s">
        <v>778</v>
      </c>
      <c r="K645" t="s">
        <v>515</v>
      </c>
      <c r="L645">
        <v>1.92</v>
      </c>
      <c r="M645">
        <v>1.2</v>
      </c>
      <c r="N645">
        <v>0.625</v>
      </c>
      <c r="O645">
        <v>1</v>
      </c>
      <c r="P645">
        <v>0.04978904632428516</v>
      </c>
      <c r="Q645">
        <v>0.252523127297114</v>
      </c>
      <c r="R645" t="s">
        <v>782</v>
      </c>
      <c r="S645" t="s">
        <v>794</v>
      </c>
      <c r="T645">
        <v>2303.985677</v>
      </c>
      <c r="U645" s="2">
        <v>44502</v>
      </c>
      <c r="V645" t="s">
        <v>804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308.4</v>
      </c>
      <c r="D646">
        <v>257</v>
      </c>
      <c r="E646">
        <v>1.2</v>
      </c>
      <c r="F646">
        <v>0.02529182879377432</v>
      </c>
      <c r="G646">
        <v>-0.03580749599737276</v>
      </c>
      <c r="H646">
        <v>0.1</v>
      </c>
      <c r="I646">
        <v>0.08619057551327547</v>
      </c>
      <c r="J646" t="s">
        <v>778</v>
      </c>
      <c r="K646" t="s">
        <v>778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0.394265698034781</v>
      </c>
      <c r="R646" t="s">
        <v>782</v>
      </c>
      <c r="S646" t="s">
        <v>794</v>
      </c>
      <c r="T646">
        <v>11924.764375</v>
      </c>
      <c r="U646" s="2">
        <v>44490</v>
      </c>
      <c r="V646" t="s">
        <v>796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22.71</v>
      </c>
      <c r="D647">
        <v>21</v>
      </c>
      <c r="E647">
        <v>1.081428571428571</v>
      </c>
      <c r="F647">
        <v>0.03522677234698371</v>
      </c>
      <c r="G647">
        <v>-0.01553465652281982</v>
      </c>
      <c r="H647">
        <v>0.07000000000000001</v>
      </c>
      <c r="I647">
        <v>0.08464508434101048</v>
      </c>
      <c r="J647" t="s">
        <v>778</v>
      </c>
      <c r="K647" t="s">
        <v>515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0.22898920913922</v>
      </c>
      <c r="R647" t="s">
        <v>782</v>
      </c>
      <c r="S647" t="s">
        <v>794</v>
      </c>
      <c r="T647">
        <v>899.882024</v>
      </c>
      <c r="U647" s="2">
        <v>44502</v>
      </c>
      <c r="V647" t="s">
        <v>801</v>
      </c>
    </row>
    <row r="648" spans="1:22">
      <c r="A648" s="1" t="s">
        <v>668</v>
      </c>
      <c r="B648">
        <f>HYPERLINK("https://www.suredividend.com/sure-analysis-ILPT/","Industrial Logistics Properties Trust")</f>
        <v>0</v>
      </c>
      <c r="C648">
        <v>23.31</v>
      </c>
      <c r="D648">
        <v>24</v>
      </c>
      <c r="E648">
        <v>0.9712499999999999</v>
      </c>
      <c r="F648">
        <v>0.05662805662805663</v>
      </c>
      <c r="G648">
        <v>0.005851327992054456</v>
      </c>
      <c r="H648">
        <v>0.03</v>
      </c>
      <c r="I648">
        <v>0.08367618591667059</v>
      </c>
      <c r="J648" t="s">
        <v>778</v>
      </c>
      <c r="K648" t="s">
        <v>367</v>
      </c>
      <c r="L648">
        <v>1.87</v>
      </c>
      <c r="M648">
        <v>1.32</v>
      </c>
      <c r="N648">
        <v>0.7058823529411765</v>
      </c>
      <c r="O648">
        <v>0</v>
      </c>
      <c r="P648">
        <v>0.02036554426441151</v>
      </c>
      <c r="Q648">
        <v>0.113675127922142</v>
      </c>
      <c r="R648" t="s">
        <v>782</v>
      </c>
      <c r="S648" t="s">
        <v>794</v>
      </c>
      <c r="T648">
        <v>1524.58104</v>
      </c>
      <c r="U648" s="2">
        <v>44498</v>
      </c>
      <c r="V648" t="s">
        <v>795</v>
      </c>
    </row>
    <row r="649" spans="1:22">
      <c r="A649" s="1" t="s">
        <v>669</v>
      </c>
      <c r="B649">
        <f>HYPERLINK("https://www.suredividend.com/sure-analysis-MRCC/","Monroe Capital Corp")</f>
        <v>0</v>
      </c>
      <c r="C649">
        <v>11.31</v>
      </c>
      <c r="D649">
        <v>11.6</v>
      </c>
      <c r="E649">
        <v>0.9750000000000001</v>
      </c>
      <c r="F649">
        <v>0.08841732979664013</v>
      </c>
      <c r="G649">
        <v>0.005076403090295889</v>
      </c>
      <c r="H649">
        <v>0</v>
      </c>
      <c r="I649">
        <v>0.08359059428544491</v>
      </c>
      <c r="J649" t="s">
        <v>778</v>
      </c>
      <c r="K649" t="s">
        <v>777</v>
      </c>
      <c r="L649">
        <v>1.45</v>
      </c>
      <c r="M649">
        <v>1</v>
      </c>
      <c r="N649">
        <v>0.6896551724137931</v>
      </c>
      <c r="O649">
        <v>0</v>
      </c>
      <c r="P649">
        <v>0.01924487649145656</v>
      </c>
      <c r="Q649">
        <v>0.463869222505533</v>
      </c>
      <c r="R649" t="s">
        <v>783</v>
      </c>
      <c r="S649" t="s">
        <v>790</v>
      </c>
      <c r="T649">
        <v>243.657437</v>
      </c>
      <c r="U649" s="2">
        <v>44507</v>
      </c>
      <c r="V649" t="s">
        <v>795</v>
      </c>
    </row>
    <row r="650" spans="1:22">
      <c r="A650" s="1" t="s">
        <v>670</v>
      </c>
      <c r="B650">
        <f>HYPERLINK("https://www.suredividend.com/sure-analysis-HR/","Healthcare Realty Trust, Inc.")</f>
        <v>0</v>
      </c>
      <c r="C650">
        <v>32.84</v>
      </c>
      <c r="D650">
        <v>32</v>
      </c>
      <c r="E650">
        <v>1.02625</v>
      </c>
      <c r="F650">
        <v>0.03684531059683312</v>
      </c>
      <c r="G650">
        <v>-0.005168871528618668</v>
      </c>
      <c r="H650">
        <v>0.06</v>
      </c>
      <c r="I650">
        <v>0.08355463743892377</v>
      </c>
      <c r="J650" t="s">
        <v>778</v>
      </c>
      <c r="K650" t="s">
        <v>515</v>
      </c>
      <c r="L650">
        <v>1.72</v>
      </c>
      <c r="M650">
        <v>1.21</v>
      </c>
      <c r="N650">
        <v>0.7034883720930233</v>
      </c>
      <c r="O650">
        <v>1</v>
      </c>
      <c r="P650">
        <v>0.00972630418295628</v>
      </c>
      <c r="Q650">
        <v>0.121868231725231</v>
      </c>
      <c r="R650" t="s">
        <v>782</v>
      </c>
      <c r="S650" t="s">
        <v>794</v>
      </c>
      <c r="T650">
        <v>4845.273763</v>
      </c>
      <c r="U650" s="2">
        <v>44513</v>
      </c>
      <c r="V650" t="s">
        <v>801</v>
      </c>
    </row>
    <row r="651" spans="1:22">
      <c r="A651" s="1" t="s">
        <v>671</v>
      </c>
      <c r="B651">
        <f>HYPERLINK("https://www.suredividend.com/sure-analysis-KREF/","KKR Real Estate Finance Trust Inc")</f>
        <v>0</v>
      </c>
      <c r="C651">
        <v>21.55</v>
      </c>
      <c r="D651">
        <v>21.53</v>
      </c>
      <c r="E651">
        <v>1.000928936367859</v>
      </c>
      <c r="F651">
        <v>0.07981438515081206</v>
      </c>
      <c r="G651">
        <v>-0.0001856837933271738</v>
      </c>
      <c r="H651">
        <v>0.015</v>
      </c>
      <c r="I651">
        <v>0.08270192033541734</v>
      </c>
      <c r="J651" t="s">
        <v>778</v>
      </c>
      <c r="K651" t="s">
        <v>367</v>
      </c>
      <c r="L651">
        <v>2.05</v>
      </c>
      <c r="M651">
        <v>1.72</v>
      </c>
      <c r="N651">
        <v>0.8390243902439025</v>
      </c>
      <c r="O651">
        <v>0</v>
      </c>
      <c r="P651">
        <v>0.01025271344829148</v>
      </c>
      <c r="Q651">
        <v>0.269873071619662</v>
      </c>
      <c r="R651" t="s">
        <v>782</v>
      </c>
      <c r="S651" t="s">
        <v>794</v>
      </c>
      <c r="T651">
        <v>1202.993624</v>
      </c>
      <c r="U651" s="2">
        <v>44495</v>
      </c>
      <c r="V651" t="s">
        <v>795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15.33</v>
      </c>
      <c r="D652">
        <v>15</v>
      </c>
      <c r="E652">
        <v>1.022</v>
      </c>
      <c r="F652">
        <v>0.07045009784735813</v>
      </c>
      <c r="G652">
        <v>-0.004342840831442984</v>
      </c>
      <c r="H652">
        <v>0.03</v>
      </c>
      <c r="I652">
        <v>0.08252278509551791</v>
      </c>
      <c r="J652" t="s">
        <v>778</v>
      </c>
      <c r="K652" t="s">
        <v>367</v>
      </c>
      <c r="L652">
        <v>1.1</v>
      </c>
      <c r="M652">
        <v>1.08</v>
      </c>
      <c r="N652">
        <v>0.9818181818181818</v>
      </c>
      <c r="O652">
        <v>0</v>
      </c>
      <c r="P652">
        <v>0</v>
      </c>
      <c r="Q652">
        <v>-0.001276906238599</v>
      </c>
      <c r="R652" t="s">
        <v>780</v>
      </c>
      <c r="S652" t="s">
        <v>784</v>
      </c>
      <c r="T652">
        <v>41923.494464</v>
      </c>
      <c r="U652" s="2">
        <v>44429</v>
      </c>
      <c r="V652" t="s">
        <v>798</v>
      </c>
    </row>
    <row r="653" spans="1:22">
      <c r="A653" s="1" t="s">
        <v>673</v>
      </c>
      <c r="B653">
        <f>HYPERLINK("https://www.suredividend.com/sure-analysis-SSREY/","Swiss Re Ltd")</f>
        <v>0</v>
      </c>
      <c r="C653">
        <v>23.83</v>
      </c>
      <c r="D653">
        <v>21</v>
      </c>
      <c r="E653">
        <v>1.134761904761905</v>
      </c>
      <c r="F653">
        <v>0.06756189676877886</v>
      </c>
      <c r="G653">
        <v>-0.02496759308727048</v>
      </c>
      <c r="H653">
        <v>0.05</v>
      </c>
      <c r="I653">
        <v>0.08209546411034929</v>
      </c>
      <c r="J653" t="s">
        <v>778</v>
      </c>
      <c r="K653" t="s">
        <v>367</v>
      </c>
      <c r="L653">
        <v>1.75</v>
      </c>
      <c r="M653">
        <v>1.61</v>
      </c>
      <c r="N653">
        <v>0.92</v>
      </c>
      <c r="O653">
        <v>5</v>
      </c>
      <c r="P653">
        <v>0.02027871203234244</v>
      </c>
      <c r="Q653">
        <v>0.014474244359301</v>
      </c>
      <c r="R653" t="s">
        <v>780</v>
      </c>
      <c r="S653" t="s">
        <v>790</v>
      </c>
      <c r="T653">
        <v>30263.843208</v>
      </c>
      <c r="U653" s="2">
        <v>44503</v>
      </c>
      <c r="V653" t="s">
        <v>795</v>
      </c>
    </row>
    <row r="654" spans="1:22">
      <c r="A654" s="1" t="s">
        <v>674</v>
      </c>
      <c r="B654">
        <f>HYPERLINK("https://www.suredividend.com/sure-analysis-NRZ/","New Residential Investment Corp")</f>
        <v>0</v>
      </c>
      <c r="C654">
        <v>11.23</v>
      </c>
      <c r="D654">
        <v>10</v>
      </c>
      <c r="E654">
        <v>1.123</v>
      </c>
      <c r="F654">
        <v>0.08904719501335707</v>
      </c>
      <c r="G654">
        <v>-0.02293366747134151</v>
      </c>
      <c r="H654">
        <v>0.02</v>
      </c>
      <c r="I654">
        <v>0.08014079676161523</v>
      </c>
      <c r="J654" t="s">
        <v>778</v>
      </c>
      <c r="K654" t="s">
        <v>777</v>
      </c>
      <c r="L654">
        <v>1.3</v>
      </c>
      <c r="M654">
        <v>1</v>
      </c>
      <c r="N654">
        <v>0.7692307692307692</v>
      </c>
      <c r="O654">
        <v>1</v>
      </c>
      <c r="P654">
        <v>0.03012896281839894</v>
      </c>
      <c r="Q654">
        <v>0.236675182803277</v>
      </c>
      <c r="R654" t="s">
        <v>782</v>
      </c>
      <c r="S654" t="s">
        <v>794</v>
      </c>
      <c r="T654">
        <v>5239.692502</v>
      </c>
      <c r="U654" s="2">
        <v>44503</v>
      </c>
      <c r="V654" t="s">
        <v>800</v>
      </c>
    </row>
    <row r="655" spans="1:22">
      <c r="A655" s="1" t="s">
        <v>675</v>
      </c>
      <c r="B655">
        <f>HYPERLINK("https://www.suredividend.com/sure-analysis-PMT/","Pennymac Mortgage Investment Trust")</f>
        <v>0</v>
      </c>
      <c r="C655">
        <v>18.56</v>
      </c>
      <c r="D655">
        <v>17</v>
      </c>
      <c r="E655">
        <v>1.091764705882353</v>
      </c>
      <c r="F655">
        <v>0.1012931034482759</v>
      </c>
      <c r="G655">
        <v>-0.01740581443259293</v>
      </c>
      <c r="H655">
        <v>0.01</v>
      </c>
      <c r="I655">
        <v>0.07997181509468931</v>
      </c>
      <c r="J655" t="s">
        <v>778</v>
      </c>
      <c r="K655" t="s">
        <v>367</v>
      </c>
      <c r="L655">
        <v>1.9</v>
      </c>
      <c r="M655">
        <v>1.88</v>
      </c>
      <c r="N655">
        <v>0.9894736842105263</v>
      </c>
      <c r="O655">
        <v>1</v>
      </c>
      <c r="P655">
        <v>0</v>
      </c>
      <c r="Q655">
        <v>0.153131659552788</v>
      </c>
      <c r="R655" t="s">
        <v>782</v>
      </c>
      <c r="S655" t="s">
        <v>790</v>
      </c>
      <c r="T655">
        <v>1800.444241</v>
      </c>
      <c r="U655" s="2">
        <v>44512</v>
      </c>
      <c r="V655" t="s">
        <v>801</v>
      </c>
    </row>
    <row r="656" spans="1:22">
      <c r="A656" s="1" t="s">
        <v>676</v>
      </c>
      <c r="B656">
        <f>HYPERLINK("https://www.suredividend.com/sure-analysis-CHCT/","Community Healthcare Trust Inc")</f>
        <v>0</v>
      </c>
      <c r="C656">
        <v>45.51</v>
      </c>
      <c r="D656">
        <v>43</v>
      </c>
      <c r="E656">
        <v>1.058372093023256</v>
      </c>
      <c r="F656">
        <v>0.03823335530652604</v>
      </c>
      <c r="G656">
        <v>-0.01128226571487623</v>
      </c>
      <c r="H656">
        <v>0.06</v>
      </c>
      <c r="I656">
        <v>0.07970101787387485</v>
      </c>
      <c r="J656" t="s">
        <v>778</v>
      </c>
      <c r="K656" t="s">
        <v>515</v>
      </c>
      <c r="L656">
        <v>2.21</v>
      </c>
      <c r="M656">
        <v>1.74</v>
      </c>
      <c r="N656">
        <v>0.7873303167420814</v>
      </c>
      <c r="O656">
        <v>6</v>
      </c>
      <c r="P656">
        <v>0.01988310171094443</v>
      </c>
      <c r="Q656">
        <v>0.03337874659400501</v>
      </c>
      <c r="R656" t="s">
        <v>782</v>
      </c>
      <c r="S656" t="s">
        <v>794</v>
      </c>
      <c r="T656">
        <v>1136.953848</v>
      </c>
      <c r="U656" s="2">
        <v>44508</v>
      </c>
      <c r="V656" t="s">
        <v>801</v>
      </c>
    </row>
    <row r="657" spans="1:22">
      <c r="A657" s="1" t="s">
        <v>677</v>
      </c>
      <c r="B657">
        <f>HYPERLINK("https://www.suredividend.com/sure-analysis-NLY/","Annaly Capital Management Inc")</f>
        <v>0</v>
      </c>
      <c r="C657">
        <v>8.460000000000001</v>
      </c>
      <c r="D657">
        <v>7.8</v>
      </c>
      <c r="E657">
        <v>1.084615384615385</v>
      </c>
      <c r="F657">
        <v>0.1040189125295508</v>
      </c>
      <c r="G657">
        <v>-0.01611384817117101</v>
      </c>
      <c r="H657">
        <v>-0.004</v>
      </c>
      <c r="I657">
        <v>0.07945370487083103</v>
      </c>
      <c r="J657" t="s">
        <v>778</v>
      </c>
      <c r="K657" t="s">
        <v>777</v>
      </c>
      <c r="L657">
        <v>1.12</v>
      </c>
      <c r="M657">
        <v>0.88</v>
      </c>
      <c r="N657">
        <v>0.7857142857142857</v>
      </c>
      <c r="O657">
        <v>0</v>
      </c>
      <c r="P657">
        <v>0.02589630491023409</v>
      </c>
      <c r="Q657">
        <v>0.141592562106143</v>
      </c>
      <c r="R657" t="s">
        <v>782</v>
      </c>
      <c r="S657" t="s">
        <v>794</v>
      </c>
      <c r="T657">
        <v>12268.02102</v>
      </c>
      <c r="U657" s="2">
        <v>44503</v>
      </c>
      <c r="V657" t="s">
        <v>803</v>
      </c>
    </row>
    <row r="658" spans="1:22">
      <c r="A658" s="1" t="s">
        <v>678</v>
      </c>
      <c r="B658">
        <f>HYPERLINK("https://www.suredividend.com/sure-analysis-CBRL/","Cracker Barrel Old Country Store Inc")</f>
        <v>0</v>
      </c>
      <c r="C658">
        <v>132.22</v>
      </c>
      <c r="D658">
        <v>127</v>
      </c>
      <c r="E658">
        <v>1.041102362204724</v>
      </c>
      <c r="F658">
        <v>0.03932839207381637</v>
      </c>
      <c r="G658">
        <v>-0.008023660298800417</v>
      </c>
      <c r="H658">
        <v>0.054</v>
      </c>
      <c r="I658">
        <v>0.07919653516966729</v>
      </c>
      <c r="J658" t="s">
        <v>778</v>
      </c>
      <c r="K658" t="s">
        <v>515</v>
      </c>
      <c r="L658">
        <v>8.460000000000001</v>
      </c>
      <c r="M658">
        <v>5.2</v>
      </c>
      <c r="N658">
        <v>0.6146572104018913</v>
      </c>
      <c r="O658">
        <v>1</v>
      </c>
      <c r="P658">
        <v>0.02903366107118788</v>
      </c>
      <c r="Q658">
        <v>-0.07539237432972601</v>
      </c>
      <c r="R658" t="s">
        <v>780</v>
      </c>
      <c r="S658" t="s">
        <v>791</v>
      </c>
      <c r="T658">
        <v>3110.063899</v>
      </c>
      <c r="U658" s="2">
        <v>44524</v>
      </c>
      <c r="V658" t="s">
        <v>803</v>
      </c>
    </row>
    <row r="659" spans="1:22">
      <c r="A659" s="1" t="s">
        <v>679</v>
      </c>
      <c r="B659">
        <f>HYPERLINK("https://www.suredividend.com/sure-analysis-EXR/","Extra Space Storage Inc.")</f>
        <v>0</v>
      </c>
      <c r="C659">
        <v>204.32</v>
      </c>
      <c r="D659">
        <v>150</v>
      </c>
      <c r="E659">
        <v>1.362133333333333</v>
      </c>
      <c r="F659">
        <v>0.02447141738449491</v>
      </c>
      <c r="G659">
        <v>-0.05993891297951637</v>
      </c>
      <c r="H659">
        <v>0.12</v>
      </c>
      <c r="I659">
        <v>0.07907374784842003</v>
      </c>
      <c r="J659" t="s">
        <v>778</v>
      </c>
      <c r="K659" t="s">
        <v>778</v>
      </c>
      <c r="L659">
        <v>6.8</v>
      </c>
      <c r="M659">
        <v>5</v>
      </c>
      <c r="N659">
        <v>0.7352941176470589</v>
      </c>
      <c r="O659">
        <v>12</v>
      </c>
      <c r="P659">
        <v>0.1101240567487265</v>
      </c>
      <c r="Q659">
        <v>0.9120415947654681</v>
      </c>
      <c r="R659" t="s">
        <v>782</v>
      </c>
      <c r="S659" t="s">
        <v>794</v>
      </c>
      <c r="T659">
        <v>27356.773393</v>
      </c>
      <c r="U659" s="2">
        <v>44500</v>
      </c>
      <c r="V659" t="s">
        <v>795</v>
      </c>
    </row>
    <row r="660" spans="1:22">
      <c r="A660" s="1" t="s">
        <v>680</v>
      </c>
      <c r="B660">
        <f>HYPERLINK("https://www.suredividend.com/sure-analysis-E/","Eni Spa")</f>
        <v>0</v>
      </c>
      <c r="C660">
        <v>27.84</v>
      </c>
      <c r="D660">
        <v>29</v>
      </c>
      <c r="E660">
        <v>0.96</v>
      </c>
      <c r="F660">
        <v>0.05675287356321839</v>
      </c>
      <c r="G660">
        <v>0.008197818497166498</v>
      </c>
      <c r="H660">
        <v>0.02</v>
      </c>
      <c r="I660">
        <v>0.07866374837239842</v>
      </c>
      <c r="J660" t="s">
        <v>778</v>
      </c>
      <c r="K660" t="s">
        <v>367</v>
      </c>
      <c r="L660">
        <v>2.3</v>
      </c>
      <c r="M660">
        <v>1.58</v>
      </c>
      <c r="N660">
        <v>0.6869565217391305</v>
      </c>
      <c r="O660">
        <v>1</v>
      </c>
      <c r="P660">
        <v>0.02981402116536103</v>
      </c>
      <c r="Q660">
        <v>0.4306048724839801</v>
      </c>
      <c r="R660" t="s">
        <v>780</v>
      </c>
      <c r="S660" t="s">
        <v>793</v>
      </c>
      <c r="T660">
        <v>50189.880284</v>
      </c>
      <c r="U660" s="2">
        <v>44502</v>
      </c>
      <c r="V660" t="s">
        <v>804</v>
      </c>
    </row>
    <row r="661" spans="1:22">
      <c r="A661" s="1" t="s">
        <v>681</v>
      </c>
      <c r="B661">
        <f>HYPERLINK("https://www.suredividend.com/sure-analysis-ACRE/","Ares Commercial Real Estate Corp")</f>
        <v>0</v>
      </c>
      <c r="C661">
        <v>15.45</v>
      </c>
      <c r="D661">
        <v>15.87</v>
      </c>
      <c r="E661">
        <v>0.9735349716446124</v>
      </c>
      <c r="F661">
        <v>0.08543689320388351</v>
      </c>
      <c r="G661">
        <v>0.005378719891181216</v>
      </c>
      <c r="H661">
        <v>0</v>
      </c>
      <c r="I661">
        <v>0.07779190580998829</v>
      </c>
      <c r="J661" t="s">
        <v>778</v>
      </c>
      <c r="K661" t="s">
        <v>367</v>
      </c>
      <c r="L661">
        <v>1.38</v>
      </c>
      <c r="M661">
        <v>1.32</v>
      </c>
      <c r="N661">
        <v>0.9565217391304349</v>
      </c>
      <c r="O661">
        <v>0</v>
      </c>
      <c r="P661">
        <v>0</v>
      </c>
      <c r="Q661">
        <v>0.405056384139687</v>
      </c>
      <c r="R661" t="s">
        <v>782</v>
      </c>
      <c r="S661" t="s">
        <v>794</v>
      </c>
      <c r="T661">
        <v>726.178134</v>
      </c>
      <c r="U661" s="2">
        <v>44506</v>
      </c>
      <c r="V661" t="s">
        <v>795</v>
      </c>
    </row>
    <row r="662" spans="1:22">
      <c r="A662" s="1" t="s">
        <v>682</v>
      </c>
      <c r="B662">
        <f>HYPERLINK("https://www.suredividend.com/sure-analysis-NMFC/","New Mountain Finance Corp")</f>
        <v>0</v>
      </c>
      <c r="C662">
        <v>13.62</v>
      </c>
      <c r="D662">
        <v>14</v>
      </c>
      <c r="E662">
        <v>0.9728571428571428</v>
      </c>
      <c r="F662">
        <v>0.0881057268722467</v>
      </c>
      <c r="G662">
        <v>0.005518778439072225</v>
      </c>
      <c r="H662">
        <v>-0.005</v>
      </c>
      <c r="I662">
        <v>0.0751089147808337</v>
      </c>
      <c r="J662" t="s">
        <v>778</v>
      </c>
      <c r="K662" t="s">
        <v>367</v>
      </c>
      <c r="L662">
        <v>1.25</v>
      </c>
      <c r="M662">
        <v>1.2</v>
      </c>
      <c r="N662">
        <v>0.96</v>
      </c>
      <c r="O662">
        <v>0</v>
      </c>
      <c r="P662">
        <v>-0.005050763379468082</v>
      </c>
      <c r="Q662">
        <v>0.254328446179916</v>
      </c>
      <c r="R662" t="s">
        <v>783</v>
      </c>
      <c r="S662" t="s">
        <v>790</v>
      </c>
      <c r="T662">
        <v>1319.873177</v>
      </c>
      <c r="U662" s="2">
        <v>44509</v>
      </c>
      <c r="V662" t="s">
        <v>795</v>
      </c>
    </row>
    <row r="663" spans="1:22">
      <c r="A663" s="1" t="s">
        <v>683</v>
      </c>
      <c r="B663">
        <f>HYPERLINK("https://www.suredividend.com/sure-analysis-CORR/","CorEnergy Infrastructure Trust Inc")</f>
        <v>0</v>
      </c>
      <c r="C663">
        <v>4.31</v>
      </c>
      <c r="D663">
        <v>4.69</v>
      </c>
      <c r="E663">
        <v>0.9189765458422173</v>
      </c>
      <c r="F663">
        <v>0.04640371229698376</v>
      </c>
      <c r="G663">
        <v>0.01704253040759385</v>
      </c>
      <c r="H663">
        <v>0.02</v>
      </c>
      <c r="I663">
        <v>0.0746723632956432</v>
      </c>
      <c r="J663" t="s">
        <v>778</v>
      </c>
      <c r="K663" t="s">
        <v>515</v>
      </c>
      <c r="L663">
        <v>-1.19</v>
      </c>
      <c r="M663">
        <v>0.2</v>
      </c>
      <c r="N663">
        <v>9.99</v>
      </c>
      <c r="O663">
        <v>0</v>
      </c>
      <c r="P663">
        <v>0</v>
      </c>
      <c r="Q663">
        <v>-0.362218473467696</v>
      </c>
      <c r="R663" t="s">
        <v>780</v>
      </c>
      <c r="S663" t="s">
        <v>794</v>
      </c>
      <c r="T663">
        <v>64.07590399999999</v>
      </c>
      <c r="U663" s="2">
        <v>44514</v>
      </c>
      <c r="V663" t="s">
        <v>796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15.12</v>
      </c>
      <c r="D664">
        <v>15.6</v>
      </c>
      <c r="E664">
        <v>0.9692307692307692</v>
      </c>
      <c r="F664">
        <v>0.07671957671957672</v>
      </c>
      <c r="G664">
        <v>0.006270083894049483</v>
      </c>
      <c r="H664">
        <v>0</v>
      </c>
      <c r="I664">
        <v>0.07194473725882955</v>
      </c>
      <c r="J664" t="s">
        <v>778</v>
      </c>
      <c r="K664" t="s">
        <v>367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0.147331997814605</v>
      </c>
      <c r="R664" t="s">
        <v>783</v>
      </c>
      <c r="S664" t="s">
        <v>790</v>
      </c>
      <c r="T664">
        <v>2557.576078</v>
      </c>
      <c r="U664" s="2">
        <v>44418</v>
      </c>
      <c r="V664" t="s">
        <v>795</v>
      </c>
    </row>
    <row r="665" spans="1:22">
      <c r="A665" s="1" t="s">
        <v>685</v>
      </c>
      <c r="B665">
        <f>HYPERLINK("https://www.suredividend.com/sure-analysis-GSK/","Glaxosmithkline plc")</f>
        <v>0</v>
      </c>
      <c r="C665">
        <v>41.6</v>
      </c>
      <c r="D665">
        <v>40</v>
      </c>
      <c r="E665">
        <v>1.04</v>
      </c>
      <c r="F665">
        <v>0.05288461538461538</v>
      </c>
      <c r="G665">
        <v>-0.007813457628780496</v>
      </c>
      <c r="H665">
        <v>0.03</v>
      </c>
      <c r="I665">
        <v>0.07019853485589533</v>
      </c>
      <c r="J665" t="s">
        <v>778</v>
      </c>
      <c r="K665" t="s">
        <v>367</v>
      </c>
      <c r="L665">
        <v>2.9</v>
      </c>
      <c r="M665">
        <v>2.2</v>
      </c>
      <c r="N665">
        <v>0.7586206896551725</v>
      </c>
      <c r="O665">
        <v>3</v>
      </c>
      <c r="P665">
        <v>0.02996744995959233</v>
      </c>
      <c r="Q665">
        <v>0.186422309302577</v>
      </c>
      <c r="R665" t="s">
        <v>780</v>
      </c>
      <c r="S665" t="s">
        <v>785</v>
      </c>
      <c r="T665">
        <v>104646.384835</v>
      </c>
      <c r="U665" s="2">
        <v>44496</v>
      </c>
      <c r="V665" t="s">
        <v>796</v>
      </c>
    </row>
    <row r="666" spans="1:22">
      <c r="A666" s="1" t="s">
        <v>686</v>
      </c>
      <c r="B666">
        <f>HYPERLINK("https://www.suredividend.com/sure-analysis-EIC/","Eagle Point Income Company Inc")</f>
        <v>0</v>
      </c>
      <c r="C666">
        <v>17.87</v>
      </c>
      <c r="D666">
        <v>15.86</v>
      </c>
      <c r="E666">
        <v>1.126733921815889</v>
      </c>
      <c r="F666">
        <v>0.07442641298265248</v>
      </c>
      <c r="G666">
        <v>-0.02358211426752266</v>
      </c>
      <c r="H666">
        <v>0.02</v>
      </c>
      <c r="I666">
        <v>0.06878963316620279</v>
      </c>
      <c r="J666" t="s">
        <v>778</v>
      </c>
      <c r="K666" t="s">
        <v>367</v>
      </c>
      <c r="L666">
        <v>1.22</v>
      </c>
      <c r="M666">
        <v>1.33</v>
      </c>
      <c r="N666">
        <v>1.090163934426229</v>
      </c>
      <c r="O666">
        <v>1</v>
      </c>
      <c r="P666">
        <v>0.03635631157614205</v>
      </c>
      <c r="Q666">
        <v>0.371924302330045</v>
      </c>
      <c r="R666" t="s">
        <v>780</v>
      </c>
      <c r="S666" t="s">
        <v>790</v>
      </c>
      <c r="T666">
        <v>109.122404</v>
      </c>
      <c r="U666" s="2">
        <v>44517</v>
      </c>
      <c r="V666" t="s">
        <v>795</v>
      </c>
    </row>
    <row r="667" spans="1:22">
      <c r="A667" s="1" t="s">
        <v>687</v>
      </c>
      <c r="B667">
        <f>HYPERLINK("https://www.suredividend.com/sure-analysis-NEM/","Newmont Corp")</f>
        <v>0</v>
      </c>
      <c r="C667">
        <v>55.47</v>
      </c>
      <c r="D667">
        <v>56</v>
      </c>
      <c r="E667">
        <v>0.9905357142857143</v>
      </c>
      <c r="F667">
        <v>0.03966107806021273</v>
      </c>
      <c r="G667">
        <v>0.00190368103797911</v>
      </c>
      <c r="H667">
        <v>0.03</v>
      </c>
      <c r="I667">
        <v>0.06868176551467875</v>
      </c>
      <c r="J667" t="s">
        <v>778</v>
      </c>
      <c r="K667" t="s">
        <v>515</v>
      </c>
      <c r="L667">
        <v>3.1</v>
      </c>
      <c r="M667">
        <v>2.2</v>
      </c>
      <c r="N667">
        <v>0.7096774193548387</v>
      </c>
      <c r="O667">
        <v>6</v>
      </c>
      <c r="P667">
        <v>0.04026125343417397</v>
      </c>
      <c r="Q667">
        <v>0.008479444981783001</v>
      </c>
      <c r="R667" t="s">
        <v>780</v>
      </c>
      <c r="S667" t="s">
        <v>788</v>
      </c>
      <c r="T667">
        <v>44233.736313</v>
      </c>
      <c r="U667" s="2">
        <v>44502</v>
      </c>
      <c r="V667" t="s">
        <v>800</v>
      </c>
    </row>
    <row r="668" spans="1:22">
      <c r="A668" s="1" t="s">
        <v>688</v>
      </c>
      <c r="B668">
        <f>HYPERLINK("https://www.suredividend.com/sure-analysis-SACH/","Sachem Capital Corp")</f>
        <v>0</v>
      </c>
      <c r="C668">
        <v>5.92</v>
      </c>
      <c r="D668">
        <v>5.26</v>
      </c>
      <c r="E668">
        <v>1.125475285171103</v>
      </c>
      <c r="F668">
        <v>0.08108108108108109</v>
      </c>
      <c r="G668">
        <v>-0.02336382320909147</v>
      </c>
      <c r="H668">
        <v>0.02</v>
      </c>
      <c r="I668">
        <v>0.06752355561210921</v>
      </c>
      <c r="J668" t="s">
        <v>778</v>
      </c>
      <c r="K668" t="s">
        <v>367</v>
      </c>
      <c r="L668">
        <v>0.47</v>
      </c>
      <c r="M668">
        <v>0.48</v>
      </c>
      <c r="N668">
        <v>1.021276595744681</v>
      </c>
      <c r="O668">
        <v>0</v>
      </c>
      <c r="P668">
        <v>0</v>
      </c>
      <c r="Q668">
        <v>0.566096135022883</v>
      </c>
      <c r="R668" t="s">
        <v>782</v>
      </c>
      <c r="S668" t="s">
        <v>794</v>
      </c>
      <c r="T668">
        <v>174.303851</v>
      </c>
      <c r="U668" s="2">
        <v>44517</v>
      </c>
      <c r="V668" t="s">
        <v>795</v>
      </c>
    </row>
    <row r="669" spans="1:22">
      <c r="A669" s="1" t="s">
        <v>689</v>
      </c>
      <c r="B669">
        <f>HYPERLINK("https://www.suredividend.com/sure-analysis-IDEXY/","Industria De Diseno Textil SA")</f>
        <v>0</v>
      </c>
      <c r="C669">
        <v>17.455</v>
      </c>
      <c r="D669">
        <v>13.5</v>
      </c>
      <c r="E669">
        <v>1.292962962962963</v>
      </c>
      <c r="F669">
        <v>0.02406187338871384</v>
      </c>
      <c r="G669">
        <v>-0.05008929260655592</v>
      </c>
      <c r="H669">
        <v>0.1</v>
      </c>
      <c r="I669">
        <v>0.0674378810601064</v>
      </c>
      <c r="J669" t="s">
        <v>778</v>
      </c>
      <c r="K669" t="s">
        <v>778</v>
      </c>
      <c r="L669">
        <v>0.54</v>
      </c>
      <c r="M669">
        <v>0.42</v>
      </c>
      <c r="N669">
        <v>0.7777777777777777</v>
      </c>
      <c r="O669">
        <v>0</v>
      </c>
      <c r="P669">
        <v>0.05154749679728043</v>
      </c>
      <c r="Q669">
        <v>0.045835829838226</v>
      </c>
      <c r="R669" t="s">
        <v>780</v>
      </c>
      <c r="S669" t="s">
        <v>791</v>
      </c>
      <c r="T669">
        <v>108802.32132</v>
      </c>
      <c r="U669" s="2">
        <v>44458</v>
      </c>
      <c r="V669" t="s">
        <v>795</v>
      </c>
    </row>
    <row r="670" spans="1:22">
      <c r="A670" s="1" t="s">
        <v>690</v>
      </c>
      <c r="B670">
        <f>HYPERLINK("https://www.suredividend.com/sure-analysis-ARR/","ARMOUR Residential REIT Inc")</f>
        <v>0</v>
      </c>
      <c r="C670">
        <v>10.1</v>
      </c>
      <c r="D670">
        <v>6.7</v>
      </c>
      <c r="E670">
        <v>1.507462686567164</v>
      </c>
      <c r="F670">
        <v>0.1188118811881188</v>
      </c>
      <c r="G670">
        <v>-0.07880687991454971</v>
      </c>
      <c r="H670">
        <v>0.046</v>
      </c>
      <c r="I670">
        <v>0.06643624939379911</v>
      </c>
      <c r="J670" t="s">
        <v>778</v>
      </c>
      <c r="K670" t="s">
        <v>367</v>
      </c>
      <c r="L670">
        <v>0.96</v>
      </c>
      <c r="M670">
        <v>1.2</v>
      </c>
      <c r="N670">
        <v>1.25</v>
      </c>
      <c r="O670">
        <v>0</v>
      </c>
      <c r="P670">
        <v>-0.0263528193848318</v>
      </c>
      <c r="Q670">
        <v>0.021109673244904</v>
      </c>
      <c r="R670" t="s">
        <v>782</v>
      </c>
      <c r="S670" t="s">
        <v>794</v>
      </c>
      <c r="T670">
        <v>905.859193</v>
      </c>
      <c r="U670" s="2">
        <v>44503</v>
      </c>
      <c r="V670" t="s">
        <v>803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51.33</v>
      </c>
      <c r="D671">
        <v>41</v>
      </c>
      <c r="E671">
        <v>1.251951219512195</v>
      </c>
      <c r="F671">
        <v>0.03506721215663355</v>
      </c>
      <c r="G671">
        <v>-0.04394578947999883</v>
      </c>
      <c r="H671">
        <v>0.08</v>
      </c>
      <c r="I671">
        <v>0.06627860886228709</v>
      </c>
      <c r="J671" t="s">
        <v>778</v>
      </c>
      <c r="K671" t="s">
        <v>515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0.054220579174368</v>
      </c>
      <c r="R671" t="s">
        <v>782</v>
      </c>
      <c r="S671" t="s">
        <v>794</v>
      </c>
      <c r="T671">
        <v>20489.698536</v>
      </c>
      <c r="U671" s="2">
        <v>44518</v>
      </c>
      <c r="V671" t="s">
        <v>804</v>
      </c>
    </row>
    <row r="672" spans="1:22">
      <c r="A672" s="1" t="s">
        <v>692</v>
      </c>
      <c r="B672">
        <f>HYPERLINK("https://www.suredividend.com/sure-analysis-PFLT/","PennantPark Floating Rate Capital Ltd")</f>
        <v>0</v>
      </c>
      <c r="C672">
        <v>13.13</v>
      </c>
      <c r="D672">
        <v>11.9</v>
      </c>
      <c r="E672">
        <v>1.103361344537815</v>
      </c>
      <c r="F672">
        <v>0.08682406702208681</v>
      </c>
      <c r="G672">
        <v>-0.01948002141644267</v>
      </c>
      <c r="H672">
        <v>0.008</v>
      </c>
      <c r="I672">
        <v>0.06611585931729147</v>
      </c>
      <c r="J672" t="s">
        <v>778</v>
      </c>
      <c r="K672" t="s">
        <v>367</v>
      </c>
      <c r="L672">
        <v>1.12</v>
      </c>
      <c r="M672">
        <v>1.14</v>
      </c>
      <c r="N672">
        <v>1.017857142857143</v>
      </c>
      <c r="O672">
        <v>0</v>
      </c>
      <c r="P672">
        <v>0</v>
      </c>
      <c r="Q672">
        <v>0.365631435525139</v>
      </c>
      <c r="R672" t="s">
        <v>783</v>
      </c>
      <c r="S672" t="s">
        <v>790</v>
      </c>
      <c r="T672">
        <v>510.503959</v>
      </c>
      <c r="U672" s="2">
        <v>44521</v>
      </c>
      <c r="V672" t="s">
        <v>803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17.05</v>
      </c>
      <c r="D673">
        <v>15.76</v>
      </c>
      <c r="E673">
        <v>1.081852791878173</v>
      </c>
      <c r="F673">
        <v>0.07038123167155425</v>
      </c>
      <c r="G673">
        <v>-0.01561187513413731</v>
      </c>
      <c r="H673">
        <v>0.02</v>
      </c>
      <c r="I673">
        <v>0.06536753492270586</v>
      </c>
      <c r="J673" t="s">
        <v>778</v>
      </c>
      <c r="K673" t="s">
        <v>367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0.468839917986182</v>
      </c>
      <c r="R673" t="s">
        <v>783</v>
      </c>
      <c r="S673" t="s">
        <v>790</v>
      </c>
      <c r="T673">
        <v>348.284493</v>
      </c>
      <c r="U673" s="2">
        <v>44502</v>
      </c>
      <c r="V673" t="s">
        <v>795</v>
      </c>
    </row>
    <row r="674" spans="1:22">
      <c r="A674" s="1" t="s">
        <v>694</v>
      </c>
      <c r="B674">
        <f>HYPERLINK("https://www.suredividend.com/sure-analysis-BEP/","Brookfield Renewable Partners LP")</f>
        <v>0</v>
      </c>
      <c r="C674">
        <v>36.38</v>
      </c>
      <c r="D674">
        <v>32</v>
      </c>
      <c r="E674">
        <v>1.136875</v>
      </c>
      <c r="F674">
        <v>0.03353490929081913</v>
      </c>
      <c r="G674">
        <v>-0.02533031895511506</v>
      </c>
      <c r="H674">
        <v>0.06</v>
      </c>
      <c r="I674">
        <v>0.06528217847488138</v>
      </c>
      <c r="J674" t="s">
        <v>778</v>
      </c>
      <c r="K674" t="s">
        <v>515</v>
      </c>
      <c r="L674">
        <v>1.9</v>
      </c>
      <c r="M674">
        <v>1.22</v>
      </c>
      <c r="N674">
        <v>0.6421052631578947</v>
      </c>
      <c r="O674">
        <v>0</v>
      </c>
      <c r="P674">
        <v>0.05039574430966676</v>
      </c>
      <c r="Q674">
        <v>-0.082082698343812</v>
      </c>
      <c r="R674" t="s">
        <v>781</v>
      </c>
      <c r="S674" t="s">
        <v>789</v>
      </c>
      <c r="T674">
        <v>10004.845828</v>
      </c>
      <c r="U674" s="2">
        <v>44518</v>
      </c>
      <c r="V674" t="s">
        <v>804</v>
      </c>
    </row>
    <row r="675" spans="1:22">
      <c r="A675" s="1" t="s">
        <v>695</v>
      </c>
      <c r="B675">
        <f>HYPERLINK("https://www.suredividend.com/sure-analysis-VNO/","Vornado Realty Trust")</f>
        <v>0</v>
      </c>
      <c r="C675">
        <v>44.11</v>
      </c>
      <c r="D675">
        <v>42</v>
      </c>
      <c r="E675">
        <v>1.050238095238095</v>
      </c>
      <c r="F675">
        <v>0.04806166402176378</v>
      </c>
      <c r="G675">
        <v>-0.009755482688712847</v>
      </c>
      <c r="H675">
        <v>0.03</v>
      </c>
      <c r="I675">
        <v>0.0632542567736476</v>
      </c>
      <c r="J675" t="s">
        <v>778</v>
      </c>
      <c r="K675" t="s">
        <v>367</v>
      </c>
      <c r="L675">
        <v>2.8</v>
      </c>
      <c r="M675">
        <v>2.12</v>
      </c>
      <c r="N675">
        <v>0.7571428571428572</v>
      </c>
      <c r="O675">
        <v>0</v>
      </c>
      <c r="P675">
        <v>0.01994322923769842</v>
      </c>
      <c r="Q675">
        <v>0.107629106212867</v>
      </c>
      <c r="R675" t="s">
        <v>782</v>
      </c>
      <c r="S675" t="s">
        <v>794</v>
      </c>
      <c r="T675">
        <v>8449.744946999999</v>
      </c>
      <c r="U675" s="2">
        <v>44503</v>
      </c>
      <c r="V675" t="s">
        <v>795</v>
      </c>
    </row>
    <row r="676" spans="1:22">
      <c r="A676" s="1" t="s">
        <v>696</v>
      </c>
      <c r="B676">
        <f>HYPERLINK("https://www.suredividend.com/sure-analysis-XRX/","Xerox Holdings Corp")</f>
        <v>0</v>
      </c>
      <c r="C676">
        <v>20.2</v>
      </c>
      <c r="D676">
        <v>16</v>
      </c>
      <c r="E676">
        <v>1.2625</v>
      </c>
      <c r="F676">
        <v>0.04950495049504951</v>
      </c>
      <c r="G676">
        <v>-0.04554881247090037</v>
      </c>
      <c r="H676">
        <v>0.07000000000000001</v>
      </c>
      <c r="I676">
        <v>0.06318579990729578</v>
      </c>
      <c r="J676" t="s">
        <v>778</v>
      </c>
      <c r="K676" t="s">
        <v>367</v>
      </c>
      <c r="L676">
        <v>1.6</v>
      </c>
      <c r="M676">
        <v>1</v>
      </c>
      <c r="N676">
        <v>0.625</v>
      </c>
      <c r="O676">
        <v>0</v>
      </c>
      <c r="P676">
        <v>0</v>
      </c>
      <c r="Q676">
        <v>-0.103851221557258</v>
      </c>
      <c r="R676" t="s">
        <v>780</v>
      </c>
      <c r="S676" t="s">
        <v>786</v>
      </c>
      <c r="T676">
        <v>3605.943531</v>
      </c>
      <c r="U676" s="2">
        <v>44512</v>
      </c>
      <c r="V676" t="s">
        <v>798</v>
      </c>
    </row>
    <row r="677" spans="1:22">
      <c r="A677" s="1" t="s">
        <v>697</v>
      </c>
      <c r="B677">
        <f>HYPERLINK("https://www.suredividend.com/sure-analysis-BRMK/","Broadmark Realty Capital Inc")</f>
        <v>0</v>
      </c>
      <c r="C677">
        <v>9.76</v>
      </c>
      <c r="D677">
        <v>7.8</v>
      </c>
      <c r="E677">
        <v>1.251282051282051</v>
      </c>
      <c r="F677">
        <v>0.0860655737704918</v>
      </c>
      <c r="G677">
        <v>-0.04384355444944255</v>
      </c>
      <c r="H677">
        <v>0.03</v>
      </c>
      <c r="I677">
        <v>0.06292584922642841</v>
      </c>
      <c r="J677" t="s">
        <v>778</v>
      </c>
      <c r="K677" t="s">
        <v>367</v>
      </c>
      <c r="L677">
        <v>0.78</v>
      </c>
      <c r="M677">
        <v>0.84</v>
      </c>
      <c r="N677">
        <v>1.076923076923077</v>
      </c>
      <c r="O677">
        <v>1</v>
      </c>
      <c r="P677">
        <v>0</v>
      </c>
      <c r="Q677">
        <v>0.021903924278594</v>
      </c>
      <c r="R677" t="s">
        <v>782</v>
      </c>
      <c r="S677" t="s">
        <v>794</v>
      </c>
      <c r="T677">
        <v>1295.072388</v>
      </c>
      <c r="U677" s="2">
        <v>44509</v>
      </c>
      <c r="V677" t="s">
        <v>796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24.23</v>
      </c>
      <c r="D678">
        <v>21.78</v>
      </c>
      <c r="E678">
        <v>1.112488521579431</v>
      </c>
      <c r="F678">
        <v>0.06768468840280643</v>
      </c>
      <c r="G678">
        <v>-0.02109422129149063</v>
      </c>
      <c r="H678">
        <v>0.02</v>
      </c>
      <c r="I678">
        <v>0.06211621687512681</v>
      </c>
      <c r="J678" t="s">
        <v>778</v>
      </c>
      <c r="K678" t="s">
        <v>367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0.339510302011753</v>
      </c>
      <c r="R678" t="s">
        <v>783</v>
      </c>
      <c r="S678" t="s">
        <v>790</v>
      </c>
      <c r="T678">
        <v>1771.301876</v>
      </c>
      <c r="U678" s="2">
        <v>44504</v>
      </c>
      <c r="V678" t="s">
        <v>795</v>
      </c>
    </row>
    <row r="679" spans="1:22">
      <c r="A679" s="1" t="s">
        <v>699</v>
      </c>
      <c r="B679">
        <f>HYPERLINK("https://www.suredividend.com/sure-analysis-CSWC/","Capital Southwest Corp.")</f>
        <v>0</v>
      </c>
      <c r="C679">
        <v>27.42</v>
      </c>
      <c r="D679">
        <v>23</v>
      </c>
      <c r="E679">
        <v>1.192173913043478</v>
      </c>
      <c r="F679">
        <v>0.06856309263311451</v>
      </c>
      <c r="G679">
        <v>-0.03454490873177696</v>
      </c>
      <c r="H679">
        <v>0.03</v>
      </c>
      <c r="I679">
        <v>0.06144848921193691</v>
      </c>
      <c r="J679" t="s">
        <v>778</v>
      </c>
      <c r="K679" t="s">
        <v>367</v>
      </c>
      <c r="L679">
        <v>1.65</v>
      </c>
      <c r="M679">
        <v>1.88</v>
      </c>
      <c r="N679">
        <v>1.139393939393939</v>
      </c>
      <c r="O679">
        <v>5</v>
      </c>
      <c r="P679">
        <v>0.03005337366563188</v>
      </c>
      <c r="Q679">
        <v>0.692007701041615</v>
      </c>
      <c r="R679" t="s">
        <v>783</v>
      </c>
      <c r="S679" t="s">
        <v>790</v>
      </c>
      <c r="T679">
        <v>640.011289</v>
      </c>
      <c r="U679" s="2">
        <v>44504</v>
      </c>
      <c r="V679" t="s">
        <v>795</v>
      </c>
    </row>
    <row r="680" spans="1:22">
      <c r="A680" s="1" t="s">
        <v>700</v>
      </c>
      <c r="B680">
        <f>HYPERLINK("https://www.suredividend.com/sure-analysis-LWSCF/","Sienna Senior Living, Inc.")</f>
        <v>0</v>
      </c>
      <c r="C680">
        <v>11.68</v>
      </c>
      <c r="D680">
        <v>11.88</v>
      </c>
      <c r="E680">
        <v>0.9831649831649831</v>
      </c>
      <c r="F680">
        <v>0.06421232876712329</v>
      </c>
      <c r="G680">
        <v>0.003401439116312188</v>
      </c>
      <c r="H680">
        <v>0</v>
      </c>
      <c r="I680">
        <v>0.05999356081920437</v>
      </c>
      <c r="J680" t="s">
        <v>778</v>
      </c>
      <c r="K680" t="s">
        <v>367</v>
      </c>
      <c r="L680">
        <v>0.88</v>
      </c>
      <c r="M680">
        <v>0.75</v>
      </c>
      <c r="N680">
        <v>0.8522727272727273</v>
      </c>
      <c r="O680">
        <v>0</v>
      </c>
      <c r="P680">
        <v>0</v>
      </c>
      <c r="Q680">
        <v>0.102927289896128</v>
      </c>
      <c r="R680" t="s">
        <v>780</v>
      </c>
      <c r="S680" t="s">
        <v>785</v>
      </c>
      <c r="T680">
        <v>783.016957</v>
      </c>
      <c r="U680" s="2">
        <v>44516</v>
      </c>
      <c r="V680" t="s">
        <v>795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46.75</v>
      </c>
      <c r="D681">
        <v>49</v>
      </c>
      <c r="E681">
        <v>0.9540816326530612</v>
      </c>
      <c r="F681">
        <v>0.05732620320855615</v>
      </c>
      <c r="G681">
        <v>0.009445538645739271</v>
      </c>
      <c r="H681">
        <v>-0.001</v>
      </c>
      <c r="I681">
        <v>0.05983506206153777</v>
      </c>
      <c r="J681" t="s">
        <v>778</v>
      </c>
      <c r="K681" t="s">
        <v>367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0.143543443643488</v>
      </c>
      <c r="R681" t="s">
        <v>782</v>
      </c>
      <c r="S681" t="s">
        <v>794</v>
      </c>
      <c r="T681">
        <v>11142.914299</v>
      </c>
      <c r="U681" s="2">
        <v>44506</v>
      </c>
      <c r="V681" t="s">
        <v>803</v>
      </c>
    </row>
    <row r="682" spans="1:22">
      <c r="A682" s="1" t="s">
        <v>702</v>
      </c>
      <c r="B682">
        <f>HYPERLINK("https://www.suredividend.com/sure-analysis-VLO/","Valero Energy Corp.")</f>
        <v>0</v>
      </c>
      <c r="C682">
        <v>72.95</v>
      </c>
      <c r="D682">
        <v>64</v>
      </c>
      <c r="E682">
        <v>1.13984375</v>
      </c>
      <c r="F682">
        <v>0.05373543522960932</v>
      </c>
      <c r="G682">
        <v>-0.02583855876666008</v>
      </c>
      <c r="H682">
        <v>0.04</v>
      </c>
      <c r="I682">
        <v>0.05965716357608475</v>
      </c>
      <c r="J682" t="s">
        <v>778</v>
      </c>
      <c r="K682" t="s">
        <v>515</v>
      </c>
      <c r="L682">
        <v>0.5</v>
      </c>
      <c r="M682">
        <v>3.92</v>
      </c>
      <c r="N682">
        <v>7.84</v>
      </c>
      <c r="O682">
        <v>10</v>
      </c>
      <c r="P682">
        <v>0</v>
      </c>
      <c r="Q682">
        <v>0.317486174973722</v>
      </c>
      <c r="R682" t="s">
        <v>780</v>
      </c>
      <c r="S682" t="s">
        <v>793</v>
      </c>
      <c r="T682">
        <v>29824.558114</v>
      </c>
      <c r="U682" s="2">
        <v>44491</v>
      </c>
      <c r="V682" t="s">
        <v>804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18.31</v>
      </c>
      <c r="D683">
        <v>17.97</v>
      </c>
      <c r="E683">
        <v>1.018920422927101</v>
      </c>
      <c r="F683">
        <v>0.06990715456034954</v>
      </c>
      <c r="G683">
        <v>-0.00374171385589217</v>
      </c>
      <c r="H683">
        <v>0</v>
      </c>
      <c r="I683">
        <v>0.05884755221977356</v>
      </c>
      <c r="J683" t="s">
        <v>778</v>
      </c>
      <c r="K683" t="s">
        <v>367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0.347264633383613</v>
      </c>
      <c r="R683" t="s">
        <v>783</v>
      </c>
      <c r="S683" t="s">
        <v>790</v>
      </c>
      <c r="T683">
        <v>447.448794</v>
      </c>
      <c r="U683" s="2">
        <v>44513</v>
      </c>
      <c r="V683" t="s">
        <v>795</v>
      </c>
    </row>
    <row r="684" spans="1:22">
      <c r="A684" s="1" t="s">
        <v>704</v>
      </c>
      <c r="B684">
        <f>HYPERLINK("https://www.suredividend.com/sure-analysis-GMRE/","Global Medical REIT Inc")</f>
        <v>0</v>
      </c>
      <c r="C684">
        <v>16.91</v>
      </c>
      <c r="D684">
        <v>14.25</v>
      </c>
      <c r="E684">
        <v>1.186666666666667</v>
      </c>
      <c r="F684">
        <v>0.04849201655824956</v>
      </c>
      <c r="G684">
        <v>-0.03365044421988528</v>
      </c>
      <c r="H684">
        <v>0.05</v>
      </c>
      <c r="I684">
        <v>0.05790121253422553</v>
      </c>
      <c r="J684" t="s">
        <v>778</v>
      </c>
      <c r="K684" t="s">
        <v>515</v>
      </c>
      <c r="L684">
        <v>0.95</v>
      </c>
      <c r="M684">
        <v>0.82</v>
      </c>
      <c r="N684">
        <v>0.8631578947368421</v>
      </c>
      <c r="O684">
        <v>1</v>
      </c>
      <c r="P684">
        <v>0.009571122817161548</v>
      </c>
      <c r="Q684">
        <v>0.265330250447093</v>
      </c>
      <c r="R684" t="s">
        <v>782</v>
      </c>
      <c r="S684" t="s">
        <v>794</v>
      </c>
      <c r="T684">
        <v>1085.755978</v>
      </c>
      <c r="U684" s="2">
        <v>44504</v>
      </c>
      <c r="V684" t="s">
        <v>795</v>
      </c>
    </row>
    <row r="685" spans="1:22">
      <c r="A685" s="1" t="s">
        <v>705</v>
      </c>
      <c r="B685">
        <f>HYPERLINK("https://www.suredividend.com/sure-analysis-STWD/","Starwood Property Trust Inc")</f>
        <v>0</v>
      </c>
      <c r="C685">
        <v>26.26</v>
      </c>
      <c r="D685">
        <v>25</v>
      </c>
      <c r="E685">
        <v>1.0504</v>
      </c>
      <c r="F685">
        <v>0.07311500380807311</v>
      </c>
      <c r="G685">
        <v>-0.00978601109474786</v>
      </c>
      <c r="H685">
        <v>0</v>
      </c>
      <c r="I685">
        <v>0.05671111461181688</v>
      </c>
      <c r="J685" t="s">
        <v>778</v>
      </c>
      <c r="K685" t="s">
        <v>367</v>
      </c>
      <c r="L685">
        <v>2</v>
      </c>
      <c r="M685">
        <v>1.92</v>
      </c>
      <c r="N685">
        <v>0.96</v>
      </c>
      <c r="O685">
        <v>0</v>
      </c>
      <c r="P685">
        <v>0</v>
      </c>
      <c r="Q685">
        <v>0.4896839668933901</v>
      </c>
      <c r="R685" t="s">
        <v>782</v>
      </c>
      <c r="S685" t="s">
        <v>794</v>
      </c>
      <c r="T685">
        <v>7578.53721</v>
      </c>
      <c r="U685" s="2">
        <v>44509</v>
      </c>
      <c r="V685" t="s">
        <v>795</v>
      </c>
    </row>
    <row r="686" spans="1:22">
      <c r="A686" s="1" t="s">
        <v>706</v>
      </c>
      <c r="B686">
        <f>HYPERLINK("https://www.suredividend.com/sure-analysis-NSA/","National Storage Affiliates Trust")</f>
        <v>0</v>
      </c>
      <c r="C686">
        <v>63.31</v>
      </c>
      <c r="D686">
        <v>49</v>
      </c>
      <c r="E686">
        <v>1.292040816326531</v>
      </c>
      <c r="F686">
        <v>0.02843152740483336</v>
      </c>
      <c r="G686">
        <v>-0.04995373853011031</v>
      </c>
      <c r="H686">
        <v>0.08</v>
      </c>
      <c r="I686">
        <v>0.05580642514828327</v>
      </c>
      <c r="J686" t="s">
        <v>778</v>
      </c>
      <c r="K686" t="s">
        <v>515</v>
      </c>
      <c r="L686">
        <v>2.21</v>
      </c>
      <c r="M686">
        <v>1.8</v>
      </c>
      <c r="N686">
        <v>0.8144796380090498</v>
      </c>
      <c r="O686">
        <v>6</v>
      </c>
      <c r="P686">
        <v>0.06961037572506878</v>
      </c>
      <c r="Q686">
        <v>0.9207198679675741</v>
      </c>
      <c r="R686" t="s">
        <v>782</v>
      </c>
      <c r="S686" t="s">
        <v>794</v>
      </c>
      <c r="T686">
        <v>5638.93123</v>
      </c>
      <c r="U686" s="2">
        <v>44505</v>
      </c>
      <c r="V686" t="s">
        <v>795</v>
      </c>
    </row>
    <row r="687" spans="1:22">
      <c r="A687" s="1" t="s">
        <v>707</v>
      </c>
      <c r="B687">
        <f>HYPERLINK("https://www.suredividend.com/sure-analysis-DX/","Dynex Capital, Inc.")</f>
        <v>0</v>
      </c>
      <c r="C687">
        <v>17.29</v>
      </c>
      <c r="D687">
        <v>15.6</v>
      </c>
      <c r="E687">
        <v>1.108333333333333</v>
      </c>
      <c r="F687">
        <v>0.09022556390977444</v>
      </c>
      <c r="G687">
        <v>-0.02036132774754362</v>
      </c>
      <c r="H687">
        <v>-0.0016</v>
      </c>
      <c r="I687">
        <v>0.05562754401331671</v>
      </c>
      <c r="J687" t="s">
        <v>778</v>
      </c>
      <c r="K687" t="s">
        <v>367</v>
      </c>
      <c r="L687">
        <v>1.95</v>
      </c>
      <c r="M687">
        <v>1.56</v>
      </c>
      <c r="N687">
        <v>0.8</v>
      </c>
      <c r="O687">
        <v>0</v>
      </c>
      <c r="P687">
        <v>-0.02706716144586752</v>
      </c>
      <c r="Q687">
        <v>0.046705209310772</v>
      </c>
      <c r="R687" t="s">
        <v>782</v>
      </c>
      <c r="S687" t="s">
        <v>794</v>
      </c>
      <c r="T687">
        <v>633.951768</v>
      </c>
      <c r="U687" s="2">
        <v>44503</v>
      </c>
      <c r="V687" t="s">
        <v>803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20.63</v>
      </c>
      <c r="D688">
        <v>16.4</v>
      </c>
      <c r="E688">
        <v>1.257926829268293</v>
      </c>
      <c r="F688">
        <v>0.07949587978671838</v>
      </c>
      <c r="G688">
        <v>-0.04485584137209941</v>
      </c>
      <c r="H688">
        <v>0.019</v>
      </c>
      <c r="I688">
        <v>0.05333774931425084</v>
      </c>
      <c r="J688" t="s">
        <v>778</v>
      </c>
      <c r="K688" t="s">
        <v>367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0.332713166275832</v>
      </c>
      <c r="R688" t="s">
        <v>783</v>
      </c>
      <c r="S688" t="s">
        <v>790</v>
      </c>
      <c r="T688">
        <v>9505.353762000001</v>
      </c>
      <c r="U688" s="2">
        <v>44496</v>
      </c>
      <c r="V688" t="s">
        <v>803</v>
      </c>
    </row>
    <row r="689" spans="1:22">
      <c r="A689" s="1" t="s">
        <v>709</v>
      </c>
      <c r="B689">
        <f>HYPERLINK("https://www.suredividend.com/sure-analysis-STOR/","Store Capital Corp")</f>
        <v>0</v>
      </c>
      <c r="C689">
        <v>34.26</v>
      </c>
      <c r="D689">
        <v>29</v>
      </c>
      <c r="E689">
        <v>1.181379310344828</v>
      </c>
      <c r="F689">
        <v>0.04495037945125511</v>
      </c>
      <c r="G689">
        <v>-0.0327869938777674</v>
      </c>
      <c r="H689">
        <v>0.04</v>
      </c>
      <c r="I689">
        <v>0.05321465166918737</v>
      </c>
      <c r="J689" t="s">
        <v>778</v>
      </c>
      <c r="K689" t="s">
        <v>367</v>
      </c>
      <c r="L689">
        <v>1.95</v>
      </c>
      <c r="M689">
        <v>1.54</v>
      </c>
      <c r="N689">
        <v>0.7897435897435898</v>
      </c>
      <c r="O689">
        <v>8</v>
      </c>
      <c r="P689">
        <v>0.05680549653640732</v>
      </c>
      <c r="Q689">
        <v>0.08106743576231601</v>
      </c>
      <c r="R689" t="s">
        <v>782</v>
      </c>
      <c r="S689" t="s">
        <v>794</v>
      </c>
      <c r="T689">
        <v>9341.821689</v>
      </c>
      <c r="U689" s="2">
        <v>44439</v>
      </c>
      <c r="V689" t="s">
        <v>802</v>
      </c>
    </row>
    <row r="690" spans="1:22">
      <c r="A690" s="1" t="s">
        <v>710</v>
      </c>
      <c r="B690">
        <f>HYPERLINK("https://www.suredividend.com/sure-analysis-DANOY/","Danone")</f>
        <v>0</v>
      </c>
      <c r="C690">
        <v>12.55</v>
      </c>
      <c r="D690">
        <v>12.6</v>
      </c>
      <c r="E690">
        <v>0.9960317460317462</v>
      </c>
      <c r="F690">
        <v>0.03505976095617529</v>
      </c>
      <c r="G690">
        <v>0.0007955459548791843</v>
      </c>
      <c r="H690">
        <v>0.02</v>
      </c>
      <c r="I690">
        <v>0.05315293336027094</v>
      </c>
      <c r="J690" t="s">
        <v>778</v>
      </c>
      <c r="K690" t="s">
        <v>515</v>
      </c>
      <c r="L690">
        <v>0.7</v>
      </c>
      <c r="M690">
        <v>0.44</v>
      </c>
      <c r="N690">
        <v>0.6285714285714287</v>
      </c>
      <c r="O690">
        <v>0</v>
      </c>
      <c r="P690">
        <v>0.02175949146424117</v>
      </c>
      <c r="Q690">
        <v>0.059993074148838</v>
      </c>
      <c r="R690" t="s">
        <v>780</v>
      </c>
      <c r="S690" t="s">
        <v>792</v>
      </c>
      <c r="T690">
        <v>43149.41</v>
      </c>
      <c r="U690" s="2">
        <v>44490</v>
      </c>
      <c r="V690" t="s">
        <v>806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11.96</v>
      </c>
      <c r="D691">
        <v>10.6</v>
      </c>
      <c r="E691">
        <v>1.128301886792453</v>
      </c>
      <c r="F691">
        <v>0.06103678929765886</v>
      </c>
      <c r="G691">
        <v>-0.02385364457374584</v>
      </c>
      <c r="H691">
        <v>0.02</v>
      </c>
      <c r="I691">
        <v>0.05122060582706123</v>
      </c>
      <c r="J691" t="s">
        <v>778</v>
      </c>
      <c r="K691" t="s">
        <v>367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0.216114534398958</v>
      </c>
      <c r="R691" t="s">
        <v>780</v>
      </c>
      <c r="S691" t="s">
        <v>789</v>
      </c>
      <c r="T691">
        <v>186.24576</v>
      </c>
      <c r="U691" s="2">
        <v>44519</v>
      </c>
      <c r="V691" t="s">
        <v>804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18.66</v>
      </c>
      <c r="D692">
        <v>15</v>
      </c>
      <c r="E692">
        <v>1.244</v>
      </c>
      <c r="F692">
        <v>0.07717041800643086</v>
      </c>
      <c r="G692">
        <v>-0.04272674834357404</v>
      </c>
      <c r="H692">
        <v>0.02</v>
      </c>
      <c r="I692">
        <v>0.04952162170742347</v>
      </c>
      <c r="J692" t="s">
        <v>778</v>
      </c>
      <c r="K692" t="s">
        <v>367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0.5267050661081291</v>
      </c>
      <c r="R692" t="s">
        <v>783</v>
      </c>
      <c r="S692" t="s">
        <v>790</v>
      </c>
      <c r="T692">
        <v>578.16284</v>
      </c>
      <c r="U692" s="2">
        <v>44506</v>
      </c>
      <c r="V692" t="s">
        <v>795</v>
      </c>
    </row>
    <row r="693" spans="1:22">
      <c r="A693" s="1" t="s">
        <v>713</v>
      </c>
      <c r="B693">
        <f>HYPERLINK("https://www.suredividend.com/sure-analysis-AM/","Antero Midstream Corp")</f>
        <v>0</v>
      </c>
      <c r="C693">
        <v>10.46</v>
      </c>
      <c r="D693">
        <v>8.800000000000001</v>
      </c>
      <c r="E693">
        <v>1.188636363636364</v>
      </c>
      <c r="F693">
        <v>0.08604206500956023</v>
      </c>
      <c r="G693">
        <v>-0.0339709255329036</v>
      </c>
      <c r="H693">
        <v>0</v>
      </c>
      <c r="I693">
        <v>0.04921379319660346</v>
      </c>
      <c r="J693" t="s">
        <v>778</v>
      </c>
      <c r="K693" t="s">
        <v>367</v>
      </c>
      <c r="L693">
        <v>1.25</v>
      </c>
      <c r="M693">
        <v>0.9</v>
      </c>
      <c r="N693">
        <v>0.72</v>
      </c>
      <c r="O693">
        <v>0</v>
      </c>
      <c r="P693">
        <v>0</v>
      </c>
      <c r="Q693">
        <v>0.6306042277233891</v>
      </c>
      <c r="R693" t="s">
        <v>780</v>
      </c>
      <c r="S693" t="s">
        <v>793</v>
      </c>
      <c r="T693">
        <v>4994.689612</v>
      </c>
      <c r="U693" s="2">
        <v>44504</v>
      </c>
      <c r="V693" t="s">
        <v>803</v>
      </c>
    </row>
    <row r="694" spans="1:22">
      <c r="A694" s="1" t="s">
        <v>714</v>
      </c>
      <c r="B694">
        <f>HYPERLINK("https://www.suredividend.com/sure-analysis-ABEV/","Ambev S.A.")</f>
        <v>0</v>
      </c>
      <c r="C694">
        <v>3.03</v>
      </c>
      <c r="D694">
        <v>2.95</v>
      </c>
      <c r="E694">
        <v>1.027118644067796</v>
      </c>
      <c r="F694">
        <v>0.02640264026402641</v>
      </c>
      <c r="G694">
        <v>-0.005337196121108279</v>
      </c>
      <c r="H694">
        <v>0.03</v>
      </c>
      <c r="I694">
        <v>0.0490345710399458</v>
      </c>
      <c r="J694" t="s">
        <v>778</v>
      </c>
      <c r="K694" t="s">
        <v>515</v>
      </c>
      <c r="L694">
        <v>0.13</v>
      </c>
      <c r="M694">
        <v>0.08</v>
      </c>
      <c r="N694">
        <v>0.6153846153846154</v>
      </c>
      <c r="O694">
        <v>0</v>
      </c>
      <c r="P694">
        <v>0.02383625553960966</v>
      </c>
      <c r="Q694">
        <v>0.124012315910524</v>
      </c>
      <c r="R694" t="s">
        <v>780</v>
      </c>
      <c r="S694" t="s">
        <v>792</v>
      </c>
      <c r="T694">
        <v>47696.609241</v>
      </c>
      <c r="U694" s="2">
        <v>44439</v>
      </c>
      <c r="V694" t="s">
        <v>802</v>
      </c>
    </row>
    <row r="695" spans="1:22">
      <c r="A695" s="1" t="s">
        <v>715</v>
      </c>
      <c r="B695">
        <f>HYPERLINK("https://www.suredividend.com/sure-analysis-BGS/","B&amp;G Foods, Inc")</f>
        <v>0</v>
      </c>
      <c r="C695">
        <v>30.54</v>
      </c>
      <c r="D695">
        <v>25</v>
      </c>
      <c r="E695">
        <v>1.2216</v>
      </c>
      <c r="F695">
        <v>0.06221349050425671</v>
      </c>
      <c r="G695">
        <v>-0.03924158902665076</v>
      </c>
      <c r="H695">
        <v>0.03</v>
      </c>
      <c r="I695">
        <v>0.04731515057323099</v>
      </c>
      <c r="J695" t="s">
        <v>778</v>
      </c>
      <c r="K695" t="s">
        <v>515</v>
      </c>
      <c r="L695">
        <v>1.9</v>
      </c>
      <c r="M695">
        <v>1.9</v>
      </c>
      <c r="N695">
        <v>1</v>
      </c>
      <c r="O695">
        <v>0</v>
      </c>
      <c r="P695">
        <v>0</v>
      </c>
      <c r="Q695">
        <v>0.208557250156313</v>
      </c>
      <c r="R695" t="s">
        <v>780</v>
      </c>
      <c r="S695" t="s">
        <v>792</v>
      </c>
      <c r="T695">
        <v>1981.951601</v>
      </c>
      <c r="U695" s="2">
        <v>44511</v>
      </c>
      <c r="V695" t="s">
        <v>799</v>
      </c>
    </row>
    <row r="696" spans="1:22">
      <c r="A696" s="1" t="s">
        <v>716</v>
      </c>
      <c r="B696">
        <f>HYPERLINK("https://www.suredividend.com/sure-analysis-ARI/","Apollo Commercial Real Estate Finance Inc")</f>
        <v>0</v>
      </c>
      <c r="C696">
        <v>14.2</v>
      </c>
      <c r="D696">
        <v>11</v>
      </c>
      <c r="E696">
        <v>1.290909090909091</v>
      </c>
      <c r="F696">
        <v>0.09859154929577464</v>
      </c>
      <c r="G696">
        <v>-0.0497872179494856</v>
      </c>
      <c r="H696">
        <v>0.003</v>
      </c>
      <c r="I696">
        <v>0.04696786395838148</v>
      </c>
      <c r="J696" t="s">
        <v>778</v>
      </c>
      <c r="K696" t="s">
        <v>367</v>
      </c>
      <c r="L696">
        <v>1.38</v>
      </c>
      <c r="M696">
        <v>1.4</v>
      </c>
      <c r="N696">
        <v>1.014492753623188</v>
      </c>
      <c r="O696">
        <v>0</v>
      </c>
      <c r="P696">
        <v>-0.01471229526229867</v>
      </c>
      <c r="Q696">
        <v>0.375875667348144</v>
      </c>
      <c r="R696" t="s">
        <v>782</v>
      </c>
      <c r="S696" t="s">
        <v>794</v>
      </c>
      <c r="T696">
        <v>1986.495652</v>
      </c>
      <c r="U696" s="2">
        <v>44503</v>
      </c>
      <c r="V696" t="s">
        <v>803</v>
      </c>
    </row>
    <row r="697" spans="1:22">
      <c r="A697" s="1" t="s">
        <v>717</v>
      </c>
      <c r="B697">
        <f>HYPERLINK("https://www.suredividend.com/sure-analysis-GOOD/","Gladstone Commercial Corp")</f>
        <v>0</v>
      </c>
      <c r="C697">
        <v>22.67</v>
      </c>
      <c r="D697">
        <v>19</v>
      </c>
      <c r="E697">
        <v>1.193157894736842</v>
      </c>
      <c r="F697">
        <v>0.06616674018526687</v>
      </c>
      <c r="G697">
        <v>-0.03470420092146753</v>
      </c>
      <c r="H697">
        <v>0.02</v>
      </c>
      <c r="I697">
        <v>0.04667096203011578</v>
      </c>
      <c r="J697" t="s">
        <v>778</v>
      </c>
      <c r="K697" t="s">
        <v>367</v>
      </c>
      <c r="L697">
        <v>1.56</v>
      </c>
      <c r="M697">
        <v>1.5</v>
      </c>
      <c r="N697">
        <v>0.9615384615384615</v>
      </c>
      <c r="O697">
        <v>0</v>
      </c>
      <c r="P697">
        <v>0</v>
      </c>
      <c r="Q697">
        <v>0.30227481617647</v>
      </c>
      <c r="R697" t="s">
        <v>782</v>
      </c>
      <c r="S697" t="s">
        <v>794</v>
      </c>
      <c r="T697">
        <v>844.874991</v>
      </c>
      <c r="U697" s="2">
        <v>44424</v>
      </c>
      <c r="V697" t="s">
        <v>798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46.4</v>
      </c>
      <c r="D698">
        <v>40</v>
      </c>
      <c r="E698">
        <v>1.16</v>
      </c>
      <c r="F698">
        <v>0.05431034482758621</v>
      </c>
      <c r="G698">
        <v>-0.02924775819909686</v>
      </c>
      <c r="H698">
        <v>0.025</v>
      </c>
      <c r="I698">
        <v>0.04651682396224621</v>
      </c>
      <c r="J698" t="s">
        <v>778</v>
      </c>
      <c r="K698" t="s">
        <v>367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0.535168256426035</v>
      </c>
      <c r="R698" t="s">
        <v>783</v>
      </c>
      <c r="S698" t="s">
        <v>790</v>
      </c>
      <c r="T698">
        <v>3228.660062</v>
      </c>
      <c r="U698" s="2">
        <v>44511</v>
      </c>
      <c r="V698" t="s">
        <v>801</v>
      </c>
    </row>
    <row r="699" spans="1:22">
      <c r="A699" s="1" t="s">
        <v>719</v>
      </c>
      <c r="B699">
        <f>HYPERLINK("https://www.suredividend.com/sure-analysis-PBA/","Pembina Pipeline Corporation")</f>
        <v>0</v>
      </c>
      <c r="C699">
        <v>31.23</v>
      </c>
      <c r="D699">
        <v>24</v>
      </c>
      <c r="E699">
        <v>1.30125</v>
      </c>
      <c r="F699">
        <v>0.06404098623118797</v>
      </c>
      <c r="G699">
        <v>-0.05130229168274147</v>
      </c>
      <c r="H699">
        <v>0.04</v>
      </c>
      <c r="I699">
        <v>0.04650687214617455</v>
      </c>
      <c r="J699" t="s">
        <v>778</v>
      </c>
      <c r="K699" t="s">
        <v>367</v>
      </c>
      <c r="L699">
        <v>2</v>
      </c>
      <c r="M699">
        <v>2</v>
      </c>
      <c r="N699">
        <v>1</v>
      </c>
      <c r="O699">
        <v>5</v>
      </c>
      <c r="P699">
        <v>0</v>
      </c>
      <c r="Q699">
        <v>0.260199017020555</v>
      </c>
      <c r="R699" t="s">
        <v>780</v>
      </c>
      <c r="S699" t="s">
        <v>793</v>
      </c>
      <c r="T699">
        <v>17184.46315</v>
      </c>
      <c r="U699" s="2">
        <v>44512</v>
      </c>
      <c r="V699" t="s">
        <v>804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15.44</v>
      </c>
      <c r="D700">
        <v>12.1</v>
      </c>
      <c r="E700">
        <v>1.27603305785124</v>
      </c>
      <c r="F700">
        <v>0.07772020725388601</v>
      </c>
      <c r="G700">
        <v>-0.04758195568662715</v>
      </c>
      <c r="H700">
        <v>0.02</v>
      </c>
      <c r="I700">
        <v>0.04628215803407154</v>
      </c>
      <c r="J700" t="s">
        <v>778</v>
      </c>
      <c r="K700" t="s">
        <v>367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0.133726906922783</v>
      </c>
      <c r="R700" t="s">
        <v>783</v>
      </c>
      <c r="S700" t="s">
        <v>790</v>
      </c>
      <c r="T700">
        <v>247.797085</v>
      </c>
      <c r="U700" s="2">
        <v>44504</v>
      </c>
      <c r="V700" t="s">
        <v>795</v>
      </c>
    </row>
    <row r="701" spans="1:22">
      <c r="A701" s="1" t="s">
        <v>721</v>
      </c>
      <c r="B701">
        <f>HYPERLINK("https://www.suredividend.com/sure-analysis-MNR/","Monmouth Real Estate Investment Corp.")</f>
        <v>0</v>
      </c>
      <c r="C701">
        <v>20.84</v>
      </c>
      <c r="D701">
        <v>19.11</v>
      </c>
      <c r="E701">
        <v>1.090528519099948</v>
      </c>
      <c r="F701">
        <v>0.0345489443378119</v>
      </c>
      <c r="G701">
        <v>-0.01718314816867494</v>
      </c>
      <c r="H701">
        <v>0.03</v>
      </c>
      <c r="I701">
        <v>0.04492513421983801</v>
      </c>
      <c r="J701" t="s">
        <v>778</v>
      </c>
      <c r="K701" t="s">
        <v>515</v>
      </c>
      <c r="L701">
        <v>0.91</v>
      </c>
      <c r="M701">
        <v>0.72</v>
      </c>
      <c r="N701">
        <v>0.7912087912087912</v>
      </c>
      <c r="O701">
        <v>1</v>
      </c>
      <c r="P701">
        <v>0.01872958559274807</v>
      </c>
      <c r="Q701">
        <v>0.483126236531591</v>
      </c>
      <c r="R701" t="s">
        <v>782</v>
      </c>
      <c r="S701" t="s">
        <v>794</v>
      </c>
      <c r="T701">
        <v>2049.393429</v>
      </c>
      <c r="U701" s="2">
        <v>44520</v>
      </c>
      <c r="V701" t="s">
        <v>795</v>
      </c>
    </row>
    <row r="702" spans="1:22">
      <c r="A702" s="1" t="s">
        <v>722</v>
      </c>
      <c r="B702">
        <f>HYPERLINK("https://www.suredividend.com/sure-analysis-HTGC/","Hercules Capital Inc")</f>
        <v>0</v>
      </c>
      <c r="C702">
        <v>16.69</v>
      </c>
      <c r="D702">
        <v>13.7</v>
      </c>
      <c r="E702">
        <v>1.218248175182482</v>
      </c>
      <c r="F702">
        <v>0.07908927501497903</v>
      </c>
      <c r="G702">
        <v>-0.03871349372873223</v>
      </c>
      <c r="H702">
        <v>0.001</v>
      </c>
      <c r="I702">
        <v>0.04454718546139169</v>
      </c>
      <c r="J702" t="s">
        <v>778</v>
      </c>
      <c r="K702" t="s">
        <v>367</v>
      </c>
      <c r="L702">
        <v>1.28</v>
      </c>
      <c r="M702">
        <v>1.32</v>
      </c>
      <c r="N702">
        <v>1.03125</v>
      </c>
      <c r="O702">
        <v>0</v>
      </c>
      <c r="P702">
        <v>0.01896393794917839</v>
      </c>
      <c r="Q702">
        <v>0.328938043936969</v>
      </c>
      <c r="R702" t="s">
        <v>783</v>
      </c>
      <c r="S702" t="s">
        <v>790</v>
      </c>
      <c r="T702">
        <v>1934.361353</v>
      </c>
      <c r="U702" s="2">
        <v>44506</v>
      </c>
      <c r="V702" t="s">
        <v>803</v>
      </c>
    </row>
    <row r="703" spans="1:22">
      <c r="A703" s="1" t="s">
        <v>723</v>
      </c>
      <c r="B703">
        <f>HYPERLINK("https://www.suredividend.com/sure-analysis-OXSQ/","Oxford Square Capital Corp")</f>
        <v>0</v>
      </c>
      <c r="C703">
        <v>4.17</v>
      </c>
      <c r="D703">
        <v>3.4</v>
      </c>
      <c r="E703">
        <v>1.226470588235294</v>
      </c>
      <c r="F703">
        <v>0.1007194244604317</v>
      </c>
      <c r="G703">
        <v>-0.04000588124674997</v>
      </c>
      <c r="H703">
        <v>0</v>
      </c>
      <c r="I703">
        <v>0.04338953493742181</v>
      </c>
      <c r="J703" t="s">
        <v>778</v>
      </c>
      <c r="K703" t="s">
        <v>367</v>
      </c>
      <c r="L703">
        <v>0.34</v>
      </c>
      <c r="M703">
        <v>0.42</v>
      </c>
      <c r="N703">
        <v>1.235294117647059</v>
      </c>
      <c r="O703">
        <v>0</v>
      </c>
      <c r="P703">
        <v>-0.05892880441130122</v>
      </c>
      <c r="Q703">
        <v>0.498060066101451</v>
      </c>
      <c r="R703" t="s">
        <v>783</v>
      </c>
      <c r="S703" t="s">
        <v>790</v>
      </c>
      <c r="T703">
        <v>207.062497</v>
      </c>
      <c r="U703" s="2">
        <v>44502</v>
      </c>
      <c r="V703" t="s">
        <v>795</v>
      </c>
    </row>
    <row r="704" spans="1:22">
      <c r="A704" s="1" t="s">
        <v>724</v>
      </c>
      <c r="B704">
        <f>HYPERLINK("https://www.suredividend.com/sure-analysis-APTS/","Preferred Apartment Communities Inc")</f>
        <v>0</v>
      </c>
      <c r="C704">
        <v>14.32</v>
      </c>
      <c r="D704">
        <v>12.3</v>
      </c>
      <c r="E704">
        <v>1.164227642276423</v>
      </c>
      <c r="F704">
        <v>0.04888268156424581</v>
      </c>
      <c r="G704">
        <v>-0.02995380007554516</v>
      </c>
      <c r="H704">
        <v>0.02</v>
      </c>
      <c r="I704">
        <v>0.04282175027482604</v>
      </c>
      <c r="J704" t="s">
        <v>778</v>
      </c>
      <c r="K704" t="s">
        <v>367</v>
      </c>
      <c r="L704">
        <v>1.04</v>
      </c>
      <c r="M704">
        <v>0.7</v>
      </c>
      <c r="N704">
        <v>0.673076923076923</v>
      </c>
      <c r="O704">
        <v>0</v>
      </c>
      <c r="P704">
        <v>0.05154749679728043</v>
      </c>
      <c r="Q704">
        <v>0.821442653811419</v>
      </c>
      <c r="R704" t="s">
        <v>782</v>
      </c>
      <c r="S704" t="s">
        <v>794</v>
      </c>
      <c r="T704">
        <v>758.188911</v>
      </c>
      <c r="U704" s="2">
        <v>44515</v>
      </c>
      <c r="V704" t="s">
        <v>804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34.65</v>
      </c>
      <c r="D705">
        <v>31</v>
      </c>
      <c r="E705">
        <v>1.117741935483871</v>
      </c>
      <c r="F705">
        <v>0.03722943722943723</v>
      </c>
      <c r="G705">
        <v>-0.0220161322535577</v>
      </c>
      <c r="H705">
        <v>0.03</v>
      </c>
      <c r="I705">
        <v>0.04258965779709079</v>
      </c>
      <c r="J705" t="s">
        <v>778</v>
      </c>
      <c r="K705" t="s">
        <v>515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0.361338000777907</v>
      </c>
      <c r="R705" t="s">
        <v>782</v>
      </c>
      <c r="S705" t="s">
        <v>794</v>
      </c>
      <c r="T705">
        <v>7652.040234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HYPERLINK("https://www.suredividend.com/sure-analysis-CRT/","Cross Timbers Royalty Trust")</f>
        <v>0</v>
      </c>
      <c r="C706">
        <v>12.57</v>
      </c>
      <c r="D706">
        <v>9.9</v>
      </c>
      <c r="E706">
        <v>1.26969696969697</v>
      </c>
      <c r="F706">
        <v>0.08750994431185362</v>
      </c>
      <c r="G706">
        <v>-0.04663328917307974</v>
      </c>
      <c r="H706">
        <v>0</v>
      </c>
      <c r="I706">
        <v>0.04144679700277853</v>
      </c>
      <c r="J706" t="s">
        <v>778</v>
      </c>
      <c r="K706" t="s">
        <v>367</v>
      </c>
      <c r="L706">
        <v>1.1</v>
      </c>
      <c r="M706">
        <v>1.1</v>
      </c>
      <c r="N706">
        <v>1</v>
      </c>
      <c r="O706">
        <v>0</v>
      </c>
      <c r="P706">
        <v>0</v>
      </c>
      <c r="Q706">
        <v>0.6650550382154631</v>
      </c>
      <c r="R706" t="s">
        <v>780</v>
      </c>
      <c r="S706" t="s">
        <v>793</v>
      </c>
      <c r="T706">
        <v>75.42</v>
      </c>
      <c r="U706" s="2">
        <v>44519</v>
      </c>
      <c r="V706" t="s">
        <v>804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14.02</v>
      </c>
      <c r="D707">
        <v>11</v>
      </c>
      <c r="E707">
        <v>1.274545454545454</v>
      </c>
      <c r="F707">
        <v>0.07988587731811699</v>
      </c>
      <c r="G707">
        <v>-0.04735973383890979</v>
      </c>
      <c r="H707">
        <v>0.01</v>
      </c>
      <c r="I707">
        <v>0.04126069479506178</v>
      </c>
      <c r="J707" t="s">
        <v>778</v>
      </c>
      <c r="K707" t="s">
        <v>367</v>
      </c>
      <c r="L707">
        <v>1.08</v>
      </c>
      <c r="M707">
        <v>1.12</v>
      </c>
      <c r="N707">
        <v>1.037037037037037</v>
      </c>
      <c r="O707">
        <v>0</v>
      </c>
      <c r="P707">
        <v>0</v>
      </c>
      <c r="Q707">
        <v>0.362660005637252</v>
      </c>
      <c r="R707" t="s">
        <v>783</v>
      </c>
      <c r="S707" t="s">
        <v>790</v>
      </c>
      <c r="T707">
        <v>273.193762</v>
      </c>
      <c r="U707" s="2">
        <v>44522</v>
      </c>
      <c r="V707" t="s">
        <v>798</v>
      </c>
    </row>
    <row r="708" spans="1:22">
      <c r="A708" s="1" t="s">
        <v>728</v>
      </c>
      <c r="B708">
        <f>HYPERLINK("https://www.suredividend.com/sure-analysis-CIM/","Chimera Investment Corp")</f>
        <v>0</v>
      </c>
      <c r="C708">
        <v>16.75</v>
      </c>
      <c r="D708">
        <v>12</v>
      </c>
      <c r="E708">
        <v>1.395833333333333</v>
      </c>
      <c r="F708">
        <v>0.07880597014925374</v>
      </c>
      <c r="G708">
        <v>-0.06452262800130715</v>
      </c>
      <c r="H708">
        <v>0.02</v>
      </c>
      <c r="I708">
        <v>0.03881732060365661</v>
      </c>
      <c r="J708" t="s">
        <v>778</v>
      </c>
      <c r="K708" t="s">
        <v>367</v>
      </c>
      <c r="L708">
        <v>1.5</v>
      </c>
      <c r="M708">
        <v>1.32</v>
      </c>
      <c r="N708">
        <v>0.88</v>
      </c>
      <c r="O708">
        <v>1</v>
      </c>
      <c r="P708">
        <v>0.02036554426441151</v>
      </c>
      <c r="Q708">
        <v>0.717596390484003</v>
      </c>
      <c r="R708" t="s">
        <v>780</v>
      </c>
      <c r="S708" t="s">
        <v>794</v>
      </c>
      <c r="T708">
        <v>3967.818876</v>
      </c>
      <c r="U708" s="2">
        <v>44515</v>
      </c>
      <c r="V708" t="s">
        <v>804</v>
      </c>
    </row>
    <row r="709" spans="1:22">
      <c r="A709" s="1" t="s">
        <v>729</v>
      </c>
      <c r="B709">
        <f>HYPERLINK("https://www.suredividend.com/sure-analysis-PRT/","PermRock Royalty Trust")</f>
        <v>0</v>
      </c>
      <c r="C709">
        <v>7.04</v>
      </c>
      <c r="D709">
        <v>4.13</v>
      </c>
      <c r="E709">
        <v>1.704600484261501</v>
      </c>
      <c r="F709">
        <v>0.078125</v>
      </c>
      <c r="G709">
        <v>-0.1011743065075972</v>
      </c>
      <c r="H709">
        <v>0.05</v>
      </c>
      <c r="I709">
        <v>0.03734806113432843</v>
      </c>
      <c r="J709" t="s">
        <v>778</v>
      </c>
      <c r="K709" t="s">
        <v>367</v>
      </c>
      <c r="L709">
        <v>0.55</v>
      </c>
      <c r="M709">
        <v>0.55</v>
      </c>
      <c r="N709">
        <v>1</v>
      </c>
      <c r="O709">
        <v>0</v>
      </c>
      <c r="P709">
        <v>0.04941452284458392</v>
      </c>
      <c r="Q709">
        <v>1.475560869259441</v>
      </c>
      <c r="R709" t="s">
        <v>780</v>
      </c>
      <c r="S709" t="s">
        <v>793</v>
      </c>
      <c r="T709">
        <v>85.646753</v>
      </c>
      <c r="U709" s="2">
        <v>44516</v>
      </c>
      <c r="V709" t="s">
        <v>801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53.76</v>
      </c>
      <c r="D710">
        <v>40</v>
      </c>
      <c r="E710">
        <v>1.344</v>
      </c>
      <c r="F710">
        <v>0.0349702380952381</v>
      </c>
      <c r="G710">
        <v>-0.05741582039747128</v>
      </c>
      <c r="H710">
        <v>0.06</v>
      </c>
      <c r="I710">
        <v>0.03440449636452603</v>
      </c>
      <c r="J710" t="s">
        <v>778</v>
      </c>
      <c r="K710" t="s">
        <v>515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0.360712956893038</v>
      </c>
      <c r="R710" t="s">
        <v>782</v>
      </c>
      <c r="S710" t="s">
        <v>794</v>
      </c>
      <c r="T710">
        <v>7481.062633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HYPERLINK("https://www.suredividend.com/sure-analysis-BCE/","BCE Inc")</f>
        <v>0</v>
      </c>
      <c r="C711">
        <v>51.39</v>
      </c>
      <c r="D711">
        <v>40</v>
      </c>
      <c r="E711">
        <v>1.28475</v>
      </c>
      <c r="F711">
        <v>0.05467989881299864</v>
      </c>
      <c r="G711">
        <v>-0.04887789606905568</v>
      </c>
      <c r="H711">
        <v>0.03</v>
      </c>
      <c r="I711">
        <v>0.03362304298916396</v>
      </c>
      <c r="J711" t="s">
        <v>778</v>
      </c>
      <c r="K711" t="s">
        <v>515</v>
      </c>
      <c r="L711">
        <v>2.56</v>
      </c>
      <c r="M711">
        <v>2.81</v>
      </c>
      <c r="N711">
        <v>1.09765625</v>
      </c>
      <c r="O711">
        <v>12</v>
      </c>
      <c r="P711">
        <v>0.00493329096672368</v>
      </c>
      <c r="Q711">
        <v>0.242850405697909</v>
      </c>
      <c r="R711" t="s">
        <v>780</v>
      </c>
      <c r="S711" t="s">
        <v>784</v>
      </c>
      <c r="T711">
        <v>46701.042632</v>
      </c>
      <c r="U711" s="2">
        <v>44517</v>
      </c>
      <c r="V711" t="s">
        <v>805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31.75</v>
      </c>
      <c r="D712">
        <v>24.3</v>
      </c>
      <c r="E712">
        <v>1.306584362139918</v>
      </c>
      <c r="F712">
        <v>0.07811023622047245</v>
      </c>
      <c r="G712">
        <v>-0.05207820513527683</v>
      </c>
      <c r="H712">
        <v>0.004</v>
      </c>
      <c r="I712">
        <v>0.03213442773483188</v>
      </c>
      <c r="J712" t="s">
        <v>778</v>
      </c>
      <c r="K712" t="s">
        <v>367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0.23439990669103</v>
      </c>
      <c r="R712" t="s">
        <v>782</v>
      </c>
      <c r="S712" t="s">
        <v>794</v>
      </c>
      <c r="T712">
        <v>5314.246801</v>
      </c>
      <c r="U712" s="2">
        <v>44503</v>
      </c>
      <c r="V712" t="s">
        <v>803</v>
      </c>
    </row>
    <row r="713" spans="1:22">
      <c r="A713" s="1" t="s">
        <v>733</v>
      </c>
      <c r="B713">
        <f>HYPERLINK("https://www.suredividend.com/sure-analysis-BX/","Blackstone Inc")</f>
        <v>0</v>
      </c>
      <c r="C713">
        <v>148.23</v>
      </c>
      <c r="D713">
        <v>92</v>
      </c>
      <c r="E713">
        <v>1.611195652173913</v>
      </c>
      <c r="F713">
        <v>0.02941374890373069</v>
      </c>
      <c r="G713">
        <v>-0.09098647769785684</v>
      </c>
      <c r="H713">
        <v>0.1</v>
      </c>
      <c r="I713">
        <v>0.03018837001622043</v>
      </c>
      <c r="J713" t="s">
        <v>778</v>
      </c>
      <c r="K713" t="s">
        <v>778</v>
      </c>
      <c r="L713">
        <v>4.6</v>
      </c>
      <c r="M713">
        <v>4.36</v>
      </c>
      <c r="N713">
        <v>0.9478260869565219</v>
      </c>
      <c r="O713">
        <v>0</v>
      </c>
      <c r="P713">
        <v>0.02981918386499416</v>
      </c>
      <c r="Q713">
        <v>1.570099939661689</v>
      </c>
      <c r="R713" t="s">
        <v>780</v>
      </c>
      <c r="S713" t="s">
        <v>790</v>
      </c>
      <c r="T713">
        <v>101815.008841</v>
      </c>
      <c r="U713" s="2">
        <v>44494</v>
      </c>
      <c r="V713" t="s">
        <v>795</v>
      </c>
    </row>
    <row r="714" spans="1:22">
      <c r="A714" s="1" t="s">
        <v>734</v>
      </c>
      <c r="B714">
        <f>HYPERLINK("https://www.suredividend.com/sure-analysis-LSI/","Life Storage Inc")</f>
        <v>0</v>
      </c>
      <c r="C714">
        <v>135.01</v>
      </c>
      <c r="D714">
        <v>88</v>
      </c>
      <c r="E714">
        <v>1.534204545454545</v>
      </c>
      <c r="F714">
        <v>0.02547959410414043</v>
      </c>
      <c r="G714">
        <v>-0.08204086725374138</v>
      </c>
      <c r="H714">
        <v>0.09</v>
      </c>
      <c r="I714">
        <v>0.02924958107503417</v>
      </c>
      <c r="J714" t="s">
        <v>778</v>
      </c>
      <c r="K714" t="s">
        <v>778</v>
      </c>
      <c r="L714">
        <v>4.85</v>
      </c>
      <c r="M714">
        <v>3.44</v>
      </c>
      <c r="N714">
        <v>0.709278350515464</v>
      </c>
      <c r="O714">
        <v>3</v>
      </c>
      <c r="P714">
        <v>0.05983895403096029</v>
      </c>
      <c r="Q714">
        <v>0.939099548869588</v>
      </c>
      <c r="R714" t="s">
        <v>782</v>
      </c>
      <c r="S714" t="s">
        <v>794</v>
      </c>
      <c r="T714">
        <v>11073.018368</v>
      </c>
      <c r="U714" s="2">
        <v>44518</v>
      </c>
      <c r="V714" t="s">
        <v>804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43.38</v>
      </c>
      <c r="D715">
        <v>32</v>
      </c>
      <c r="E715">
        <v>1.355625</v>
      </c>
      <c r="F715">
        <v>0.07261410788381742</v>
      </c>
      <c r="G715">
        <v>-0.05903799786957997</v>
      </c>
      <c r="H715">
        <v>0.01</v>
      </c>
      <c r="I715">
        <v>0.02823188248531427</v>
      </c>
      <c r="J715" t="s">
        <v>778</v>
      </c>
      <c r="K715" t="s">
        <v>367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0.582859290449936</v>
      </c>
      <c r="R715" t="s">
        <v>780</v>
      </c>
      <c r="S715" t="s">
        <v>793</v>
      </c>
      <c r="T715">
        <v>632.451986</v>
      </c>
      <c r="U715" s="2">
        <v>44519</v>
      </c>
      <c r="V715" t="s">
        <v>804</v>
      </c>
    </row>
    <row r="716" spans="1:22">
      <c r="A716" s="1" t="s">
        <v>736</v>
      </c>
      <c r="B716">
        <f>HYPERLINK("https://www.suredividend.com/sure-analysis-BKR/","Baker Hughes Co")</f>
        <v>0</v>
      </c>
      <c r="C716">
        <v>24.12</v>
      </c>
      <c r="D716">
        <v>13</v>
      </c>
      <c r="E716">
        <v>1.855384615384615</v>
      </c>
      <c r="F716">
        <v>0.02985074626865671</v>
      </c>
      <c r="G716">
        <v>-0.1162829995881899</v>
      </c>
      <c r="H716">
        <v>0.13</v>
      </c>
      <c r="I716">
        <v>0.02696131659629275</v>
      </c>
      <c r="J716" t="s">
        <v>778</v>
      </c>
      <c r="K716" t="s">
        <v>778</v>
      </c>
      <c r="L716">
        <v>0.75</v>
      </c>
      <c r="M716">
        <v>0.72</v>
      </c>
      <c r="N716">
        <v>0.96</v>
      </c>
      <c r="O716">
        <v>0</v>
      </c>
      <c r="P716">
        <v>0</v>
      </c>
      <c r="Q716">
        <v>0.227999613068115</v>
      </c>
      <c r="R716" t="s">
        <v>780</v>
      </c>
      <c r="S716" t="s">
        <v>793</v>
      </c>
      <c r="T716">
        <v>24969.9888</v>
      </c>
      <c r="U716" s="2">
        <v>44491</v>
      </c>
      <c r="V716" t="s">
        <v>804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18.93</v>
      </c>
      <c r="D717">
        <v>15</v>
      </c>
      <c r="E717">
        <v>1.262</v>
      </c>
      <c r="F717">
        <v>0.01531959852086635</v>
      </c>
      <c r="G717">
        <v>-0.04547319440724085</v>
      </c>
      <c r="H717">
        <v>0.06</v>
      </c>
      <c r="I717">
        <v>0.02685632649621317</v>
      </c>
      <c r="J717" t="s">
        <v>778</v>
      </c>
      <c r="K717" t="s">
        <v>778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0.441978092292691</v>
      </c>
      <c r="R717" t="s">
        <v>780</v>
      </c>
      <c r="S717" t="s">
        <v>789</v>
      </c>
      <c r="T717">
        <v>428.749091</v>
      </c>
      <c r="U717" s="2">
        <v>44513</v>
      </c>
      <c r="V717" t="s">
        <v>795</v>
      </c>
    </row>
    <row r="718" spans="1:22">
      <c r="A718" s="1" t="s">
        <v>738</v>
      </c>
      <c r="B718">
        <f>HYPERLINK("https://www.suredividend.com/sure-analysis-IRM/","Iron Mountain Inc.")</f>
        <v>0</v>
      </c>
      <c r="C718">
        <v>47.47</v>
      </c>
      <c r="D718">
        <v>37</v>
      </c>
      <c r="E718">
        <v>1.282972972972973</v>
      </c>
      <c r="F718">
        <v>0.05203286286075417</v>
      </c>
      <c r="G718">
        <v>-0.04861456487096494</v>
      </c>
      <c r="H718">
        <v>0.02</v>
      </c>
      <c r="I718">
        <v>0.02454299018072059</v>
      </c>
      <c r="J718" t="s">
        <v>778</v>
      </c>
      <c r="K718" t="s">
        <v>367</v>
      </c>
      <c r="L718">
        <v>3.39</v>
      </c>
      <c r="M718">
        <v>2.47</v>
      </c>
      <c r="N718">
        <v>0.728613569321534</v>
      </c>
      <c r="O718">
        <v>10</v>
      </c>
      <c r="P718">
        <v>0.01031145931793609</v>
      </c>
      <c r="Q718">
        <v>0.904093379595275</v>
      </c>
      <c r="R718" t="s">
        <v>782</v>
      </c>
      <c r="S718" t="s">
        <v>794</v>
      </c>
      <c r="T718">
        <v>13744.91467</v>
      </c>
      <c r="U718" s="2">
        <v>44511</v>
      </c>
      <c r="V718" t="s">
        <v>800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12.03</v>
      </c>
      <c r="D719">
        <v>8.5</v>
      </c>
      <c r="E719">
        <v>1.415294117647059</v>
      </c>
      <c r="F719">
        <v>0.06650041562759768</v>
      </c>
      <c r="G719">
        <v>-0.06710952325845487</v>
      </c>
      <c r="H719">
        <v>0.02</v>
      </c>
      <c r="I719">
        <v>0.02338431673035735</v>
      </c>
      <c r="J719" t="s">
        <v>778</v>
      </c>
      <c r="K719" t="s">
        <v>515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0.329149587333856</v>
      </c>
      <c r="R719" t="s">
        <v>782</v>
      </c>
      <c r="S719" t="s">
        <v>794</v>
      </c>
      <c r="T719">
        <v>1509.296648</v>
      </c>
      <c r="U719" s="2">
        <v>44513</v>
      </c>
      <c r="V719" t="s">
        <v>801</v>
      </c>
    </row>
    <row r="720" spans="1:22">
      <c r="A720" s="1" t="s">
        <v>740</v>
      </c>
      <c r="B720">
        <f>HYPERLINK("https://www.suredividend.com/sure-analysis-EVA/","Enviva Partners LP")</f>
        <v>0</v>
      </c>
      <c r="C720">
        <v>70.88</v>
      </c>
      <c r="D720">
        <v>45</v>
      </c>
      <c r="E720">
        <v>1.575111111111111</v>
      </c>
      <c r="F720">
        <v>0.04740406320541761</v>
      </c>
      <c r="G720">
        <v>-0.08685917251026454</v>
      </c>
      <c r="H720">
        <v>0.055</v>
      </c>
      <c r="I720">
        <v>0.02167051510286955</v>
      </c>
      <c r="J720" t="s">
        <v>778</v>
      </c>
      <c r="K720" t="s">
        <v>515</v>
      </c>
      <c r="L720">
        <v>3.78</v>
      </c>
      <c r="M720">
        <v>3.36</v>
      </c>
      <c r="N720">
        <v>0.888888888888889</v>
      </c>
      <c r="O720">
        <v>5</v>
      </c>
      <c r="P720">
        <v>0.06016789231717445</v>
      </c>
      <c r="Q720">
        <v>0.6665608607429451</v>
      </c>
      <c r="R720" t="s">
        <v>780</v>
      </c>
      <c r="S720" t="s">
        <v>788</v>
      </c>
      <c r="T720">
        <v>4325.305349</v>
      </c>
      <c r="U720" s="2">
        <v>44512</v>
      </c>
      <c r="V720" t="s">
        <v>801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29.15</v>
      </c>
      <c r="D721">
        <v>22</v>
      </c>
      <c r="E721">
        <v>1.325</v>
      </c>
      <c r="F721">
        <v>0.03293310463121784</v>
      </c>
      <c r="G721">
        <v>-0.05472793352068905</v>
      </c>
      <c r="H721">
        <v>0.045</v>
      </c>
      <c r="I721">
        <v>0.02151722084662766</v>
      </c>
      <c r="J721" t="s">
        <v>778</v>
      </c>
      <c r="K721" t="s">
        <v>515</v>
      </c>
      <c r="L721">
        <v>1.26</v>
      </c>
      <c r="M721">
        <v>0.96</v>
      </c>
      <c r="N721">
        <v>0.7619047619047619</v>
      </c>
      <c r="O721">
        <v>0</v>
      </c>
      <c r="P721">
        <v>0.01417569496143978</v>
      </c>
      <c r="Q721">
        <v>0.7126406392291641</v>
      </c>
      <c r="R721" t="s">
        <v>780</v>
      </c>
      <c r="S721" t="s">
        <v>784</v>
      </c>
      <c r="T721">
        <v>13893.131799</v>
      </c>
      <c r="U721" s="2">
        <v>44514</v>
      </c>
      <c r="V721" t="s">
        <v>801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8.800000000000001</v>
      </c>
      <c r="D722">
        <v>6.1</v>
      </c>
      <c r="E722">
        <v>1.442622950819672</v>
      </c>
      <c r="F722">
        <v>0.0818181818181818</v>
      </c>
      <c r="G722">
        <v>-0.07067112215055871</v>
      </c>
      <c r="H722">
        <v>0</v>
      </c>
      <c r="I722">
        <v>0.01966570441215199</v>
      </c>
      <c r="J722" t="s">
        <v>778</v>
      </c>
      <c r="K722" t="s">
        <v>367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0.7788918312478521</v>
      </c>
      <c r="R722" t="s">
        <v>783</v>
      </c>
      <c r="S722" t="s">
        <v>790</v>
      </c>
      <c r="T722">
        <v>3430.8252</v>
      </c>
      <c r="U722" s="2">
        <v>44444</v>
      </c>
      <c r="V722" t="s">
        <v>798</v>
      </c>
    </row>
    <row r="723" spans="1:22">
      <c r="A723" s="1" t="s">
        <v>743</v>
      </c>
      <c r="B723">
        <f>HYPERLINK("https://www.suredividend.com/sure-analysis-EQR/","Equity Residential Properties Trust")</f>
        <v>0</v>
      </c>
      <c r="C723">
        <v>87.81999999999999</v>
      </c>
      <c r="D723">
        <v>65</v>
      </c>
      <c r="E723">
        <v>1.351076923076923</v>
      </c>
      <c r="F723">
        <v>0.02755636529264405</v>
      </c>
      <c r="G723">
        <v>-0.05840534451727641</v>
      </c>
      <c r="H723">
        <v>0.048</v>
      </c>
      <c r="I723">
        <v>0.01788953374567814</v>
      </c>
      <c r="J723" t="s">
        <v>778</v>
      </c>
      <c r="K723" t="s">
        <v>778</v>
      </c>
      <c r="L723">
        <v>2.95</v>
      </c>
      <c r="M723">
        <v>2.42</v>
      </c>
      <c r="N723">
        <v>0.8203389830508474</v>
      </c>
      <c r="O723">
        <v>1</v>
      </c>
      <c r="P723">
        <v>0.04390548076893097</v>
      </c>
      <c r="Q723">
        <v>0.4822166075096491</v>
      </c>
      <c r="R723" t="s">
        <v>782</v>
      </c>
      <c r="S723" t="s">
        <v>794</v>
      </c>
      <c r="T723">
        <v>32933.924616</v>
      </c>
      <c r="U723" s="2">
        <v>44496</v>
      </c>
      <c r="V723" t="s">
        <v>803</v>
      </c>
    </row>
    <row r="724" spans="1:22">
      <c r="A724" s="1" t="s">
        <v>744</v>
      </c>
      <c r="B724">
        <f>HYPERLINK("https://www.suredividend.com/sure-analysis-IRT/","Independence Realty Trust Inc")</f>
        <v>0</v>
      </c>
      <c r="C724">
        <v>25.83</v>
      </c>
      <c r="D724">
        <v>18.7</v>
      </c>
      <c r="E724">
        <v>1.381283422459893</v>
      </c>
      <c r="F724">
        <v>0.01858304297328688</v>
      </c>
      <c r="G724">
        <v>-0.06256008761668475</v>
      </c>
      <c r="H724">
        <v>0.059</v>
      </c>
      <c r="I724">
        <v>0.01772587279521987</v>
      </c>
      <c r="J724" t="s">
        <v>778</v>
      </c>
      <c r="K724" t="s">
        <v>778</v>
      </c>
      <c r="L724">
        <v>0.79</v>
      </c>
      <c r="M724">
        <v>0.48</v>
      </c>
      <c r="N724">
        <v>0.6075949367088607</v>
      </c>
      <c r="O724">
        <v>0</v>
      </c>
      <c r="P724">
        <v>0.1075663432482901</v>
      </c>
      <c r="Q724">
        <v>1.017275311611633</v>
      </c>
      <c r="R724" t="s">
        <v>782</v>
      </c>
      <c r="S724" t="s">
        <v>794</v>
      </c>
      <c r="T724">
        <v>2715.041488</v>
      </c>
      <c r="U724" s="2">
        <v>44503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35.27</v>
      </c>
      <c r="D725">
        <v>25</v>
      </c>
      <c r="E725">
        <v>1.4108</v>
      </c>
      <c r="F725">
        <v>0.05103487383045081</v>
      </c>
      <c r="G725">
        <v>-0.06651593272589607</v>
      </c>
      <c r="H725">
        <v>0.03</v>
      </c>
      <c r="I725">
        <v>0.01635496431730865</v>
      </c>
      <c r="J725" t="s">
        <v>778</v>
      </c>
      <c r="K725" t="s">
        <v>515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1.065653459837769</v>
      </c>
      <c r="R725" t="s">
        <v>782</v>
      </c>
      <c r="S725" t="s">
        <v>794</v>
      </c>
      <c r="T725">
        <v>737.537424</v>
      </c>
      <c r="U725" s="2">
        <v>44513</v>
      </c>
      <c r="V725" t="s">
        <v>801</v>
      </c>
    </row>
    <row r="726" spans="1:22">
      <c r="A726" s="1" t="s">
        <v>746</v>
      </c>
      <c r="B726">
        <f>HYPERLINK("https://www.suredividend.com/sure-analysis-STAG/","STAG Industrial Inc")</f>
        <v>0</v>
      </c>
      <c r="C726">
        <v>43.69</v>
      </c>
      <c r="D726">
        <v>31</v>
      </c>
      <c r="E726">
        <v>1.409354838709677</v>
      </c>
      <c r="F726">
        <v>0.03318837262531472</v>
      </c>
      <c r="G726">
        <v>-0.06632457111578782</v>
      </c>
      <c r="H726">
        <v>0.05</v>
      </c>
      <c r="I726">
        <v>0.01455758059054824</v>
      </c>
      <c r="J726" t="s">
        <v>778</v>
      </c>
      <c r="K726" t="s">
        <v>515</v>
      </c>
      <c r="L726">
        <v>2.04</v>
      </c>
      <c r="M726">
        <v>1.45</v>
      </c>
      <c r="N726">
        <v>0.7107843137254901</v>
      </c>
      <c r="O726">
        <v>10</v>
      </c>
      <c r="P726">
        <v>0.006803348678863008</v>
      </c>
      <c r="Q726">
        <v>0.505850724662656</v>
      </c>
      <c r="R726" t="s">
        <v>782</v>
      </c>
      <c r="S726" t="s">
        <v>794</v>
      </c>
      <c r="T726">
        <v>7417.30648</v>
      </c>
      <c r="U726" s="2">
        <v>44516</v>
      </c>
      <c r="V726" t="s">
        <v>804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34.69</v>
      </c>
      <c r="D727">
        <v>24</v>
      </c>
      <c r="E727">
        <v>1.445416666666667</v>
      </c>
      <c r="F727">
        <v>0.03459210147016431</v>
      </c>
      <c r="G727">
        <v>-0.07103064344998988</v>
      </c>
      <c r="H727">
        <v>0.05</v>
      </c>
      <c r="I727">
        <v>0.01416998009464732</v>
      </c>
      <c r="J727" t="s">
        <v>778</v>
      </c>
      <c r="K727" t="s">
        <v>515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0.168493455224031</v>
      </c>
      <c r="R727" t="s">
        <v>782</v>
      </c>
      <c r="S727" t="s">
        <v>794</v>
      </c>
      <c r="T727">
        <v>18700.415416</v>
      </c>
      <c r="U727" s="2">
        <v>44515</v>
      </c>
      <c r="V727" t="s">
        <v>804</v>
      </c>
    </row>
    <row r="728" spans="1:22">
      <c r="A728" s="1" t="s">
        <v>748</v>
      </c>
      <c r="B728">
        <f>HYPERLINK("https://www.suredividend.com/sure-analysis-PLYM/","Plymouth Industrial Reit Inc")</f>
        <v>0</v>
      </c>
      <c r="C728">
        <v>30.52</v>
      </c>
      <c r="D728">
        <v>20</v>
      </c>
      <c r="E728">
        <v>1.526</v>
      </c>
      <c r="F728">
        <v>0.02752293577981651</v>
      </c>
      <c r="G728">
        <v>-0.08105590102013149</v>
      </c>
      <c r="H728">
        <v>0.07000000000000001</v>
      </c>
      <c r="I728">
        <v>0.01184132598418741</v>
      </c>
      <c r="J728" t="s">
        <v>778</v>
      </c>
      <c r="K728" t="s">
        <v>515</v>
      </c>
      <c r="L728">
        <v>1.39</v>
      </c>
      <c r="M728">
        <v>0.84</v>
      </c>
      <c r="N728">
        <v>0.6043165467625899</v>
      </c>
      <c r="O728">
        <v>0</v>
      </c>
      <c r="P728">
        <v>0.009347419909568888</v>
      </c>
      <c r="Q728">
        <v>1.37371184133774</v>
      </c>
      <c r="R728" t="s">
        <v>782</v>
      </c>
      <c r="S728" t="s">
        <v>794</v>
      </c>
      <c r="T728">
        <v>1056.158609</v>
      </c>
      <c r="U728" s="2">
        <v>44513</v>
      </c>
      <c r="V728" t="s">
        <v>801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57.69</v>
      </c>
      <c r="D729">
        <v>40</v>
      </c>
      <c r="E729">
        <v>1.44225</v>
      </c>
      <c r="F729">
        <v>0.02513433870688161</v>
      </c>
      <c r="G729">
        <v>-0.07062306416864628</v>
      </c>
      <c r="H729">
        <v>0.055</v>
      </c>
      <c r="I729">
        <v>0.0101887971956085</v>
      </c>
      <c r="J729" t="s">
        <v>778</v>
      </c>
      <c r="K729" t="s">
        <v>778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0.483414759578297</v>
      </c>
      <c r="R729" t="s">
        <v>782</v>
      </c>
      <c r="S729" t="s">
        <v>794</v>
      </c>
      <c r="T729">
        <v>17836.962205</v>
      </c>
      <c r="U729" s="2">
        <v>44512</v>
      </c>
      <c r="V729" t="s">
        <v>801</v>
      </c>
    </row>
    <row r="730" spans="1:22">
      <c r="A730" s="1" t="s">
        <v>750</v>
      </c>
      <c r="B730">
        <f>HYPERLINK("https://www.suredividend.com/sure-analysis-SJT/","San Juan Basin Royalty Trust")</f>
        <v>0</v>
      </c>
      <c r="C730">
        <v>7.55</v>
      </c>
      <c r="D730">
        <v>4.8</v>
      </c>
      <c r="E730">
        <v>1.572916666666667</v>
      </c>
      <c r="F730">
        <v>0.07947019867549669</v>
      </c>
      <c r="G730">
        <v>-0.08660452208439873</v>
      </c>
      <c r="H730">
        <v>0</v>
      </c>
      <c r="I730">
        <v>0.006536504393109821</v>
      </c>
      <c r="J730" t="s">
        <v>778</v>
      </c>
      <c r="K730" t="s">
        <v>367</v>
      </c>
      <c r="L730">
        <v>0.6</v>
      </c>
      <c r="M730">
        <v>0.6</v>
      </c>
      <c r="N730">
        <v>1</v>
      </c>
      <c r="O730">
        <v>1</v>
      </c>
      <c r="P730">
        <v>0</v>
      </c>
      <c r="Q730">
        <v>1.098562970786891</v>
      </c>
      <c r="R730" t="s">
        <v>780</v>
      </c>
      <c r="S730" t="s">
        <v>793</v>
      </c>
      <c r="T730">
        <v>351.89641</v>
      </c>
      <c r="U730" s="2">
        <v>44519</v>
      </c>
      <c r="V730" t="s">
        <v>804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18.5</v>
      </c>
      <c r="D731">
        <v>11.5</v>
      </c>
      <c r="E731">
        <v>1.608695652173913</v>
      </c>
      <c r="F731">
        <v>0.07783783783783783</v>
      </c>
      <c r="G731">
        <v>-0.09070412193189048</v>
      </c>
      <c r="H731">
        <v>0.008</v>
      </c>
      <c r="I731">
        <v>0.005844455997006781</v>
      </c>
      <c r="J731" t="s">
        <v>778</v>
      </c>
      <c r="K731" t="s">
        <v>367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0.449843260188087</v>
      </c>
      <c r="R731" t="s">
        <v>782</v>
      </c>
      <c r="S731" t="s">
        <v>794</v>
      </c>
      <c r="T731">
        <v>2645.623192</v>
      </c>
      <c r="U731" s="2">
        <v>44506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17.02</v>
      </c>
      <c r="D732">
        <v>11</v>
      </c>
      <c r="E732">
        <v>1.547272727272727</v>
      </c>
      <c r="F732">
        <v>0.05287896592244418</v>
      </c>
      <c r="G732">
        <v>-0.08359673913744758</v>
      </c>
      <c r="H732">
        <v>0.03</v>
      </c>
      <c r="I732">
        <v>0.005791334929770464</v>
      </c>
      <c r="J732" t="s">
        <v>778</v>
      </c>
      <c r="K732" t="s">
        <v>515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0.836406598979294</v>
      </c>
      <c r="R732" t="s">
        <v>783</v>
      </c>
      <c r="S732" t="s">
        <v>790</v>
      </c>
      <c r="T732">
        <v>565.149491</v>
      </c>
      <c r="U732" s="2">
        <v>44512</v>
      </c>
      <c r="V732" t="s">
        <v>800</v>
      </c>
    </row>
    <row r="733" spans="1:22">
      <c r="A733" s="1" t="s">
        <v>753</v>
      </c>
      <c r="B733">
        <f>HYPERLINK("https://www.suredividend.com/sure-analysis-DREUF/","Dream Industrial Real Estate Investment Trust")</f>
        <v>0</v>
      </c>
      <c r="C733">
        <v>13.406</v>
      </c>
      <c r="D733">
        <v>9</v>
      </c>
      <c r="E733">
        <v>1.489555555555556</v>
      </c>
      <c r="F733">
        <v>0.04326421005519916</v>
      </c>
      <c r="G733">
        <v>-0.07660257555353234</v>
      </c>
      <c r="H733">
        <v>0.035</v>
      </c>
      <c r="I733">
        <v>0.003159273245087579</v>
      </c>
      <c r="J733" t="s">
        <v>778</v>
      </c>
      <c r="K733" t="s">
        <v>515</v>
      </c>
      <c r="L733">
        <v>0.65</v>
      </c>
      <c r="M733">
        <v>0.58</v>
      </c>
      <c r="N733">
        <v>0.8923076923076922</v>
      </c>
      <c r="O733">
        <v>0</v>
      </c>
      <c r="P733">
        <v>0.003424737731033467</v>
      </c>
      <c r="Q733">
        <v>0.3725108779114411</v>
      </c>
      <c r="R733" t="s">
        <v>782</v>
      </c>
      <c r="S733" t="s">
        <v>790</v>
      </c>
      <c r="T733">
        <v>3079.726892</v>
      </c>
      <c r="U733" s="2">
        <v>44513</v>
      </c>
      <c r="V733" t="s">
        <v>801</v>
      </c>
    </row>
    <row r="734" spans="1:22">
      <c r="A734" s="1" t="s">
        <v>754</v>
      </c>
      <c r="B734">
        <f>HYPERLINK("https://www.suredividend.com/sure-analysis-LXP/","Lexington Realty Trust")</f>
        <v>0</v>
      </c>
      <c r="C734">
        <v>15.32</v>
      </c>
      <c r="D734">
        <v>11</v>
      </c>
      <c r="E734">
        <v>1.392727272727273</v>
      </c>
      <c r="F734">
        <v>0.03133159268929504</v>
      </c>
      <c r="G734">
        <v>-0.06410573937407305</v>
      </c>
      <c r="H734">
        <v>0.035</v>
      </c>
      <c r="I734">
        <v>0.002651990477576582</v>
      </c>
      <c r="J734" t="s">
        <v>778</v>
      </c>
      <c r="K734" t="s">
        <v>515</v>
      </c>
      <c r="L734">
        <v>0.76</v>
      </c>
      <c r="M734">
        <v>0.48</v>
      </c>
      <c r="N734">
        <v>0.631578947368421</v>
      </c>
      <c r="O734">
        <v>2</v>
      </c>
      <c r="P734">
        <v>0.008197818497166498</v>
      </c>
      <c r="Q734">
        <v>0.521093757756883</v>
      </c>
      <c r="R734" t="s">
        <v>782</v>
      </c>
      <c r="S734" t="s">
        <v>794</v>
      </c>
      <c r="T734">
        <v>4332.763058</v>
      </c>
      <c r="U734" s="2">
        <v>44513</v>
      </c>
      <c r="V734" t="s">
        <v>801</v>
      </c>
    </row>
    <row r="735" spans="1:22">
      <c r="A735" s="1" t="s">
        <v>755</v>
      </c>
      <c r="B735">
        <f>HYPERLINK("https://www.suredividend.com/sure-analysis-UBA/","Urstadt Biddle Properties, Inc.")</f>
        <v>0</v>
      </c>
      <c r="C735">
        <v>20.52</v>
      </c>
      <c r="D735">
        <v>14</v>
      </c>
      <c r="E735">
        <v>1.465714285714286</v>
      </c>
      <c r="F735">
        <v>0.04483430799220273</v>
      </c>
      <c r="G735">
        <v>-0.07361794046464742</v>
      </c>
      <c r="H735">
        <v>0.018</v>
      </c>
      <c r="I735">
        <v>-0.0008462149504215866</v>
      </c>
      <c r="J735" t="s">
        <v>778</v>
      </c>
      <c r="K735" t="s">
        <v>367</v>
      </c>
      <c r="L735">
        <v>1.37</v>
      </c>
      <c r="M735">
        <v>0.92</v>
      </c>
      <c r="N735">
        <v>0.6715328467153284</v>
      </c>
      <c r="O735">
        <v>0</v>
      </c>
      <c r="P735">
        <v>0.03638464900130689</v>
      </c>
      <c r="Q735">
        <v>0.499397172189543</v>
      </c>
      <c r="R735" t="s">
        <v>782</v>
      </c>
      <c r="S735" t="s">
        <v>794</v>
      </c>
      <c r="T735">
        <v>797.241178</v>
      </c>
      <c r="U735" s="2">
        <v>44452</v>
      </c>
      <c r="V735" t="s">
        <v>803</v>
      </c>
    </row>
    <row r="736" spans="1:22">
      <c r="A736" s="1" t="s">
        <v>756</v>
      </c>
      <c r="B736">
        <f>HYPERLINK("https://www.suredividend.com/sure-analysis-MPC/","Marathon Petroleum Corp")</f>
        <v>0</v>
      </c>
      <c r="C736">
        <v>64.55</v>
      </c>
      <c r="D736">
        <v>49</v>
      </c>
      <c r="E736">
        <v>1.31734693877551</v>
      </c>
      <c r="F736">
        <v>0.0359411309062742</v>
      </c>
      <c r="G736">
        <v>-0.05363217470452308</v>
      </c>
      <c r="H736">
        <v>0.01</v>
      </c>
      <c r="I736">
        <v>-0.003409469191637648</v>
      </c>
      <c r="J736" t="s">
        <v>778</v>
      </c>
      <c r="K736" t="s">
        <v>515</v>
      </c>
      <c r="L736">
        <v>1.5</v>
      </c>
      <c r="M736">
        <v>2.32</v>
      </c>
      <c r="N736">
        <v>1.546666666666667</v>
      </c>
      <c r="O736">
        <v>9</v>
      </c>
      <c r="P736">
        <v>0.01013720758985226</v>
      </c>
      <c r="Q736">
        <v>0.564211424195721</v>
      </c>
      <c r="R736" t="s">
        <v>780</v>
      </c>
      <c r="S736" t="s">
        <v>793</v>
      </c>
      <c r="T736">
        <v>39736.184809</v>
      </c>
      <c r="U736" s="2">
        <v>44504</v>
      </c>
      <c r="V736" t="s">
        <v>804</v>
      </c>
    </row>
    <row r="737" spans="1:22">
      <c r="A737" s="1" t="s">
        <v>757</v>
      </c>
      <c r="B737">
        <f>HYPERLINK("https://www.suredividend.com/sure-analysis-GLAD/","Gladstone Capital Corp.")</f>
        <v>0</v>
      </c>
      <c r="C737">
        <v>12.12</v>
      </c>
      <c r="D737">
        <v>8</v>
      </c>
      <c r="E737">
        <v>1.515</v>
      </c>
      <c r="F737">
        <v>0.06435643564356436</v>
      </c>
      <c r="G737">
        <v>-0.0797253195480363</v>
      </c>
      <c r="H737">
        <v>0</v>
      </c>
      <c r="I737">
        <v>-0.00365701288561826</v>
      </c>
      <c r="J737" t="s">
        <v>778</v>
      </c>
      <c r="K737" t="s">
        <v>367</v>
      </c>
      <c r="L737">
        <v>0.8</v>
      </c>
      <c r="M737">
        <v>0.78</v>
      </c>
      <c r="N737">
        <v>0.975</v>
      </c>
      <c r="O737">
        <v>0</v>
      </c>
      <c r="P737">
        <v>0</v>
      </c>
      <c r="Q737">
        <v>0.5490599557776611</v>
      </c>
      <c r="R737" t="s">
        <v>780</v>
      </c>
      <c r="S737" t="s">
        <v>790</v>
      </c>
      <c r="T737">
        <v>415.768977</v>
      </c>
      <c r="U737" s="2">
        <v>44520</v>
      </c>
      <c r="V737" t="s">
        <v>798</v>
      </c>
    </row>
    <row r="738" spans="1:22">
      <c r="A738" s="1" t="s">
        <v>758</v>
      </c>
      <c r="B738">
        <f>HYPERLINK("https://www.suredividend.com/sure-analysis-HP/","Helmerich &amp; Payne, Inc.")</f>
        <v>0</v>
      </c>
      <c r="C738">
        <v>25.29</v>
      </c>
      <c r="D738">
        <v>9</v>
      </c>
      <c r="E738">
        <v>2.81</v>
      </c>
      <c r="F738">
        <v>0.03954132068011072</v>
      </c>
      <c r="G738">
        <v>-0.1866850862670758</v>
      </c>
      <c r="H738">
        <v>0.17</v>
      </c>
      <c r="I738">
        <v>-0.004452020668648138</v>
      </c>
      <c r="J738" t="s">
        <v>778</v>
      </c>
      <c r="K738" t="s">
        <v>515</v>
      </c>
      <c r="L738">
        <v>0.55</v>
      </c>
      <c r="M738">
        <v>1</v>
      </c>
      <c r="N738">
        <v>1.818181818181818</v>
      </c>
      <c r="O738">
        <v>0</v>
      </c>
      <c r="P738">
        <v>0</v>
      </c>
      <c r="Q738">
        <v>0.083547557840616</v>
      </c>
      <c r="R738" t="s">
        <v>780</v>
      </c>
      <c r="S738" t="s">
        <v>793</v>
      </c>
      <c r="T738">
        <v>2731.377231</v>
      </c>
      <c r="U738" s="2">
        <v>44524</v>
      </c>
      <c r="V738" t="s">
        <v>804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11.7395</v>
      </c>
      <c r="D739">
        <v>6.7</v>
      </c>
      <c r="E739">
        <v>1.752164179104478</v>
      </c>
      <c r="F739">
        <v>0.05025767707312918</v>
      </c>
      <c r="G739">
        <v>-0.1061080206098813</v>
      </c>
      <c r="H739">
        <v>0.049</v>
      </c>
      <c r="I739">
        <v>-0.00584904298829525</v>
      </c>
      <c r="J739" t="s">
        <v>778</v>
      </c>
      <c r="K739" t="s">
        <v>515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0.150807265883091</v>
      </c>
      <c r="R739" t="s">
        <v>782</v>
      </c>
      <c r="S739" t="s">
        <v>790</v>
      </c>
      <c r="T739">
        <v>3844.870783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367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0.182675846439963</v>
      </c>
      <c r="R740" t="s">
        <v>780</v>
      </c>
      <c r="S740" t="s">
        <v>790</v>
      </c>
      <c r="T740">
        <v>954.50252</v>
      </c>
      <c r="U740" s="2">
        <v>44509</v>
      </c>
      <c r="V740" t="s">
        <v>803</v>
      </c>
    </row>
    <row r="741" spans="1:22">
      <c r="A741" s="1" t="s">
        <v>761</v>
      </c>
      <c r="B741">
        <f>HYPERLINK("https://www.suredividend.com/sure-analysis-LAMR/","Lamar Advertising Co")</f>
        <v>0</v>
      </c>
      <c r="C741">
        <v>114.93</v>
      </c>
      <c r="D741">
        <v>78</v>
      </c>
      <c r="E741">
        <v>1.473461538461539</v>
      </c>
      <c r="F741">
        <v>0.03480379361350387</v>
      </c>
      <c r="G741">
        <v>-0.07459415296098371</v>
      </c>
      <c r="H741">
        <v>0.001</v>
      </c>
      <c r="I741">
        <v>-0.03059735568910815</v>
      </c>
      <c r="J741" t="s">
        <v>778</v>
      </c>
      <c r="K741" t="s">
        <v>515</v>
      </c>
      <c r="L741">
        <v>6.48</v>
      </c>
      <c r="M741">
        <v>4</v>
      </c>
      <c r="N741">
        <v>0.6172839506172839</v>
      </c>
      <c r="O741">
        <v>1</v>
      </c>
      <c r="P741">
        <v>0</v>
      </c>
      <c r="Q741">
        <v>0.461681881656293</v>
      </c>
      <c r="R741" t="s">
        <v>782</v>
      </c>
      <c r="S741" t="s">
        <v>794</v>
      </c>
      <c r="T741">
        <v>9978.153066999999</v>
      </c>
      <c r="U741" s="2">
        <v>44509</v>
      </c>
      <c r="V741" t="s">
        <v>803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87.06999999999999</v>
      </c>
      <c r="D742">
        <v>56</v>
      </c>
      <c r="E742">
        <v>1.554821428571428</v>
      </c>
      <c r="F742">
        <v>0.0280234294246009</v>
      </c>
      <c r="G742">
        <v>-0.08448830491953341</v>
      </c>
      <c r="H742">
        <v>0.012</v>
      </c>
      <c r="I742">
        <v>-0.03308988149993419</v>
      </c>
      <c r="J742" t="s">
        <v>778</v>
      </c>
      <c r="K742" t="s">
        <v>515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0.3725406741480931</v>
      </c>
      <c r="R742" t="s">
        <v>782</v>
      </c>
      <c r="S742" t="s">
        <v>794</v>
      </c>
      <c r="T742">
        <v>37899.353153</v>
      </c>
      <c r="U742" s="2">
        <v>44505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55.54</v>
      </c>
      <c r="D743">
        <v>35.5</v>
      </c>
      <c r="E743">
        <v>1.564507042253521</v>
      </c>
      <c r="F743">
        <v>0.06445804825351098</v>
      </c>
      <c r="G743">
        <v>-0.08562467985138733</v>
      </c>
      <c r="H743">
        <v>-0.053</v>
      </c>
      <c r="I743">
        <v>-0.04919913436999335</v>
      </c>
      <c r="J743" t="s">
        <v>778</v>
      </c>
      <c r="K743" t="s">
        <v>367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0.8666523267616231</v>
      </c>
      <c r="R743" t="s">
        <v>780</v>
      </c>
      <c r="S743" t="s">
        <v>790</v>
      </c>
      <c r="T743">
        <v>5484.80538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28.88</v>
      </c>
      <c r="D744">
        <v>14</v>
      </c>
      <c r="E744">
        <v>2.062857142857143</v>
      </c>
      <c r="F744">
        <v>0.01869806094182826</v>
      </c>
      <c r="G744">
        <v>-0.1348206018786327</v>
      </c>
      <c r="H744">
        <v>0.06</v>
      </c>
      <c r="I744">
        <v>-0.05556743908131712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1.004386330196274</v>
      </c>
      <c r="R744" t="s">
        <v>782</v>
      </c>
      <c r="S744" t="s">
        <v>794</v>
      </c>
      <c r="T744">
        <v>987.985175</v>
      </c>
      <c r="U744" s="2">
        <v>44424</v>
      </c>
      <c r="V744" t="s">
        <v>798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9.27</v>
      </c>
      <c r="D745">
        <v>2.7</v>
      </c>
      <c r="E745">
        <v>3.433333333333333</v>
      </c>
      <c r="F745">
        <v>0.0226537216828479</v>
      </c>
      <c r="G745">
        <v>-0.2186298684068873</v>
      </c>
      <c r="H745">
        <v>0.13</v>
      </c>
      <c r="I745">
        <v>-0.06795359440189486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2.11711893473217</v>
      </c>
      <c r="R745" t="s">
        <v>780</v>
      </c>
      <c r="S745" t="s">
        <v>793</v>
      </c>
      <c r="T745">
        <v>432.063539</v>
      </c>
      <c r="U745" s="2">
        <v>44519</v>
      </c>
      <c r="V745" t="s">
        <v>804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5.96</v>
      </c>
      <c r="D746">
        <v>3.1</v>
      </c>
      <c r="E746">
        <v>1.92258064516129</v>
      </c>
      <c r="F746">
        <v>0.01006711409395973</v>
      </c>
      <c r="G746">
        <v>-0.1225485685222608</v>
      </c>
      <c r="H746">
        <v>0.026</v>
      </c>
      <c r="I746">
        <v>-0.08216091275937676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0.6952045053757321</v>
      </c>
      <c r="R746" t="s">
        <v>780</v>
      </c>
      <c r="S746" t="s">
        <v>790</v>
      </c>
      <c r="T746">
        <v>77.21362999999999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28.66</v>
      </c>
      <c r="D747">
        <v>11</v>
      </c>
      <c r="E747">
        <v>2.605454545454545</v>
      </c>
      <c r="F747">
        <v>0.05792044661549197</v>
      </c>
      <c r="G747">
        <v>-0.174298069809698</v>
      </c>
      <c r="H747">
        <v>0.02</v>
      </c>
      <c r="I747">
        <v>-0.09351896388411962</v>
      </c>
      <c r="J747" t="s">
        <v>778</v>
      </c>
      <c r="K747" t="s">
        <v>367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-0.010710969510153</v>
      </c>
      <c r="R747" t="s">
        <v>780</v>
      </c>
      <c r="S747" t="s">
        <v>789</v>
      </c>
      <c r="T747">
        <v>22056.902945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HYPERLINK("https://www.suredividend.com/sure-analysis-CVA/","Covanta Holding Corporation")</f>
        <v>0</v>
      </c>
      <c r="C748">
        <v>20.25</v>
      </c>
      <c r="D748">
        <v>5.55</v>
      </c>
      <c r="E748">
        <v>3.648648648648649</v>
      </c>
      <c r="F748">
        <v>0.01580246913580247</v>
      </c>
      <c r="G748">
        <v>-0.2280776934137813</v>
      </c>
      <c r="H748">
        <v>0.1</v>
      </c>
      <c r="I748">
        <v>-0.1224550781087445</v>
      </c>
      <c r="J748" t="s">
        <v>778</v>
      </c>
      <c r="K748" t="s">
        <v>778</v>
      </c>
      <c r="L748">
        <v>0.37</v>
      </c>
      <c r="M748">
        <v>0.32</v>
      </c>
      <c r="N748">
        <v>0.8648648648648649</v>
      </c>
      <c r="O748">
        <v>0</v>
      </c>
      <c r="P748">
        <v>0</v>
      </c>
      <c r="Q748">
        <v>0.6277088290142111</v>
      </c>
      <c r="R748" t="s">
        <v>780</v>
      </c>
      <c r="S748" t="s">
        <v>787</v>
      </c>
      <c r="T748">
        <v>2693.435936</v>
      </c>
      <c r="U748" s="2">
        <v>44507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7.54</v>
      </c>
      <c r="D749">
        <v>5.95</v>
      </c>
      <c r="E749">
        <v>1.267226890756302</v>
      </c>
      <c r="F749">
        <v>0.01061007957559682</v>
      </c>
      <c r="G749">
        <v>-0.04626191808948887</v>
      </c>
      <c r="H749">
        <v>-0.1</v>
      </c>
      <c r="I749">
        <v>-0.1229246145524497</v>
      </c>
      <c r="J749" t="s">
        <v>778</v>
      </c>
      <c r="K749" t="s">
        <v>778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0.576515357434085</v>
      </c>
      <c r="R749" t="s">
        <v>780</v>
      </c>
      <c r="S749" t="s">
        <v>793</v>
      </c>
      <c r="T749">
        <v>1621.945958</v>
      </c>
      <c r="U749" s="2">
        <v>44516</v>
      </c>
      <c r="V749" t="s">
        <v>804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42.83</v>
      </c>
      <c r="D750">
        <v>12</v>
      </c>
      <c r="E750">
        <v>3.569166666666666</v>
      </c>
      <c r="F750">
        <v>0.0002334812047630166</v>
      </c>
      <c r="G750">
        <v>-0.2246699182498501</v>
      </c>
      <c r="H750">
        <v>0.06</v>
      </c>
      <c r="I750">
        <v>-0.1745743350649304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0.505845126131669</v>
      </c>
      <c r="R750" t="s">
        <v>780</v>
      </c>
      <c r="S750" t="s">
        <v>791</v>
      </c>
      <c r="T750">
        <v>20085.550076</v>
      </c>
      <c r="U750" s="2">
        <v>44518</v>
      </c>
      <c r="V750" t="s">
        <v>804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2.2</v>
      </c>
      <c r="D751">
        <v>3.46</v>
      </c>
      <c r="E751">
        <v>0.6358381502890174</v>
      </c>
      <c r="F751">
        <v>0</v>
      </c>
      <c r="G751">
        <v>0.09478965151396856</v>
      </c>
      <c r="H751">
        <v>-0.015</v>
      </c>
      <c r="I751">
        <v>0.0783678067412592</v>
      </c>
      <c r="J751" t="s">
        <v>779</v>
      </c>
      <c r="K751" t="s">
        <v>779</v>
      </c>
      <c r="L751">
        <v>1.15</v>
      </c>
      <c r="M751">
        <v>0</v>
      </c>
      <c r="N751">
        <v>0</v>
      </c>
      <c r="O751">
        <v>0</v>
      </c>
      <c r="P751">
        <v>0</v>
      </c>
      <c r="Q751">
        <v>-0.16030534351145</v>
      </c>
      <c r="R751" t="s">
        <v>781</v>
      </c>
      <c r="S751" t="s">
        <v>793</v>
      </c>
      <c r="T751">
        <v>285.106666</v>
      </c>
      <c r="U751" s="2">
        <v>44515</v>
      </c>
      <c r="V751" t="s">
        <v>801</v>
      </c>
    </row>
    <row r="752" spans="1:22">
      <c r="A752" s="1" t="s">
        <v>772</v>
      </c>
      <c r="B752">
        <f>HYPERLINK("https://www.suredividend.com/sure-analysis-HFC/","HollyFrontier Corp")</f>
        <v>0</v>
      </c>
      <c r="C752">
        <v>33.96</v>
      </c>
      <c r="D752">
        <v>39</v>
      </c>
      <c r="E752">
        <v>0.8707692307692307</v>
      </c>
      <c r="F752">
        <v>0</v>
      </c>
      <c r="G752">
        <v>0.02806218550242634</v>
      </c>
      <c r="H752">
        <v>0.03</v>
      </c>
      <c r="I752">
        <v>0.07788493819814946</v>
      </c>
      <c r="J752" t="s">
        <v>779</v>
      </c>
      <c r="K752" t="s">
        <v>779</v>
      </c>
      <c r="L752">
        <v>1.8</v>
      </c>
      <c r="M752">
        <v>0</v>
      </c>
      <c r="N752">
        <v>0</v>
      </c>
      <c r="O752">
        <v>0</v>
      </c>
      <c r="P752">
        <v>0.01613736474159566</v>
      </c>
      <c r="Q752">
        <v>0.32838383877895</v>
      </c>
      <c r="R752" t="s">
        <v>780</v>
      </c>
      <c r="S752" t="s">
        <v>793</v>
      </c>
      <c r="T752">
        <v>5518.372141</v>
      </c>
      <c r="U752" s="2">
        <v>44508</v>
      </c>
      <c r="V752" t="s">
        <v>804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12.8</v>
      </c>
      <c r="D753">
        <v>11</v>
      </c>
      <c r="E753">
        <v>1.163636363636364</v>
      </c>
      <c r="F753">
        <v>0</v>
      </c>
      <c r="G753">
        <v>-0.02985523817552971</v>
      </c>
      <c r="H753">
        <v>0.05</v>
      </c>
      <c r="I753">
        <v>0.04352796208874077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0.113043478260869</v>
      </c>
      <c r="R753" t="s">
        <v>782</v>
      </c>
      <c r="S753" t="s">
        <v>794</v>
      </c>
      <c r="T753">
        <v>624.232717</v>
      </c>
      <c r="U753" s="2">
        <v>44512</v>
      </c>
      <c r="V753" t="s">
        <v>801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19.3</v>
      </c>
      <c r="D754">
        <v>18</v>
      </c>
      <c r="E754">
        <v>1.072222222222222</v>
      </c>
      <c r="F754">
        <v>0</v>
      </c>
      <c r="G754">
        <v>-0.01384986338893712</v>
      </c>
      <c r="H754">
        <v>0.015</v>
      </c>
      <c r="I754">
        <v>0.03830891571788153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0.151551312649164</v>
      </c>
      <c r="R754" t="s">
        <v>782</v>
      </c>
      <c r="S754" t="s">
        <v>794</v>
      </c>
      <c r="T754">
        <v>4564.048155</v>
      </c>
      <c r="U754" s="2">
        <v>44513</v>
      </c>
      <c r="V754" t="s">
        <v>801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3.042</v>
      </c>
      <c r="D755">
        <v>2.24</v>
      </c>
      <c r="E755">
        <v>1.358035714285714</v>
      </c>
      <c r="F755">
        <v>0</v>
      </c>
      <c r="G755">
        <v>-0.05937230468141752</v>
      </c>
      <c r="H755">
        <v>0.03</v>
      </c>
      <c r="I755">
        <v>0.0003136707750723833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-0.064</v>
      </c>
      <c r="R755" t="s">
        <v>780</v>
      </c>
      <c r="S755" t="s">
        <v>787</v>
      </c>
      <c r="T755">
        <v>540.414001</v>
      </c>
      <c r="U755" s="2">
        <v>44515</v>
      </c>
      <c r="V755" t="s">
        <v>801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791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792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789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713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723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386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646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628</v>
      </c>
      <c r="B243">
        <v>43819</v>
      </c>
    </row>
    <row r="244" spans="1:2">
      <c r="A244" s="1" t="s">
        <v>669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641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631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674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385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697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690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715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559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688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648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369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560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707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677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726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716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682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644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728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611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594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727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409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692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686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658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671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675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630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681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653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748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757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724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738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729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705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380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210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699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499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654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683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372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717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768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532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758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398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663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511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510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498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604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668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441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334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540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627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585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365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718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265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343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423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595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51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378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554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731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652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636</v>
      </c>
      <c r="B1677" t="s">
        <v>10116</v>
      </c>
    </row>
    <row r="1678" spans="1:2">
      <c r="A1678" s="1" t="s">
        <v>473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557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744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497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552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247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582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403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496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719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410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219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634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746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530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452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755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583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660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422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721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515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694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221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396</v>
      </c>
      <c r="B2101">
        <v>43802</v>
      </c>
    </row>
    <row r="2102" spans="1:2">
      <c r="A2102" s="1" t="s">
        <v>761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680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548</v>
      </c>
      <c r="B2124" t="s">
        <v>779</v>
      </c>
    </row>
    <row r="2125" spans="1:2">
      <c r="A2125" s="1" t="s">
        <v>584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508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643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541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523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411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245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88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566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695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706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478</v>
      </c>
      <c r="B2358">
        <v>43809</v>
      </c>
    </row>
    <row r="2359" spans="1:2">
      <c r="A2359" s="1" t="s">
        <v>507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202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261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655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217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493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570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232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685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521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395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290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623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401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734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709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676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81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488</v>
      </c>
      <c r="B2584">
        <v>43846</v>
      </c>
    </row>
    <row r="2585" spans="1:2">
      <c r="A2585" s="1" t="s">
        <v>446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392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670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273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633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490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556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733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419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531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394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207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575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756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248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252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555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533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678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278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291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223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310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445</v>
      </c>
      <c r="B2913">
        <v>43629</v>
      </c>
    </row>
    <row r="2914" spans="1:2">
      <c r="A2914" s="1" t="s">
        <v>36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63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535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186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355</v>
      </c>
      <c r="B2987">
        <v>43803</v>
      </c>
    </row>
    <row r="2988" spans="1:2">
      <c r="A2988" s="1" t="s">
        <v>285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201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568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376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270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436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642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619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427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561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518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349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241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182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66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520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413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454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571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47</v>
      </c>
      <c r="B3280">
        <v>43831</v>
      </c>
    </row>
    <row r="3281" spans="1:2">
      <c r="A3281" s="1" t="s">
        <v>373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363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569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86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93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91</v>
      </c>
      <c r="B3400">
        <v>43845</v>
      </c>
    </row>
    <row r="3401" spans="1:2">
      <c r="A3401" s="1" t="s">
        <v>371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211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487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772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460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599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114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220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253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198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696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665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266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574</v>
      </c>
      <c r="B3529">
        <v>43801</v>
      </c>
    </row>
    <row r="3530" spans="1:2">
      <c r="A3530" s="1" t="s">
        <v>42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558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710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315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71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491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367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60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416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598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399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287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417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602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288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236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130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203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87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448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135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406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34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593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240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268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361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389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333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444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57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96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313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591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74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108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607</v>
      </c>
      <c r="B4011">
        <v>43851</v>
      </c>
    </row>
    <row r="4012" spans="1:2">
      <c r="A4012" s="1" t="s">
        <v>360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125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244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89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503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72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294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218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227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295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664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116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357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689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99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457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283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28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400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127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64</v>
      </c>
      <c r="B4446">
        <v>43801</v>
      </c>
    </row>
    <row r="4447" spans="1:2">
      <c r="A4447" s="1" t="s">
        <v>85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82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100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517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280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90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83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293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546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481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77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279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289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242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50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126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140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193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52</v>
      </c>
      <c r="B4809">
        <v>43816</v>
      </c>
    </row>
    <row r="4810" spans="1:2">
      <c r="A4810" s="1" t="s">
        <v>590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134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296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435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204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512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364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160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550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284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157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101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54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424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146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222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97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339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480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578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123</v>
      </c>
      <c r="B5207">
        <v>43871</v>
      </c>
    </row>
    <row r="5208" spans="1:2">
      <c r="A5208" s="1" t="s">
        <v>687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119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249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610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208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120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238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391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352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254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35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479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37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55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426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148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139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73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67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141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447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137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649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468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408</v>
      </c>
      <c r="B5927">
        <v>43784</v>
      </c>
    </row>
    <row r="5928" spans="1:2">
      <c r="A5928" s="1" t="s">
        <v>317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122</v>
      </c>
      <c r="B5933">
        <v>43811</v>
      </c>
    </row>
    <row r="5934" spans="1:2">
      <c r="A5934" s="1" t="s">
        <v>722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92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65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500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84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281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48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69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484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495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397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572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383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587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418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404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271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714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216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543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345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544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2021-11-26T07:13:42Z</dcterms:created>
  <dcterms:modified xsi:type="dcterms:W3CDTF">2021-11-26T07:13:42Z</dcterms:modified>
</cp:coreProperties>
</file>