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<sst xmlns="http://schemas.openxmlformats.org/spreadsheetml/2006/main" count="20801" uniqueCount="10145">
  <si>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</si>
  <si>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</si>
  <si>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</si>
  <si>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</si>
  <si>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</si>
  <si>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</si>
  <si>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</si>
  <si>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</si>
  <si>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</si>
  <si>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</si>
  <si>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</si>
  <si>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</si>
  <si>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</si>
  <si>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</si>
  <si>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</si>
  <si>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</si>
  <si>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</si>
  <si>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</si>
  <si>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</si>
  <si>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</si>
  <si>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</si>
  <si>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</si>
  <si>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</si>
  <si>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</si>
  <si>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</si>
  <si>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</si>
  <si>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WBA</t>
  </si>
  <si>
    <t>FDX</t>
  </si>
  <si>
    <t>ABM</t>
  </si>
  <si>
    <t>RGLD</t>
  </si>
  <si>
    <t>SLGN</t>
  </si>
  <si>
    <t>NOC</t>
  </si>
  <si>
    <t>MDU</t>
  </si>
  <si>
    <t>PII</t>
  </si>
  <si>
    <t>UNM</t>
  </si>
  <si>
    <t>SYK</t>
  </si>
  <si>
    <t>ADM</t>
  </si>
  <si>
    <t>BDX</t>
  </si>
  <si>
    <t>CAH</t>
  </si>
  <si>
    <t>BANF</t>
  </si>
  <si>
    <t>V</t>
  </si>
  <si>
    <t>CHRW</t>
  </si>
  <si>
    <t>EFSI</t>
  </si>
  <si>
    <t>JNJ</t>
  </si>
  <si>
    <t>ATO</t>
  </si>
  <si>
    <t>JW.A</t>
  </si>
  <si>
    <t>LEG</t>
  </si>
  <si>
    <t>NIDB</t>
  </si>
  <si>
    <t>SWK</t>
  </si>
  <si>
    <t>ABBV</t>
  </si>
  <si>
    <t>BRC</t>
  </si>
  <si>
    <t>PH</t>
  </si>
  <si>
    <t>MMM</t>
  </si>
  <si>
    <t>TNC</t>
  </si>
  <si>
    <t>LHX</t>
  </si>
  <si>
    <t>CINF</t>
  </si>
  <si>
    <t>INTU</t>
  </si>
  <si>
    <t>ANTM</t>
  </si>
  <si>
    <t>BKH</t>
  </si>
  <si>
    <t>AFL</t>
  </si>
  <si>
    <t>CTBI</t>
  </si>
  <si>
    <t>ABC</t>
  </si>
  <si>
    <t>MET</t>
  </si>
  <si>
    <t>TMO</t>
  </si>
  <si>
    <t>KO</t>
  </si>
  <si>
    <t>ROP</t>
  </si>
  <si>
    <t>CP</t>
  </si>
  <si>
    <t>NWN</t>
  </si>
  <si>
    <t>MATW</t>
  </si>
  <si>
    <t>BBY</t>
  </si>
  <si>
    <t>SYY</t>
  </si>
  <si>
    <t>SEIC</t>
  </si>
  <si>
    <t>WMT</t>
  </si>
  <si>
    <t>SKM</t>
  </si>
  <si>
    <t>WHR</t>
  </si>
  <si>
    <t>LANC</t>
  </si>
  <si>
    <t>NFG</t>
  </si>
  <si>
    <t>CPKF</t>
  </si>
  <si>
    <t>EXPD</t>
  </si>
  <si>
    <t>EBTC</t>
  </si>
  <si>
    <t>QCOM</t>
  </si>
  <si>
    <t>CL</t>
  </si>
  <si>
    <t>LOW</t>
  </si>
  <si>
    <t>BEN</t>
  </si>
  <si>
    <t>FFMR</t>
  </si>
  <si>
    <t>ADP</t>
  </si>
  <si>
    <t>AIZ</t>
  </si>
  <si>
    <t>DG</t>
  </si>
  <si>
    <t>RNR</t>
  </si>
  <si>
    <t>SON</t>
  </si>
  <si>
    <t>TRV</t>
  </si>
  <si>
    <t>AMP</t>
  </si>
  <si>
    <t>UGI</t>
  </si>
  <si>
    <t>MCK</t>
  </si>
  <si>
    <t>GD</t>
  </si>
  <si>
    <t>MKC</t>
  </si>
  <si>
    <t>JKHY</t>
  </si>
  <si>
    <t>MDT</t>
  </si>
  <si>
    <t>ORCL</t>
  </si>
  <si>
    <t>VFC</t>
  </si>
  <si>
    <t>PPG</t>
  </si>
  <si>
    <t>FMCB</t>
  </si>
  <si>
    <t>PSBQ</t>
  </si>
  <si>
    <t>SCL</t>
  </si>
  <si>
    <t>GPC</t>
  </si>
  <si>
    <t>TXT</t>
  </si>
  <si>
    <t>CAT</t>
  </si>
  <si>
    <t>HRL</t>
  </si>
  <si>
    <t>EMR</t>
  </si>
  <si>
    <t>KR</t>
  </si>
  <si>
    <t>WSM</t>
  </si>
  <si>
    <t>CBSH</t>
  </si>
  <si>
    <t>CSX</t>
  </si>
  <si>
    <t>SPGI</t>
  </si>
  <si>
    <t>PNR</t>
  </si>
  <si>
    <t>LECO</t>
  </si>
  <si>
    <t>TGT</t>
  </si>
  <si>
    <t>BRO</t>
  </si>
  <si>
    <t>AROW</t>
  </si>
  <si>
    <t>MCO</t>
  </si>
  <si>
    <t>AXP</t>
  </si>
  <si>
    <t>THFF</t>
  </si>
  <si>
    <t>CSL</t>
  </si>
  <si>
    <t>CHD</t>
  </si>
  <si>
    <t>DOV</t>
  </si>
  <si>
    <t>RE</t>
  </si>
  <si>
    <t>FUL</t>
  </si>
  <si>
    <t>CSVI</t>
  </si>
  <si>
    <t>MCD</t>
  </si>
  <si>
    <t>PG</t>
  </si>
  <si>
    <t>OZK</t>
  </si>
  <si>
    <t>CB</t>
  </si>
  <si>
    <t>ABT</t>
  </si>
  <si>
    <t>TROW</t>
  </si>
  <si>
    <t>RPM</t>
  </si>
  <si>
    <t>GRC</t>
  </si>
  <si>
    <t>COST</t>
  </si>
  <si>
    <t>SRCE</t>
  </si>
  <si>
    <t>TR</t>
  </si>
  <si>
    <t>ITW</t>
  </si>
  <si>
    <t>NKE</t>
  </si>
  <si>
    <t>SJW</t>
  </si>
  <si>
    <t>GWW</t>
  </si>
  <si>
    <t>FELE</t>
  </si>
  <si>
    <t>TSCO</t>
  </si>
  <si>
    <t>AOS</t>
  </si>
  <si>
    <t>LIN</t>
  </si>
  <si>
    <t>AAPL</t>
  </si>
  <si>
    <t>UBSI</t>
  </si>
  <si>
    <t>MSFT</t>
  </si>
  <si>
    <t>AMAT</t>
  </si>
  <si>
    <t>MGEE</t>
  </si>
  <si>
    <t>ATR</t>
  </si>
  <si>
    <t>ECL</t>
  </si>
  <si>
    <t>TMP</t>
  </si>
  <si>
    <t>CTAS</t>
  </si>
  <si>
    <t>SHW</t>
  </si>
  <si>
    <t>MSA</t>
  </si>
  <si>
    <t>EBAY</t>
  </si>
  <si>
    <t>CWT</t>
  </si>
  <si>
    <t>BF.B</t>
  </si>
  <si>
    <t>NDSN</t>
  </si>
  <si>
    <t>MORN</t>
  </si>
  <si>
    <t>WST</t>
  </si>
  <si>
    <t>AWR</t>
  </si>
  <si>
    <t>ZTS</t>
  </si>
  <si>
    <t>RLI</t>
  </si>
  <si>
    <t>BAM</t>
  </si>
  <si>
    <t>NUE</t>
  </si>
  <si>
    <t>BMI</t>
  </si>
  <si>
    <t>MSEX</t>
  </si>
  <si>
    <t>ALB</t>
  </si>
  <si>
    <t>CI</t>
  </si>
  <si>
    <t>T</t>
  </si>
  <si>
    <t>LAD</t>
  </si>
  <si>
    <t>CMCSA</t>
  </si>
  <si>
    <t>AMGN</t>
  </si>
  <si>
    <t>VZ</t>
  </si>
  <si>
    <t>NC</t>
  </si>
  <si>
    <t>LAZ</t>
  </si>
  <si>
    <t>IPG</t>
  </si>
  <si>
    <t>SAP</t>
  </si>
  <si>
    <t>OGN</t>
  </si>
  <si>
    <t>WU</t>
  </si>
  <si>
    <t>PNGAY</t>
  </si>
  <si>
    <t>INTC</t>
  </si>
  <si>
    <t>OMC</t>
  </si>
  <si>
    <t>SRE</t>
  </si>
  <si>
    <t>MURGF</t>
  </si>
  <si>
    <t>SR</t>
  </si>
  <si>
    <t>MO</t>
  </si>
  <si>
    <t>ENB</t>
  </si>
  <si>
    <t>NVS</t>
  </si>
  <si>
    <t>EPD</t>
  </si>
  <si>
    <t>YUM</t>
  </si>
  <si>
    <t>FNV</t>
  </si>
  <si>
    <t>RDEIY</t>
  </si>
  <si>
    <t>FLIC</t>
  </si>
  <si>
    <t>SUN</t>
  </si>
  <si>
    <t>SWX</t>
  </si>
  <si>
    <t>TDS</t>
  </si>
  <si>
    <t>BIP</t>
  </si>
  <si>
    <t>HBI</t>
  </si>
  <si>
    <t>EVRG</t>
  </si>
  <si>
    <t>LMT</t>
  </si>
  <si>
    <t>BR</t>
  </si>
  <si>
    <t>NJR</t>
  </si>
  <si>
    <t>HII</t>
  </si>
  <si>
    <t>FTS</t>
  </si>
  <si>
    <t>CIO</t>
  </si>
  <si>
    <t>BLK</t>
  </si>
  <si>
    <t>FMS</t>
  </si>
  <si>
    <t>SLF</t>
  </si>
  <si>
    <t>KDP</t>
  </si>
  <si>
    <t>BNS</t>
  </si>
  <si>
    <t>GILD</t>
  </si>
  <si>
    <t>CDUAF</t>
  </si>
  <si>
    <t>HRB</t>
  </si>
  <si>
    <t>IMO</t>
  </si>
  <si>
    <t>UNH</t>
  </si>
  <si>
    <t>MDLZ</t>
  </si>
  <si>
    <t>IBM</t>
  </si>
  <si>
    <t>MSM</t>
  </si>
  <si>
    <t>MRK</t>
  </si>
  <si>
    <t>RY</t>
  </si>
  <si>
    <t>CMI</t>
  </si>
  <si>
    <t>RBGLY</t>
  </si>
  <si>
    <t>SNA</t>
  </si>
  <si>
    <t>BMO</t>
  </si>
  <si>
    <t>CM</t>
  </si>
  <si>
    <t>EMN</t>
  </si>
  <si>
    <t>TD</t>
  </si>
  <si>
    <t>UVV</t>
  </si>
  <si>
    <t>FOXA</t>
  </si>
  <si>
    <t>TTC</t>
  </si>
  <si>
    <t>EQIX</t>
  </si>
  <si>
    <t>NTIOF</t>
  </si>
  <si>
    <t>ORI</t>
  </si>
  <si>
    <t>PB</t>
  </si>
  <si>
    <t>UHT</t>
  </si>
  <si>
    <t>CSCO</t>
  </si>
  <si>
    <t>LNT</t>
  </si>
  <si>
    <t>TXN</t>
  </si>
  <si>
    <t>BAH</t>
  </si>
  <si>
    <t>AMX</t>
  </si>
  <si>
    <t>EIX</t>
  </si>
  <si>
    <t>PBCT</t>
  </si>
  <si>
    <t>XOM</t>
  </si>
  <si>
    <t>RELX</t>
  </si>
  <si>
    <t>DTE</t>
  </si>
  <si>
    <t>AXS</t>
  </si>
  <si>
    <t>K</t>
  </si>
  <si>
    <t>YORW</t>
  </si>
  <si>
    <t>ICE</t>
  </si>
  <si>
    <t>RBA</t>
  </si>
  <si>
    <t>TSN</t>
  </si>
  <si>
    <t>HD</t>
  </si>
  <si>
    <t>CVS</t>
  </si>
  <si>
    <t>SBUX</t>
  </si>
  <si>
    <t>KMB</t>
  </si>
  <si>
    <t>CVX</t>
  </si>
  <si>
    <t>DPZ</t>
  </si>
  <si>
    <t>UPS</t>
  </si>
  <si>
    <t>CTSH</t>
  </si>
  <si>
    <t>SIEGY</t>
  </si>
  <si>
    <t>WABC</t>
  </si>
  <si>
    <t>SPTN</t>
  </si>
  <si>
    <t>ETR</t>
  </si>
  <si>
    <t>ARTNA</t>
  </si>
  <si>
    <t>CONE</t>
  </si>
  <si>
    <t>RSG</t>
  </si>
  <si>
    <t>WEYS</t>
  </si>
  <si>
    <t>SJM</t>
  </si>
  <si>
    <t>NEP</t>
  </si>
  <si>
    <t>AAP</t>
  </si>
  <si>
    <t>RTX</t>
  </si>
  <si>
    <t>ED</t>
  </si>
  <si>
    <t>OTTR</t>
  </si>
  <si>
    <t>LRLCF</t>
  </si>
  <si>
    <t>AMT</t>
  </si>
  <si>
    <t>SBAC</t>
  </si>
  <si>
    <t>DE</t>
  </si>
  <si>
    <t>CLX</t>
  </si>
  <si>
    <t>NSC</t>
  </si>
  <si>
    <t>PEG</t>
  </si>
  <si>
    <t>PRGO</t>
  </si>
  <si>
    <t>RHHBY</t>
  </si>
  <si>
    <t>MTB</t>
  </si>
  <si>
    <t>XEL</t>
  </si>
  <si>
    <t>PEP</t>
  </si>
  <si>
    <t>AJG</t>
  </si>
  <si>
    <t>GEF</t>
  </si>
  <si>
    <t>SBSI</t>
  </si>
  <si>
    <t>HSY</t>
  </si>
  <si>
    <t>NEE</t>
  </si>
  <si>
    <t>HON</t>
  </si>
  <si>
    <t>AWK</t>
  </si>
  <si>
    <t>RMD</t>
  </si>
  <si>
    <t>INGR</t>
  </si>
  <si>
    <t>UNP</t>
  </si>
  <si>
    <t>MGRC</t>
  </si>
  <si>
    <t>IFF</t>
  </si>
  <si>
    <t>MWA</t>
  </si>
  <si>
    <t>CARR</t>
  </si>
  <si>
    <t>APD</t>
  </si>
  <si>
    <t>NVO</t>
  </si>
  <si>
    <t>WTRG</t>
  </si>
  <si>
    <t>CNI</t>
  </si>
  <si>
    <t>OTIS</t>
  </si>
  <si>
    <t>ROK</t>
  </si>
  <si>
    <t>FRT</t>
  </si>
  <si>
    <t>UNF</t>
  </si>
  <si>
    <t>UMBF</t>
  </si>
  <si>
    <t>TT</t>
  </si>
  <si>
    <t>ERIE</t>
  </si>
  <si>
    <t>ESS</t>
  </si>
  <si>
    <t>CFR</t>
  </si>
  <si>
    <t>WM</t>
  </si>
  <si>
    <t>DDS</t>
  </si>
  <si>
    <t>CBU</t>
  </si>
  <si>
    <t>LLY</t>
  </si>
  <si>
    <t>XYL</t>
  </si>
  <si>
    <t>HMLP</t>
  </si>
  <si>
    <t>VTRS</t>
  </si>
  <si>
    <t>MFGP</t>
  </si>
  <si>
    <t>JACK</t>
  </si>
  <si>
    <t>FL</t>
  </si>
  <si>
    <t>MDC</t>
  </si>
  <si>
    <t>TRTN</t>
  </si>
  <si>
    <t>MMP</t>
  </si>
  <si>
    <t>TX</t>
  </si>
  <si>
    <t>LYB</t>
  </si>
  <si>
    <t>BTI</t>
  </si>
  <si>
    <t>DHI</t>
  </si>
  <si>
    <t>MCHP</t>
  </si>
  <si>
    <t>TTE</t>
  </si>
  <si>
    <t>ALLY</t>
  </si>
  <si>
    <t>DKS</t>
  </si>
  <si>
    <t>THO</t>
  </si>
  <si>
    <t>OGS</t>
  </si>
  <si>
    <t>PNW</t>
  </si>
  <si>
    <t>SNY</t>
  </si>
  <si>
    <t>EQNR</t>
  </si>
  <si>
    <t>GWLIF</t>
  </si>
  <si>
    <t>JBL</t>
  </si>
  <si>
    <t>DGX</t>
  </si>
  <si>
    <t>FNF</t>
  </si>
  <si>
    <t>ALL</t>
  </si>
  <si>
    <t>HPE</t>
  </si>
  <si>
    <t>AEG</t>
  </si>
  <si>
    <t>SJI</t>
  </si>
  <si>
    <t>NHI</t>
  </si>
  <si>
    <t>TYCB</t>
  </si>
  <si>
    <t>PHM</t>
  </si>
  <si>
    <t>OGE</t>
  </si>
  <si>
    <t>UL</t>
  </si>
  <si>
    <t>DFS</t>
  </si>
  <si>
    <t>SVC</t>
  </si>
  <si>
    <t>SMG</t>
  </si>
  <si>
    <t>SYF</t>
  </si>
  <si>
    <t>LNC</t>
  </si>
  <si>
    <t>BASFY</t>
  </si>
  <si>
    <t>PM</t>
  </si>
  <si>
    <t>LRCX</t>
  </si>
  <si>
    <t>HPQ</t>
  </si>
  <si>
    <t>GPS</t>
  </si>
  <si>
    <t>MPLX</t>
  </si>
  <si>
    <t>STN</t>
  </si>
  <si>
    <t>POR</t>
  </si>
  <si>
    <t>CC</t>
  </si>
  <si>
    <t>ROST</t>
  </si>
  <si>
    <t>IVZ</t>
  </si>
  <si>
    <t>C</t>
  </si>
  <si>
    <t>FAF</t>
  </si>
  <si>
    <t>NAVI</t>
  </si>
  <si>
    <t>ITUB</t>
  </si>
  <si>
    <t>ALE</t>
  </si>
  <si>
    <t>CE</t>
  </si>
  <si>
    <t>RCI</t>
  </si>
  <si>
    <t>PFG</t>
  </si>
  <si>
    <t>PRU</t>
  </si>
  <si>
    <t>TM</t>
  </si>
  <si>
    <t>CPB</t>
  </si>
  <si>
    <t>SAXPY</t>
  </si>
  <si>
    <t>KSS</t>
  </si>
  <si>
    <t>COLD</t>
  </si>
  <si>
    <t>HUN</t>
  </si>
  <si>
    <t>MA</t>
  </si>
  <si>
    <t>AEP</t>
  </si>
  <si>
    <t>APLE</t>
  </si>
  <si>
    <t>GEO</t>
  </si>
  <si>
    <t>VIAC</t>
  </si>
  <si>
    <t>FLO</t>
  </si>
  <si>
    <t>NLSN</t>
  </si>
  <si>
    <t>SO</t>
  </si>
  <si>
    <t>GIS</t>
  </si>
  <si>
    <t>GLOP</t>
  </si>
  <si>
    <t>O</t>
  </si>
  <si>
    <t>OKE</t>
  </si>
  <si>
    <t>KLAC</t>
  </si>
  <si>
    <t>WRK</t>
  </si>
  <si>
    <t>CUBE</t>
  </si>
  <si>
    <t>BK</t>
  </si>
  <si>
    <t>ASML</t>
  </si>
  <si>
    <t>DDAIF</t>
  </si>
  <si>
    <t>AON</t>
  </si>
  <si>
    <t>PKX</t>
  </si>
  <si>
    <t>WFC</t>
  </si>
  <si>
    <t>R</t>
  </si>
  <si>
    <t>HAL</t>
  </si>
  <si>
    <t>BMWYY</t>
  </si>
  <si>
    <t>MGA</t>
  </si>
  <si>
    <t>PDCO</t>
  </si>
  <si>
    <t>KEY</t>
  </si>
  <si>
    <t>BUD</t>
  </si>
  <si>
    <t>WEC</t>
  </si>
  <si>
    <t>JPM</t>
  </si>
  <si>
    <t>GE</t>
  </si>
  <si>
    <t>PSB</t>
  </si>
  <si>
    <t>CFG</t>
  </si>
  <si>
    <t>M</t>
  </si>
  <si>
    <t>WY</t>
  </si>
  <si>
    <t>PNC</t>
  </si>
  <si>
    <t>WPC</t>
  </si>
  <si>
    <t>ESRT</t>
  </si>
  <si>
    <t>BWA</t>
  </si>
  <si>
    <t>GOLD</t>
  </si>
  <si>
    <t>DUK</t>
  </si>
  <si>
    <t>AGM</t>
  </si>
  <si>
    <t>MMC</t>
  </si>
  <si>
    <t>NNN</t>
  </si>
  <si>
    <t>HOG</t>
  </si>
  <si>
    <t>BAC</t>
  </si>
  <si>
    <t>GNTX</t>
  </si>
  <si>
    <t>GS</t>
  </si>
  <si>
    <t>FITB</t>
  </si>
  <si>
    <t>STZ</t>
  </si>
  <si>
    <t>OSK</t>
  </si>
  <si>
    <t>LOGI</t>
  </si>
  <si>
    <t>PAYX</t>
  </si>
  <si>
    <t>CMA</t>
  </si>
  <si>
    <t>PACW</t>
  </si>
  <si>
    <t>PSA</t>
  </si>
  <si>
    <t>EAF</t>
  </si>
  <si>
    <t>DLR</t>
  </si>
  <si>
    <t>NSRGY</t>
  </si>
  <si>
    <t>MRVL</t>
  </si>
  <si>
    <t>ABB</t>
  </si>
  <si>
    <t>KLIC</t>
  </si>
  <si>
    <t>DEO</t>
  </si>
  <si>
    <t>AUY</t>
  </si>
  <si>
    <t>OLN</t>
  </si>
  <si>
    <t>AVB</t>
  </si>
  <si>
    <t>FAST</t>
  </si>
  <si>
    <t>OXY</t>
  </si>
  <si>
    <t>MT</t>
  </si>
  <si>
    <t>FCX</t>
  </si>
  <si>
    <t>TER</t>
  </si>
  <si>
    <t>INFY</t>
  </si>
  <si>
    <t>HNI</t>
  </si>
  <si>
    <t>KSU</t>
  </si>
  <si>
    <t>STLD</t>
  </si>
  <si>
    <t>RACE</t>
  </si>
  <si>
    <t>KKR</t>
  </si>
  <si>
    <t>SONY</t>
  </si>
  <si>
    <t>APA</t>
  </si>
  <si>
    <t>TRI</t>
  </si>
  <si>
    <t>VMC</t>
  </si>
  <si>
    <t>NVDA</t>
  </si>
  <si>
    <t>DHC</t>
  </si>
  <si>
    <t>ERF</t>
  </si>
  <si>
    <t>SHLX</t>
  </si>
  <si>
    <t>PBR</t>
  </si>
  <si>
    <t>SNP</t>
  </si>
  <si>
    <t>HEP</t>
  </si>
  <si>
    <t>SPH</t>
  </si>
  <si>
    <t>PAA</t>
  </si>
  <si>
    <t>ERIC</t>
  </si>
  <si>
    <t>AVAL</t>
  </si>
  <si>
    <t>ARLP</t>
  </si>
  <si>
    <t>EOG</t>
  </si>
  <si>
    <t>PHG</t>
  </si>
  <si>
    <t>PGR</t>
  </si>
  <si>
    <t>AZN</t>
  </si>
  <si>
    <t>KRC</t>
  </si>
  <si>
    <t>PSX</t>
  </si>
  <si>
    <t>ET</t>
  </si>
  <si>
    <t>SLG</t>
  </si>
  <si>
    <t>PTR</t>
  </si>
  <si>
    <t>HAS</t>
  </si>
  <si>
    <t>UNIT</t>
  </si>
  <si>
    <t>TPR</t>
  </si>
  <si>
    <t>MS</t>
  </si>
  <si>
    <t>MKTX</t>
  </si>
  <si>
    <t>TGP</t>
  </si>
  <si>
    <t>GORO</t>
  </si>
  <si>
    <t>HSBC</t>
  </si>
  <si>
    <t>BAYRY</t>
  </si>
  <si>
    <t>OPI</t>
  </si>
  <si>
    <t>MGP</t>
  </si>
  <si>
    <t>VALE</t>
  </si>
  <si>
    <t>NYCB</t>
  </si>
  <si>
    <t>MFC</t>
  </si>
  <si>
    <t>LUMN</t>
  </si>
  <si>
    <t>WEN</t>
  </si>
  <si>
    <t>TS</t>
  </si>
  <si>
    <t>TFC</t>
  </si>
  <si>
    <t>DRI</t>
  </si>
  <si>
    <t>SAFE</t>
  </si>
  <si>
    <t>BP</t>
  </si>
  <si>
    <t>TAP</t>
  </si>
  <si>
    <t>IMBBY</t>
  </si>
  <si>
    <t>DOW</t>
  </si>
  <si>
    <t>D</t>
  </si>
  <si>
    <t>WSBC</t>
  </si>
  <si>
    <t>RDS.B</t>
  </si>
  <si>
    <t>PGRE</t>
  </si>
  <si>
    <t>TRST</t>
  </si>
  <si>
    <t>DD</t>
  </si>
  <si>
    <t>CAG</t>
  </si>
  <si>
    <t>MED</t>
  </si>
  <si>
    <t>PFE</t>
  </si>
  <si>
    <t>SBS</t>
  </si>
  <si>
    <t>BHP</t>
  </si>
  <si>
    <t>KMI</t>
  </si>
  <si>
    <t>AMCR</t>
  </si>
  <si>
    <t>RIO</t>
  </si>
  <si>
    <t>WASH</t>
  </si>
  <si>
    <t>WMB</t>
  </si>
  <si>
    <t>PETS</t>
  </si>
  <si>
    <t>RF</t>
  </si>
  <si>
    <t>NTR</t>
  </si>
  <si>
    <t>HIW</t>
  </si>
  <si>
    <t>NGG</t>
  </si>
  <si>
    <t>IP</t>
  </si>
  <si>
    <t>FE</t>
  </si>
  <si>
    <t>REG</t>
  </si>
  <si>
    <t>EMRAF</t>
  </si>
  <si>
    <t>PDM</t>
  </si>
  <si>
    <t>CNP</t>
  </si>
  <si>
    <t>INVH</t>
  </si>
  <si>
    <t>FRFHF</t>
  </si>
  <si>
    <t>SPG</t>
  </si>
  <si>
    <t>CNA</t>
  </si>
  <si>
    <t>WSR</t>
  </si>
  <si>
    <t>SUUIF</t>
  </si>
  <si>
    <t>DTEGY</t>
  </si>
  <si>
    <t>MPW</t>
  </si>
  <si>
    <t>SMFG</t>
  </si>
  <si>
    <t>LMRK</t>
  </si>
  <si>
    <t>ADC</t>
  </si>
  <si>
    <t>HASI</t>
  </si>
  <si>
    <t>NTAP</t>
  </si>
  <si>
    <t>DEA</t>
  </si>
  <si>
    <t>NWL</t>
  </si>
  <si>
    <t>KHC</t>
  </si>
  <si>
    <t>PCAR</t>
  </si>
  <si>
    <t>MCY</t>
  </si>
  <si>
    <t>DEI</t>
  </si>
  <si>
    <t>AGNC</t>
  </si>
  <si>
    <t>ING</t>
  </si>
  <si>
    <t>UE</t>
  </si>
  <si>
    <t>CAJ</t>
  </si>
  <si>
    <t>BBD</t>
  </si>
  <si>
    <t>GRMN</t>
  </si>
  <si>
    <t>WPP</t>
  </si>
  <si>
    <t>KRG</t>
  </si>
  <si>
    <t>JNPR</t>
  </si>
  <si>
    <t>ALV</t>
  </si>
  <si>
    <t>GEL</t>
  </si>
  <si>
    <t>BXP</t>
  </si>
  <si>
    <t>HBAN</t>
  </si>
  <si>
    <t>AVGO</t>
  </si>
  <si>
    <t>COP</t>
  </si>
  <si>
    <t>GLW</t>
  </si>
  <si>
    <t>CCI</t>
  </si>
  <si>
    <t>AES</t>
  </si>
  <si>
    <t>USB</t>
  </si>
  <si>
    <t>DOC</t>
  </si>
  <si>
    <t>NSP</t>
  </si>
  <si>
    <t>TU</t>
  </si>
  <si>
    <t>TJX</t>
  </si>
  <si>
    <t>APO</t>
  </si>
  <si>
    <t>HMC</t>
  </si>
  <si>
    <t>CODI</t>
  </si>
  <si>
    <t>STX</t>
  </si>
  <si>
    <t>TSM</t>
  </si>
  <si>
    <t>KTB</t>
  </si>
  <si>
    <t>UBS</t>
  </si>
  <si>
    <t>PSO</t>
  </si>
  <si>
    <t>RGA</t>
  </si>
  <si>
    <t>MPWR</t>
  </si>
  <si>
    <t>EGP</t>
  </si>
  <si>
    <t>PLD</t>
  </si>
  <si>
    <t>SKT</t>
  </si>
  <si>
    <t>CNQ</t>
  </si>
  <si>
    <t>ARE</t>
  </si>
  <si>
    <t>BRX</t>
  </si>
  <si>
    <t>DRE</t>
  </si>
  <si>
    <t>SLB</t>
  </si>
  <si>
    <t>MAC</t>
  </si>
  <si>
    <t>ELS</t>
  </si>
  <si>
    <t>JCI</t>
  </si>
  <si>
    <t>EXPO</t>
  </si>
  <si>
    <t>COR</t>
  </si>
  <si>
    <t>TRSWF</t>
  </si>
  <si>
    <t>FR</t>
  </si>
  <si>
    <t>EXC</t>
  </si>
  <si>
    <t>OGZPY</t>
  </si>
  <si>
    <t>CF</t>
  </si>
  <si>
    <t>TRGP</t>
  </si>
  <si>
    <t>WPM</t>
  </si>
  <si>
    <t>AMH</t>
  </si>
  <si>
    <t>MAA</t>
  </si>
  <si>
    <t>ACN</t>
  </si>
  <si>
    <t>CMP</t>
  </si>
  <si>
    <t>CWEN</t>
  </si>
  <si>
    <t>CME</t>
  </si>
  <si>
    <t>CPT</t>
  </si>
  <si>
    <t>ETN</t>
  </si>
  <si>
    <t>KIM</t>
  </si>
  <si>
    <t>SCHL</t>
  </si>
  <si>
    <t>TEF</t>
  </si>
  <si>
    <t>IIPR</t>
  </si>
  <si>
    <t>SCCO</t>
  </si>
  <si>
    <t>OHI</t>
  </si>
  <si>
    <t>ORAN</t>
  </si>
  <si>
    <t>DHT</t>
  </si>
  <si>
    <t>PSXP</t>
  </si>
  <si>
    <t>IEP</t>
  </si>
  <si>
    <t>GECC</t>
  </si>
  <si>
    <t>PINE</t>
  </si>
  <si>
    <t>APAM</t>
  </si>
  <si>
    <t>CLPR</t>
  </si>
  <si>
    <t>VICI</t>
  </si>
  <si>
    <t>SU</t>
  </si>
  <si>
    <t>NEWT</t>
  </si>
  <si>
    <t>LTC</t>
  </si>
  <si>
    <t>TWO</t>
  </si>
  <si>
    <t>SBRA</t>
  </si>
  <si>
    <t>USAC</t>
  </si>
  <si>
    <t>CQP</t>
  </si>
  <si>
    <t>EIFZF</t>
  </si>
  <si>
    <t>SFL</t>
  </si>
  <si>
    <t>QSR</t>
  </si>
  <si>
    <t>CTRE</t>
  </si>
  <si>
    <t>VGR</t>
  </si>
  <si>
    <t>EFC</t>
  </si>
  <si>
    <t>TRP</t>
  </si>
  <si>
    <t>KNOP</t>
  </si>
  <si>
    <t>CTO</t>
  </si>
  <si>
    <t>SRC</t>
  </si>
  <si>
    <t>NYMT</t>
  </si>
  <si>
    <t>AFIN</t>
  </si>
  <si>
    <t>ORC</t>
  </si>
  <si>
    <t>ORCC</t>
  </si>
  <si>
    <t>GNL</t>
  </si>
  <si>
    <t>AQN</t>
  </si>
  <si>
    <t>GSBD</t>
  </si>
  <si>
    <t>FCPT</t>
  </si>
  <si>
    <t>EPR</t>
  </si>
  <si>
    <t>EPRT</t>
  </si>
  <si>
    <t>ILPT</t>
  </si>
  <si>
    <t>UMH</t>
  </si>
  <si>
    <t>VST</t>
  </si>
  <si>
    <t>AAT</t>
  </si>
  <si>
    <t>CWCO</t>
  </si>
  <si>
    <t>WSO</t>
  </si>
  <si>
    <t>NTST</t>
  </si>
  <si>
    <t>HR</t>
  </si>
  <si>
    <t>KREF</t>
  </si>
  <si>
    <t>CHCT</t>
  </si>
  <si>
    <t>VOD</t>
  </si>
  <si>
    <t>EXR</t>
  </si>
  <si>
    <t>SSREY</t>
  </si>
  <si>
    <t>CBRL</t>
  </si>
  <si>
    <t>PMT</t>
  </si>
  <si>
    <t>MRCC</t>
  </si>
  <si>
    <t>NRZ</t>
  </si>
  <si>
    <t>CORR</t>
  </si>
  <si>
    <t>NLY</t>
  </si>
  <si>
    <t>ACRE</t>
  </si>
  <si>
    <t>E</t>
  </si>
  <si>
    <t>NMFC</t>
  </si>
  <si>
    <t>GBDC</t>
  </si>
  <si>
    <t>EIC</t>
  </si>
  <si>
    <t>SACH</t>
  </si>
  <si>
    <t>GSK</t>
  </si>
  <si>
    <t>NEM</t>
  </si>
  <si>
    <t>VTR</t>
  </si>
  <si>
    <t>ARR</t>
  </si>
  <si>
    <t>HRZN</t>
  </si>
  <si>
    <t>BEP</t>
  </si>
  <si>
    <t>VNO</t>
  </si>
  <si>
    <t>XRX</t>
  </si>
  <si>
    <t>PFLT</t>
  </si>
  <si>
    <t>BRMK</t>
  </si>
  <si>
    <t>TSLX</t>
  </si>
  <si>
    <t>IDEXY</t>
  </si>
  <si>
    <t>VLO</t>
  </si>
  <si>
    <t>GLPI</t>
  </si>
  <si>
    <t>CSWC</t>
  </si>
  <si>
    <t>LWSCF</t>
  </si>
  <si>
    <t>NSA</t>
  </si>
  <si>
    <t>GMRE</t>
  </si>
  <si>
    <t>STWD</t>
  </si>
  <si>
    <t>FDUS</t>
  </si>
  <si>
    <t>STOR</t>
  </si>
  <si>
    <t>DX</t>
  </si>
  <si>
    <t>ARCC</t>
  </si>
  <si>
    <t>VIA</t>
  </si>
  <si>
    <t>AM</t>
  </si>
  <si>
    <t>DANOY</t>
  </si>
  <si>
    <t>TPVG</t>
  </si>
  <si>
    <t>GOOD</t>
  </si>
  <si>
    <t>ABEV</t>
  </si>
  <si>
    <t>ARI</t>
  </si>
  <si>
    <t>SUNS</t>
  </si>
  <si>
    <t>PBA</t>
  </si>
  <si>
    <t>OXSQ</t>
  </si>
  <si>
    <t>BGS</t>
  </si>
  <si>
    <t>MAIN</t>
  </si>
  <si>
    <t>APTS</t>
  </si>
  <si>
    <t>MNR</t>
  </si>
  <si>
    <t>HTGC</t>
  </si>
  <si>
    <t>HTA</t>
  </si>
  <si>
    <t>CRT</t>
  </si>
  <si>
    <t>CIM</t>
  </si>
  <si>
    <t>SCM</t>
  </si>
  <si>
    <t>PRT</t>
  </si>
  <si>
    <t>ACC</t>
  </si>
  <si>
    <t>BCE</t>
  </si>
  <si>
    <t>BX</t>
  </si>
  <si>
    <t>LSI</t>
  </si>
  <si>
    <t>BXMT</t>
  </si>
  <si>
    <t>BKR</t>
  </si>
  <si>
    <t>SBR</t>
  </si>
  <si>
    <t>IRM</t>
  </si>
  <si>
    <t>GWRS</t>
  </si>
  <si>
    <t>EVA</t>
  </si>
  <si>
    <t>LADR</t>
  </si>
  <si>
    <t>OLP</t>
  </si>
  <si>
    <t>SJR</t>
  </si>
  <si>
    <t>IRT</t>
  </si>
  <si>
    <t>EQR</t>
  </si>
  <si>
    <t>STAG</t>
  </si>
  <si>
    <t>PEAK</t>
  </si>
  <si>
    <t>PSEC</t>
  </si>
  <si>
    <t>PLYM</t>
  </si>
  <si>
    <t>UDR</t>
  </si>
  <si>
    <t>GAIN</t>
  </si>
  <si>
    <t>SJT</t>
  </si>
  <si>
    <t>ABR</t>
  </si>
  <si>
    <t>DREUF</t>
  </si>
  <si>
    <t>LXP</t>
  </si>
  <si>
    <t>UBA</t>
  </si>
  <si>
    <t>MPC</t>
  </si>
  <si>
    <t>GLAD</t>
  </si>
  <si>
    <t>PPRQF</t>
  </si>
  <si>
    <t>HP</t>
  </si>
  <si>
    <t>DRETF</t>
  </si>
  <si>
    <t>LAMR</t>
  </si>
  <si>
    <t>WELL</t>
  </si>
  <si>
    <t>AB</t>
  </si>
  <si>
    <t>LAND</t>
  </si>
  <si>
    <t>PBT</t>
  </si>
  <si>
    <t>GROW</t>
  </si>
  <si>
    <t>PPL</t>
  </si>
  <si>
    <t>CVA</t>
  </si>
  <si>
    <t>PTEN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</si>
  <si>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</si>
  <si>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</si>
  <si>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</si>
  <si>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</si>
  <si>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</si>
  <si>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</si>
  <si>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</si>
  <si>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</si>
  <si>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</si>
  <si>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</si>
  <si>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</si>
  <si>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</si>
  <si>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</si>
  <si>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</si>
  <si>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</si>
  <si>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</si>
  <si>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</si>
  <si>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</si>
  <si>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</si>
  <si>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</si>
  <si>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</si>
  <si>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</si>
  <si>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</si>
  <si>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</si>
  <si>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</si>
  <si>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</si>
  <si>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</si>
  <si>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</si>
  <si>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</si>
  <si>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</si>
  <si>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</si>
  <si>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Quinn Mohammed</t>
  </si>
  <si>
    <t>Prakash Kolli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</si>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</sst>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60.26</v>
      </c>
      <c r="D2">
        <v>70</v>
      </c>
      <c r="E2">
        <v>0.8608571428571429</v>
      </c>
      <c r="F2">
        <v>0.00448058413541321</v>
      </c>
      <c r="G2">
        <v>0.03041882073853652</v>
      </c>
      <c r="H2">
        <v>0.15</v>
      </c>
      <c r="I2">
        <v>0.1890452308025035</v>
      </c>
      <c r="J2" t="s">
        <v>776</v>
      </c>
      <c r="K2" t="s">
        <v>372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-0.193848167539267</v>
      </c>
      <c r="R2" t="s">
        <v>780</v>
      </c>
      <c r="S2" t="s">
        <v>784</v>
      </c>
      <c r="T2">
        <v>591033.419296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57.45</v>
      </c>
      <c r="D3">
        <v>101</v>
      </c>
      <c r="E3">
        <v>0.5688118811881189</v>
      </c>
      <c r="F3">
        <v>0.0341166231505657</v>
      </c>
      <c r="G3">
        <v>0.1194540403776476</v>
      </c>
      <c r="H3">
        <v>0.03</v>
      </c>
      <c r="I3">
        <v>0.1746044358497703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-0.04484410060618201</v>
      </c>
      <c r="R3" t="s">
        <v>780</v>
      </c>
      <c r="S3" t="s">
        <v>785</v>
      </c>
      <c r="T3">
        <v>126608.547092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156.8</v>
      </c>
      <c r="D4">
        <v>174</v>
      </c>
      <c r="E4">
        <v>0.9011494252873564</v>
      </c>
      <c r="F4">
        <v>0.01428571428571429</v>
      </c>
      <c r="G4">
        <v>0.02103501995830781</v>
      </c>
      <c r="H4">
        <v>0.1</v>
      </c>
      <c r="I4">
        <v>0.1346218035226643</v>
      </c>
      <c r="J4" t="s">
        <v>776</v>
      </c>
      <c r="K4" t="s">
        <v>372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0.12868265796005</v>
      </c>
      <c r="R4" t="s">
        <v>780</v>
      </c>
      <c r="S4" t="s">
        <v>786</v>
      </c>
      <c r="T4">
        <v>25850.136049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61.19</v>
      </c>
      <c r="D5">
        <v>64</v>
      </c>
      <c r="E5">
        <v>0.95609375</v>
      </c>
      <c r="F5">
        <v>0.01438143487497957</v>
      </c>
      <c r="G5">
        <v>0.009020301088049187</v>
      </c>
      <c r="H5">
        <v>0.09</v>
      </c>
      <c r="I5">
        <v>0.111996572029053</v>
      </c>
      <c r="J5" t="s">
        <v>776</v>
      </c>
      <c r="K5" t="s">
        <v>777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0.143546170886963</v>
      </c>
      <c r="R5" t="s">
        <v>780</v>
      </c>
      <c r="S5" t="s">
        <v>787</v>
      </c>
      <c r="T5">
        <v>7585.744551</v>
      </c>
      <c r="U5" s="2">
        <v>44444</v>
      </c>
      <c r="V5" t="s">
        <v>798</v>
      </c>
    </row>
    <row r="6" spans="1:22">
      <c r="A6" s="1" t="s">
        <v>26</v>
      </c>
      <c r="B6">
        <f>HYPERLINK("https://www.suredividend.com/sure-analysis-WBA/","Walgreens Boots Alliance Inc")</f>
        <v>0</v>
      </c>
      <c r="C6">
        <v>47.39</v>
      </c>
      <c r="D6">
        <v>54</v>
      </c>
      <c r="E6">
        <v>0.8775925925925926</v>
      </c>
      <c r="F6">
        <v>0.04030386157417176</v>
      </c>
      <c r="G6">
        <v>0.02645853500056949</v>
      </c>
      <c r="H6">
        <v>0.05</v>
      </c>
      <c r="I6">
        <v>0.1104234514017133</v>
      </c>
      <c r="J6" t="s">
        <v>776</v>
      </c>
      <c r="K6" t="s">
        <v>776</v>
      </c>
      <c r="L6">
        <v>5.35</v>
      </c>
      <c r="M6">
        <v>1.91</v>
      </c>
      <c r="N6">
        <v>0.3570093457943925</v>
      </c>
      <c r="O6">
        <v>46</v>
      </c>
      <c r="P6">
        <v>0.0501982537579746</v>
      </c>
      <c r="Q6">
        <v>0.308957729959696</v>
      </c>
      <c r="R6" t="s">
        <v>780</v>
      </c>
      <c r="S6" t="s">
        <v>785</v>
      </c>
      <c r="T6">
        <v>40960.776781</v>
      </c>
      <c r="U6" s="2">
        <v>44483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246.43</v>
      </c>
      <c r="D7">
        <v>296</v>
      </c>
      <c r="E7">
        <v>0.8325337837837838</v>
      </c>
      <c r="F7">
        <v>0.01217384247047843</v>
      </c>
      <c r="G7">
        <v>0.03733642222388212</v>
      </c>
      <c r="H7">
        <v>0.06</v>
      </c>
      <c r="I7">
        <v>0.109346368883555</v>
      </c>
      <c r="J7" t="s">
        <v>776</v>
      </c>
      <c r="K7" t="s">
        <v>372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-0.09459689865027401</v>
      </c>
      <c r="R7" t="s">
        <v>780</v>
      </c>
      <c r="S7" t="s">
        <v>787</v>
      </c>
      <c r="T7">
        <v>65878.55738699999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HYPERLINK("https://www.suredividend.com/sure-analysis-ABM/","ABM Industries Inc.")</f>
        <v>0</v>
      </c>
      <c r="C8">
        <v>48.83</v>
      </c>
      <c r="D8">
        <v>61</v>
      </c>
      <c r="E8">
        <v>0.8004918032786885</v>
      </c>
      <c r="F8">
        <v>0.01556420233463035</v>
      </c>
      <c r="G8">
        <v>0.04551103775033138</v>
      </c>
      <c r="H8">
        <v>0.05</v>
      </c>
      <c r="I8">
        <v>0.109256367075699</v>
      </c>
      <c r="J8" t="s">
        <v>776</v>
      </c>
      <c r="K8" t="s">
        <v>777</v>
      </c>
      <c r="L8">
        <v>3.5</v>
      </c>
      <c r="M8">
        <v>0.76</v>
      </c>
      <c r="N8">
        <v>0.2171428571428571</v>
      </c>
      <c r="O8">
        <v>53</v>
      </c>
      <c r="P8">
        <v>0.02975477857041309</v>
      </c>
      <c r="Q8">
        <v>0.291897584273846</v>
      </c>
      <c r="R8" t="s">
        <v>780</v>
      </c>
      <c r="S8" t="s">
        <v>787</v>
      </c>
      <c r="T8">
        <v>3266.574387</v>
      </c>
      <c r="U8" s="2">
        <v>44453</v>
      </c>
      <c r="V8" t="s">
        <v>800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101.84</v>
      </c>
      <c r="D9">
        <v>128</v>
      </c>
      <c r="E9">
        <v>0.795625</v>
      </c>
      <c r="F9">
        <v>0.01374705420267086</v>
      </c>
      <c r="G9">
        <v>0.04678698862928288</v>
      </c>
      <c r="H9">
        <v>0.045</v>
      </c>
      <c r="I9">
        <v>0.1061265944478871</v>
      </c>
      <c r="J9" t="s">
        <v>776</v>
      </c>
      <c r="K9" t="s">
        <v>372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-0.03766921718658001</v>
      </c>
      <c r="R9" t="s">
        <v>780</v>
      </c>
      <c r="S9" t="s">
        <v>788</v>
      </c>
      <c r="T9">
        <v>6868.28613</v>
      </c>
      <c r="U9" s="2">
        <v>44508</v>
      </c>
      <c r="V9" t="s">
        <v>801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42.37</v>
      </c>
      <c r="D10">
        <v>43</v>
      </c>
      <c r="E10">
        <v>0.9853488372093022</v>
      </c>
      <c r="F10">
        <v>0.01321689874911494</v>
      </c>
      <c r="G10">
        <v>0.002956271388177889</v>
      </c>
      <c r="H10">
        <v>0.09</v>
      </c>
      <c r="I10">
        <v>0.1053614402260246</v>
      </c>
      <c r="J10" t="s">
        <v>776</v>
      </c>
      <c r="K10" t="s">
        <v>372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0.248019543454978</v>
      </c>
      <c r="R10" t="s">
        <v>780</v>
      </c>
      <c r="S10" t="s">
        <v>788</v>
      </c>
      <c r="T10">
        <v>4670.352687</v>
      </c>
      <c r="U10" s="2">
        <v>44500</v>
      </c>
      <c r="V10" t="s">
        <v>795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364.21</v>
      </c>
      <c r="D11">
        <v>381</v>
      </c>
      <c r="E11">
        <v>0.9559317585301836</v>
      </c>
      <c r="F11">
        <v>0.01724279948381428</v>
      </c>
      <c r="G11">
        <v>0.009054496333031459</v>
      </c>
      <c r="H11">
        <v>0.08</v>
      </c>
      <c r="I11">
        <v>0.1048504827506695</v>
      </c>
      <c r="J11" t="s">
        <v>776</v>
      </c>
      <c r="K11" t="s">
        <v>777</v>
      </c>
      <c r="L11">
        <v>25.4</v>
      </c>
      <c r="M11">
        <v>6.28</v>
      </c>
      <c r="N11">
        <v>0.247244094488189</v>
      </c>
      <c r="O11">
        <v>18</v>
      </c>
      <c r="P11">
        <v>0.0800613160089807</v>
      </c>
      <c r="Q11">
        <v>0.201067615658362</v>
      </c>
      <c r="R11" t="s">
        <v>780</v>
      </c>
      <c r="S11" t="s">
        <v>787</v>
      </c>
      <c r="T11">
        <v>57572.945055</v>
      </c>
      <c r="U11" s="2">
        <v>44504</v>
      </c>
      <c r="V11" t="s">
        <v>802</v>
      </c>
    </row>
    <row r="12" spans="1:22">
      <c r="A12" s="1" t="s">
        <v>32</v>
      </c>
      <c r="B12">
        <f>HYPERLINK("https://www.suredividend.com/sure-analysis-MDU/","MDU Resources Group Inc")</f>
        <v>0</v>
      </c>
      <c r="C12">
        <v>29.2</v>
      </c>
      <c r="D12">
        <v>34</v>
      </c>
      <c r="E12">
        <v>0.8588235294117647</v>
      </c>
      <c r="F12">
        <v>0.0297945205479452</v>
      </c>
      <c r="G12">
        <v>0.03090634618651533</v>
      </c>
      <c r="H12">
        <v>0.05</v>
      </c>
      <c r="I12">
        <v>0.1048294623417878</v>
      </c>
      <c r="J12" t="s">
        <v>776</v>
      </c>
      <c r="K12" t="s">
        <v>776</v>
      </c>
      <c r="L12">
        <v>2.1</v>
      </c>
      <c r="M12">
        <v>0.87</v>
      </c>
      <c r="N12">
        <v>0.4142857142857143</v>
      </c>
      <c r="O12">
        <v>31</v>
      </c>
      <c r="P12">
        <v>0.02409763832975087</v>
      </c>
      <c r="Q12">
        <v>0.201347711142802</v>
      </c>
      <c r="R12" t="s">
        <v>780</v>
      </c>
      <c r="S12" t="s">
        <v>788</v>
      </c>
      <c r="T12">
        <v>5832.035093</v>
      </c>
      <c r="U12" s="2">
        <v>44428</v>
      </c>
      <c r="V12" t="s">
        <v>798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121.59</v>
      </c>
      <c r="D13">
        <v>144</v>
      </c>
      <c r="E13">
        <v>0.844375</v>
      </c>
      <c r="F13">
        <v>0.02072538860103627</v>
      </c>
      <c r="G13">
        <v>0.03441051532735528</v>
      </c>
      <c r="H13">
        <v>0.05</v>
      </c>
      <c r="I13">
        <v>0.1036117331571236</v>
      </c>
      <c r="J13" t="s">
        <v>776</v>
      </c>
      <c r="K13" t="s">
        <v>777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0.376836810817241</v>
      </c>
      <c r="R13" t="s">
        <v>780</v>
      </c>
      <c r="S13" t="s">
        <v>789</v>
      </c>
      <c r="T13">
        <v>7514.829282</v>
      </c>
      <c r="U13" s="2">
        <v>44496</v>
      </c>
      <c r="V13" t="s">
        <v>799</v>
      </c>
    </row>
    <row r="14" spans="1:22">
      <c r="A14" s="1" t="s">
        <v>34</v>
      </c>
      <c r="B14">
        <f>HYPERLINK("https://www.suredividend.com/sure-analysis-UNM/","Unum Group")</f>
        <v>0</v>
      </c>
      <c r="C14">
        <v>25.82</v>
      </c>
      <c r="D14">
        <v>32</v>
      </c>
      <c r="E14">
        <v>0.806875</v>
      </c>
      <c r="F14">
        <v>0.04647560030983734</v>
      </c>
      <c r="G14">
        <v>0.04385156838519189</v>
      </c>
      <c r="H14">
        <v>0.02</v>
      </c>
      <c r="I14">
        <v>0.1005425070535899</v>
      </c>
      <c r="J14" t="s">
        <v>776</v>
      </c>
      <c r="K14" t="s">
        <v>776</v>
      </c>
      <c r="L14">
        <v>4.6</v>
      </c>
      <c r="M14">
        <v>1.2</v>
      </c>
      <c r="N14">
        <v>0.2608695652173913</v>
      </c>
      <c r="O14">
        <v>13</v>
      </c>
      <c r="P14">
        <v>0.01924487649145656</v>
      </c>
      <c r="Q14">
        <v>0.242602684255975</v>
      </c>
      <c r="R14" t="s">
        <v>780</v>
      </c>
      <c r="S14" t="s">
        <v>790</v>
      </c>
      <c r="T14">
        <v>5207.425729</v>
      </c>
      <c r="U14" s="2">
        <v>44503</v>
      </c>
      <c r="V14" t="s">
        <v>799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254.54</v>
      </c>
      <c r="D15">
        <v>223</v>
      </c>
      <c r="E15">
        <v>1.141434977578475</v>
      </c>
      <c r="F15">
        <v>0.009900212147403159</v>
      </c>
      <c r="G15">
        <v>-0.02611031803190444</v>
      </c>
      <c r="H15">
        <v>0.12</v>
      </c>
      <c r="I15">
        <v>0.1005309939824006</v>
      </c>
      <c r="J15" t="s">
        <v>776</v>
      </c>
      <c r="K15" t="s">
        <v>372</v>
      </c>
      <c r="L15">
        <v>9.119999999999999</v>
      </c>
      <c r="M15">
        <v>2.52</v>
      </c>
      <c r="N15">
        <v>0.2763157894736842</v>
      </c>
      <c r="O15">
        <v>27</v>
      </c>
      <c r="P15">
        <v>0.1199444602155453</v>
      </c>
      <c r="Q15">
        <v>0.129076963316493</v>
      </c>
      <c r="R15" t="s">
        <v>780</v>
      </c>
      <c r="S15" t="s">
        <v>785</v>
      </c>
      <c r="T15">
        <v>98158.159602</v>
      </c>
      <c r="U15" s="2">
        <v>44500</v>
      </c>
      <c r="V15" t="s">
        <v>796</v>
      </c>
    </row>
    <row r="16" spans="1:22">
      <c r="A16" s="1" t="s">
        <v>36</v>
      </c>
      <c r="B16">
        <f>HYPERLINK("https://www.suredividend.com/sure-analysis-ADM/","Archer Daniels Midland Co.")</f>
        <v>0</v>
      </c>
      <c r="C16">
        <v>66.75</v>
      </c>
      <c r="D16">
        <v>74</v>
      </c>
      <c r="E16">
        <v>0.902027027027027</v>
      </c>
      <c r="F16">
        <v>0.02217228464419476</v>
      </c>
      <c r="G16">
        <v>0.02083626515252868</v>
      </c>
      <c r="H16">
        <v>0.06</v>
      </c>
      <c r="I16">
        <v>0.09924735675006868</v>
      </c>
      <c r="J16" t="s">
        <v>776</v>
      </c>
      <c r="K16" t="s">
        <v>776</v>
      </c>
      <c r="L16">
        <v>4.9</v>
      </c>
      <c r="M16">
        <v>1.48</v>
      </c>
      <c r="N16">
        <v>0.3020408163265306</v>
      </c>
      <c r="O16">
        <v>46</v>
      </c>
      <c r="P16">
        <v>0.03051269507716325</v>
      </c>
      <c r="Q16">
        <v>0.399453029198464</v>
      </c>
      <c r="R16" t="s">
        <v>780</v>
      </c>
      <c r="S16" t="s">
        <v>791</v>
      </c>
      <c r="T16">
        <v>37158.088489</v>
      </c>
      <c r="U16" s="2">
        <v>44507</v>
      </c>
      <c r="V16" t="s">
        <v>797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246.58</v>
      </c>
      <c r="D17">
        <v>231</v>
      </c>
      <c r="E17">
        <v>1.067445887445887</v>
      </c>
      <c r="F17">
        <v>0.01411306675318355</v>
      </c>
      <c r="G17">
        <v>-0.01296892404780436</v>
      </c>
      <c r="H17">
        <v>0.1</v>
      </c>
      <c r="I17">
        <v>0.09903792578120174</v>
      </c>
      <c r="J17" t="s">
        <v>776</v>
      </c>
      <c r="K17" t="s">
        <v>777</v>
      </c>
      <c r="L17">
        <v>12.4</v>
      </c>
      <c r="M17">
        <v>3.48</v>
      </c>
      <c r="N17">
        <v>0.2806451612903226</v>
      </c>
      <c r="O17">
        <v>50</v>
      </c>
      <c r="P17">
        <v>0.09982036375468772</v>
      </c>
      <c r="Q17">
        <v>0.07229194808374001</v>
      </c>
      <c r="R17" t="s">
        <v>780</v>
      </c>
      <c r="S17" t="s">
        <v>785</v>
      </c>
      <c r="T17">
        <v>70444.879252</v>
      </c>
      <c r="U17" s="2">
        <v>44507</v>
      </c>
      <c r="V17" t="s">
        <v>796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49.14</v>
      </c>
      <c r="D18">
        <v>58</v>
      </c>
      <c r="E18">
        <v>0.8472413793103448</v>
      </c>
      <c r="F18">
        <v>0.03988603988603989</v>
      </c>
      <c r="G18">
        <v>0.03370964456768277</v>
      </c>
      <c r="H18">
        <v>0.03</v>
      </c>
      <c r="I18">
        <v>0.09755633234013872</v>
      </c>
      <c r="J18" t="s">
        <v>776</v>
      </c>
      <c r="K18" t="s">
        <v>776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-0.035571417444394</v>
      </c>
      <c r="R18" t="s">
        <v>780</v>
      </c>
      <c r="S18" t="s">
        <v>785</v>
      </c>
      <c r="T18">
        <v>13607.542617</v>
      </c>
      <c r="U18" s="2">
        <v>44511</v>
      </c>
      <c r="V18" t="s">
        <v>799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67.92</v>
      </c>
      <c r="D19">
        <v>74</v>
      </c>
      <c r="E19">
        <v>0.9178378378378379</v>
      </c>
      <c r="F19">
        <v>0.02120141342756184</v>
      </c>
      <c r="G19">
        <v>0.01729476236574512</v>
      </c>
      <c r="H19">
        <v>0.06</v>
      </c>
      <c r="I19">
        <v>0.09646888277881271</v>
      </c>
      <c r="J19" t="s">
        <v>776</v>
      </c>
      <c r="K19" t="s">
        <v>777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0.259758124930417</v>
      </c>
      <c r="R19" t="s">
        <v>780</v>
      </c>
      <c r="S19" t="s">
        <v>790</v>
      </c>
      <c r="T19">
        <v>2174.521207</v>
      </c>
      <c r="U19" s="2">
        <v>44492</v>
      </c>
      <c r="V19" t="s">
        <v>797</v>
      </c>
    </row>
    <row r="20" spans="1:22">
      <c r="A20" s="1" t="s">
        <v>40</v>
      </c>
      <c r="B20">
        <f>HYPERLINK("https://www.suredividend.com/sure-analysis-V/","Visa Inc")</f>
        <v>0</v>
      </c>
      <c r="C20">
        <v>198.49</v>
      </c>
      <c r="D20">
        <v>178</v>
      </c>
      <c r="E20">
        <v>1.115112359550562</v>
      </c>
      <c r="F20">
        <v>0.00755705577107159</v>
      </c>
      <c r="G20">
        <v>-0.0215553247833622</v>
      </c>
      <c r="H20">
        <v>0.11</v>
      </c>
      <c r="I20">
        <v>0.09316767155708749</v>
      </c>
      <c r="J20" t="s">
        <v>776</v>
      </c>
      <c r="K20" t="s">
        <v>372</v>
      </c>
      <c r="L20">
        <v>7.1</v>
      </c>
      <c r="M20">
        <v>1.5</v>
      </c>
      <c r="N20">
        <v>0.2112676056338028</v>
      </c>
      <c r="O20">
        <v>14</v>
      </c>
      <c r="P20">
        <v>0.09487401536266371</v>
      </c>
      <c r="Q20">
        <v>-0.034817724256336</v>
      </c>
      <c r="R20" t="s">
        <v>780</v>
      </c>
      <c r="S20" t="s">
        <v>790</v>
      </c>
      <c r="T20">
        <v>431058.32</v>
      </c>
      <c r="U20" s="2">
        <v>44497</v>
      </c>
      <c r="V20" t="s">
        <v>799</v>
      </c>
    </row>
    <row r="21" spans="1:22">
      <c r="A21" s="1" t="s">
        <v>41</v>
      </c>
      <c r="B21">
        <f>HYPERLINK("https://www.suredividend.com/sure-analysis-CHRW/","C.H. Robinson Worldwide, Inc.")</f>
        <v>0</v>
      </c>
      <c r="C21">
        <v>97.77</v>
      </c>
      <c r="D21">
        <v>100</v>
      </c>
      <c r="E21">
        <v>0.9777</v>
      </c>
      <c r="F21">
        <v>0.02117213869285057</v>
      </c>
      <c r="G21">
        <v>0.004520668424178087</v>
      </c>
      <c r="H21">
        <v>0.07000000000000001</v>
      </c>
      <c r="I21">
        <v>0.09214863330445255</v>
      </c>
      <c r="J21" t="s">
        <v>776</v>
      </c>
      <c r="K21" t="s">
        <v>777</v>
      </c>
      <c r="L21">
        <v>5.55</v>
      </c>
      <c r="M21">
        <v>2.07</v>
      </c>
      <c r="N21">
        <v>0.3729729729729729</v>
      </c>
      <c r="O21">
        <v>22</v>
      </c>
      <c r="P21">
        <v>0.04012620718096094</v>
      </c>
      <c r="Q21">
        <v>0.06861412518398201</v>
      </c>
      <c r="R21" t="s">
        <v>780</v>
      </c>
      <c r="S21" t="s">
        <v>787</v>
      </c>
      <c r="T21">
        <v>12580.186572</v>
      </c>
      <c r="U21" s="2">
        <v>44495</v>
      </c>
      <c r="V21" t="s">
        <v>797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35.35</v>
      </c>
      <c r="D22">
        <v>37</v>
      </c>
      <c r="E22">
        <v>0.9554054054054054</v>
      </c>
      <c r="F22">
        <v>0.03168316831683168</v>
      </c>
      <c r="G22">
        <v>0.009165653749766856</v>
      </c>
      <c r="H22">
        <v>0.055</v>
      </c>
      <c r="I22">
        <v>0.09152756580074772</v>
      </c>
      <c r="J22" t="s">
        <v>776</v>
      </c>
      <c r="K22" t="s">
        <v>776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0.313510019392372</v>
      </c>
      <c r="R22" t="s">
        <v>780</v>
      </c>
      <c r="S22" t="s">
        <v>790</v>
      </c>
      <c r="T22">
        <v>122.67912</v>
      </c>
      <c r="U22" s="2">
        <v>44505</v>
      </c>
      <c r="V22" t="s">
        <v>800</v>
      </c>
    </row>
    <row r="23" spans="1:22">
      <c r="A23" s="1" t="s">
        <v>43</v>
      </c>
      <c r="B23">
        <f>HYPERLINK("https://www.suredividend.com/sure-analysis-JNJ/","Johnson &amp; Johnson")</f>
        <v>0</v>
      </c>
      <c r="C23">
        <v>160.69</v>
      </c>
      <c r="D23">
        <v>167</v>
      </c>
      <c r="E23">
        <v>0.9622155688622754</v>
      </c>
      <c r="F23">
        <v>0.02638620947165349</v>
      </c>
      <c r="G23">
        <v>0.007733101038317036</v>
      </c>
      <c r="H23">
        <v>0.06</v>
      </c>
      <c r="I23">
        <v>0.09137747199728841</v>
      </c>
      <c r="J23" t="s">
        <v>776</v>
      </c>
      <c r="K23" t="s">
        <v>776</v>
      </c>
      <c r="L23">
        <v>9.800000000000001</v>
      </c>
      <c r="M23">
        <v>4.24</v>
      </c>
      <c r="N23">
        <v>0.4326530612244898</v>
      </c>
      <c r="O23">
        <v>59</v>
      </c>
      <c r="P23">
        <v>0.05984764821935884</v>
      </c>
      <c r="Q23">
        <v>0.126416837709924</v>
      </c>
      <c r="R23" t="s">
        <v>780</v>
      </c>
      <c r="S23" t="s">
        <v>785</v>
      </c>
      <c r="T23">
        <v>420425.735949</v>
      </c>
      <c r="U23" s="2">
        <v>44489</v>
      </c>
      <c r="V23" t="s">
        <v>796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95.31</v>
      </c>
      <c r="D24">
        <v>97</v>
      </c>
      <c r="E24">
        <v>0.9825773195876288</v>
      </c>
      <c r="F24">
        <v>0.02853845346763194</v>
      </c>
      <c r="G24">
        <v>0.003521434042116356</v>
      </c>
      <c r="H24">
        <v>0.06</v>
      </c>
      <c r="I24">
        <v>0.09060092237967887</v>
      </c>
      <c r="J24" t="s">
        <v>776</v>
      </c>
      <c r="K24" t="s">
        <v>777</v>
      </c>
      <c r="L24">
        <v>5.1</v>
      </c>
      <c r="M24">
        <v>2.72</v>
      </c>
      <c r="N24">
        <v>0.5333333333333334</v>
      </c>
      <c r="O24">
        <v>38</v>
      </c>
      <c r="P24">
        <v>0.0801851873035635</v>
      </c>
      <c r="Q24">
        <v>0.019083570821085</v>
      </c>
      <c r="R24" t="s">
        <v>780</v>
      </c>
      <c r="S24" t="s">
        <v>792</v>
      </c>
      <c r="T24">
        <v>12662.556622</v>
      </c>
      <c r="U24" s="2">
        <v>44427</v>
      </c>
      <c r="V24" t="s">
        <v>798</v>
      </c>
    </row>
    <row r="25" spans="1:22">
      <c r="A25" s="1" t="s">
        <v>45</v>
      </c>
      <c r="B25">
        <f>HYPERLINK("https://www.suredividend.com/sure-analysis-JW.A/","John Wiley &amp; Sons Inc.")</f>
        <v>0</v>
      </c>
      <c r="C25">
        <v>55.62</v>
      </c>
      <c r="D25">
        <v>62</v>
      </c>
      <c r="E25">
        <v>0.8970967741935484</v>
      </c>
      <c r="F25">
        <v>0.02481121898597627</v>
      </c>
      <c r="G25">
        <v>0.0219558663595536</v>
      </c>
      <c r="H25">
        <v>0.045</v>
      </c>
      <c r="I25">
        <v>0.08803656406116045</v>
      </c>
      <c r="J25" t="s">
        <v>776</v>
      </c>
      <c r="K25" t="s">
        <v>777</v>
      </c>
      <c r="L25">
        <v>4.12</v>
      </c>
      <c r="M25">
        <v>1.38</v>
      </c>
      <c r="N25">
        <v>0.3349514563106796</v>
      </c>
      <c r="O25">
        <v>28</v>
      </c>
      <c r="P25">
        <v>0.03002598081465924</v>
      </c>
      <c r="Q25">
        <v>0.643277313413384</v>
      </c>
      <c r="R25" t="s">
        <v>780</v>
      </c>
      <c r="S25" t="s">
        <v>784</v>
      </c>
      <c r="T25">
        <v>3097.623068</v>
      </c>
      <c r="U25" s="2">
        <v>44453</v>
      </c>
      <c r="V25" t="s">
        <v>800</v>
      </c>
    </row>
    <row r="26" spans="1:22">
      <c r="A26" s="1" t="s">
        <v>46</v>
      </c>
      <c r="B26">
        <f>HYPERLINK("https://www.suredividend.com/sure-analysis-LEG/","Leggett &amp; Platt, Inc.")</f>
        <v>0</v>
      </c>
      <c r="C26">
        <v>43.04</v>
      </c>
      <c r="D26">
        <v>44</v>
      </c>
      <c r="E26">
        <v>0.9781818181818182</v>
      </c>
      <c r="F26">
        <v>0.03903345724907063</v>
      </c>
      <c r="G26">
        <v>0.004421690565231229</v>
      </c>
      <c r="H26">
        <v>0.05</v>
      </c>
      <c r="I26">
        <v>0.08797145523441996</v>
      </c>
      <c r="J26" t="s">
        <v>776</v>
      </c>
      <c r="K26" t="s">
        <v>776</v>
      </c>
      <c r="L26">
        <v>2.75</v>
      </c>
      <c r="M26">
        <v>1.68</v>
      </c>
      <c r="N26">
        <v>0.6109090909090908</v>
      </c>
      <c r="O26">
        <v>48</v>
      </c>
      <c r="P26">
        <v>0.03959498820755258</v>
      </c>
      <c r="Q26">
        <v>0.018636085350078</v>
      </c>
      <c r="R26" t="s">
        <v>780</v>
      </c>
      <c r="S26" t="s">
        <v>789</v>
      </c>
      <c r="T26">
        <v>5703.208986</v>
      </c>
      <c r="U26" s="2">
        <v>44506</v>
      </c>
      <c r="V26" t="s">
        <v>800</v>
      </c>
    </row>
    <row r="27" spans="1:22">
      <c r="A27" s="1" t="s">
        <v>47</v>
      </c>
      <c r="B27">
        <f>HYPERLINK("https://www.suredividend.com/sure-analysis-NIDB/","Northeast Indiana Bancorp Inc.")</f>
        <v>0</v>
      </c>
      <c r="C27">
        <v>45.4</v>
      </c>
      <c r="D27">
        <v>54</v>
      </c>
      <c r="E27">
        <v>0.8407407407407407</v>
      </c>
      <c r="F27">
        <v>0.02643171806167401</v>
      </c>
      <c r="G27">
        <v>0.03530325966112091</v>
      </c>
      <c r="H27">
        <v>0.03</v>
      </c>
      <c r="I27">
        <v>0.08782582839628161</v>
      </c>
      <c r="J27" t="s">
        <v>776</v>
      </c>
      <c r="K27" t="s">
        <v>776</v>
      </c>
      <c r="L27">
        <v>6</v>
      </c>
      <c r="M27">
        <v>1.2</v>
      </c>
      <c r="N27">
        <v>0.2</v>
      </c>
      <c r="O27">
        <v>27</v>
      </c>
      <c r="P27">
        <v>0.02983277847878951</v>
      </c>
      <c r="Q27">
        <v>0.240555555555555</v>
      </c>
      <c r="R27" t="s">
        <v>780</v>
      </c>
      <c r="S27" t="s">
        <v>790</v>
      </c>
      <c r="T27">
        <v>53.667252</v>
      </c>
      <c r="U27" s="2">
        <v>44503</v>
      </c>
      <c r="V27" t="s">
        <v>796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189.5</v>
      </c>
      <c r="D28">
        <v>182</v>
      </c>
      <c r="E28">
        <v>1.041208791208791</v>
      </c>
      <c r="F28">
        <v>0.0166754617414248</v>
      </c>
      <c r="G28">
        <v>-0.008043940452342135</v>
      </c>
      <c r="H28">
        <v>0.08</v>
      </c>
      <c r="I28">
        <v>0.0868881185653374</v>
      </c>
      <c r="J28" t="s">
        <v>776</v>
      </c>
      <c r="K28" t="s">
        <v>777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0.023868616445541</v>
      </c>
      <c r="R28" t="s">
        <v>780</v>
      </c>
      <c r="S28" t="s">
        <v>787</v>
      </c>
      <c r="T28">
        <v>30581.769719</v>
      </c>
      <c r="U28" s="2">
        <v>44500</v>
      </c>
      <c r="V28" t="s">
        <v>796</v>
      </c>
    </row>
    <row r="29" spans="1:22">
      <c r="A29" s="1" t="s">
        <v>49</v>
      </c>
      <c r="B29">
        <f>HYPERLINK("https://www.suredividend.com/sure-analysis-ABBV/","Abbvie Inc")</f>
        <v>0</v>
      </c>
      <c r="C29">
        <v>118.88</v>
      </c>
      <c r="D29">
        <v>127</v>
      </c>
      <c r="E29">
        <v>0.9360629921259842</v>
      </c>
      <c r="F29">
        <v>0.04744279946164199</v>
      </c>
      <c r="G29">
        <v>0.01330219848410019</v>
      </c>
      <c r="H29">
        <v>0.03</v>
      </c>
      <c r="I29">
        <v>0.08645390956399313</v>
      </c>
      <c r="J29" t="s">
        <v>776</v>
      </c>
      <c r="K29" t="s">
        <v>776</v>
      </c>
      <c r="L29">
        <v>12.65</v>
      </c>
      <c r="M29">
        <v>5.64</v>
      </c>
      <c r="N29">
        <v>0.4458498023715415</v>
      </c>
      <c r="O29">
        <v>50</v>
      </c>
      <c r="P29">
        <v>0.05005169060192549</v>
      </c>
      <c r="Q29">
        <v>0.201875611849776</v>
      </c>
      <c r="R29" t="s">
        <v>780</v>
      </c>
      <c r="S29" t="s">
        <v>785</v>
      </c>
      <c r="T29">
        <v>204373.850276</v>
      </c>
      <c r="U29" s="2">
        <v>44504</v>
      </c>
      <c r="V29" t="s">
        <v>800</v>
      </c>
    </row>
    <row r="30" spans="1:22">
      <c r="A30" s="1" t="s">
        <v>50</v>
      </c>
      <c r="B30">
        <f>HYPERLINK("https://www.suredividend.com/sure-analysis-BRC/","Brady Corp.")</f>
        <v>0</v>
      </c>
      <c r="C30">
        <v>51.46</v>
      </c>
      <c r="D30">
        <v>57</v>
      </c>
      <c r="E30">
        <v>0.9028070175438596</v>
      </c>
      <c r="F30">
        <v>0.01748931208705791</v>
      </c>
      <c r="G30">
        <v>0.02065981151349106</v>
      </c>
      <c r="H30">
        <v>0.05</v>
      </c>
      <c r="I30">
        <v>0.08538237834088225</v>
      </c>
      <c r="J30" t="s">
        <v>776</v>
      </c>
      <c r="K30" t="s">
        <v>777</v>
      </c>
      <c r="L30">
        <v>3</v>
      </c>
      <c r="M30">
        <v>0.9</v>
      </c>
      <c r="N30">
        <v>0.3</v>
      </c>
      <c r="O30">
        <v>36</v>
      </c>
      <c r="P30">
        <v>0.01924487649145656</v>
      </c>
      <c r="Q30">
        <v>0.103846685279777</v>
      </c>
      <c r="R30" t="s">
        <v>780</v>
      </c>
      <c r="S30" t="s">
        <v>787</v>
      </c>
      <c r="T30">
        <v>2430.569628</v>
      </c>
      <c r="U30" s="2">
        <v>44519</v>
      </c>
      <c r="V30" t="s">
        <v>796</v>
      </c>
    </row>
    <row r="31" spans="1:22">
      <c r="A31" s="1" t="s">
        <v>51</v>
      </c>
      <c r="B31">
        <f>HYPERLINK("https://www.suredividend.com/sure-analysis-PH/","Parker-Hannifin Corp.")</f>
        <v>0</v>
      </c>
      <c r="C31">
        <v>329.02</v>
      </c>
      <c r="D31">
        <v>289</v>
      </c>
      <c r="E31">
        <v>1.138477508650519</v>
      </c>
      <c r="F31">
        <v>0.01252203513464227</v>
      </c>
      <c r="G31">
        <v>-0.02560486047949628</v>
      </c>
      <c r="H31">
        <v>0.1</v>
      </c>
      <c r="I31">
        <v>0.0842907357211129</v>
      </c>
      <c r="J31" t="s">
        <v>776</v>
      </c>
      <c r="K31" t="s">
        <v>777</v>
      </c>
      <c r="L31">
        <v>17.5</v>
      </c>
      <c r="M31">
        <v>4.12</v>
      </c>
      <c r="N31">
        <v>0.2354285714285714</v>
      </c>
      <c r="O31">
        <v>65</v>
      </c>
      <c r="P31">
        <v>0.10015574926841</v>
      </c>
      <c r="Q31">
        <v>0.238583238869191</v>
      </c>
      <c r="R31" t="s">
        <v>780</v>
      </c>
      <c r="S31" t="s">
        <v>787</v>
      </c>
      <c r="T31">
        <v>41971.6985</v>
      </c>
      <c r="U31" s="2">
        <v>44508</v>
      </c>
      <c r="V31" t="s">
        <v>803</v>
      </c>
    </row>
    <row r="32" spans="1:22">
      <c r="A32" s="1" t="s">
        <v>52</v>
      </c>
      <c r="B32">
        <f>HYPERLINK("https://www.suredividend.com/sure-analysis-MMM/","3M Co.")</f>
        <v>0</v>
      </c>
      <c r="C32">
        <v>179.46</v>
      </c>
      <c r="D32">
        <v>186</v>
      </c>
      <c r="E32">
        <v>0.9648387096774194</v>
      </c>
      <c r="F32">
        <v>0.03298785244622757</v>
      </c>
      <c r="G32">
        <v>0.007184552309990044</v>
      </c>
      <c r="H32">
        <v>0.05</v>
      </c>
      <c r="I32">
        <v>0.08417645060808954</v>
      </c>
      <c r="J32" t="s">
        <v>776</v>
      </c>
      <c r="K32" t="s">
        <v>776</v>
      </c>
      <c r="L32">
        <v>9.800000000000001</v>
      </c>
      <c r="M32">
        <v>5.92</v>
      </c>
      <c r="N32">
        <v>0.6040816326530611</v>
      </c>
      <c r="O32">
        <v>63</v>
      </c>
      <c r="P32">
        <v>0.02011987338221144</v>
      </c>
      <c r="Q32">
        <v>0.072142554499286</v>
      </c>
      <c r="R32" t="s">
        <v>780</v>
      </c>
      <c r="S32" t="s">
        <v>787</v>
      </c>
      <c r="T32">
        <v>103958.148534</v>
      </c>
      <c r="U32" s="2">
        <v>44496</v>
      </c>
      <c r="V32" t="s">
        <v>796</v>
      </c>
    </row>
    <row r="33" spans="1:22">
      <c r="A33" s="1" t="s">
        <v>53</v>
      </c>
      <c r="B33">
        <f>HYPERLINK("https://www.suredividend.com/sure-analysis-TNC/","Tennant Co.")</f>
        <v>0</v>
      </c>
      <c r="C33">
        <v>84.34</v>
      </c>
      <c r="D33">
        <v>82</v>
      </c>
      <c r="E33">
        <v>1.028536585365854</v>
      </c>
      <c r="F33">
        <v>0.01185677021579322</v>
      </c>
      <c r="G33">
        <v>-0.005611596053601953</v>
      </c>
      <c r="H33">
        <v>0.08</v>
      </c>
      <c r="I33">
        <v>0.08410683443674172</v>
      </c>
      <c r="J33" t="s">
        <v>776</v>
      </c>
      <c r="K33" t="s">
        <v>777</v>
      </c>
      <c r="L33">
        <v>4.3</v>
      </c>
      <c r="M33">
        <v>1</v>
      </c>
      <c r="N33">
        <v>0.2325581395348837</v>
      </c>
      <c r="O33">
        <v>49</v>
      </c>
      <c r="P33">
        <v>0.05061112176150684</v>
      </c>
      <c r="Q33">
        <v>0.266979175044653</v>
      </c>
      <c r="R33" t="s">
        <v>780</v>
      </c>
      <c r="S33" t="s">
        <v>787</v>
      </c>
      <c r="T33">
        <v>1547.58859</v>
      </c>
      <c r="U33" s="2">
        <v>44510</v>
      </c>
      <c r="V33" t="s">
        <v>800</v>
      </c>
    </row>
    <row r="34" spans="1:22">
      <c r="A34" s="1" t="s">
        <v>54</v>
      </c>
      <c r="B34">
        <f>HYPERLINK("https://www.suredividend.com/sure-analysis-LHX/","L3Harris Technologies Inc")</f>
        <v>0</v>
      </c>
      <c r="C34">
        <v>221.51</v>
      </c>
      <c r="D34">
        <v>206</v>
      </c>
      <c r="E34">
        <v>1.075291262135922</v>
      </c>
      <c r="F34">
        <v>0.01841903300076746</v>
      </c>
      <c r="G34">
        <v>-0.01441343075636459</v>
      </c>
      <c r="H34">
        <v>0.08</v>
      </c>
      <c r="I34">
        <v>0.08201534581075842</v>
      </c>
      <c r="J34" t="s">
        <v>776</v>
      </c>
      <c r="K34" t="s">
        <v>777</v>
      </c>
      <c r="L34">
        <v>12.9</v>
      </c>
      <c r="M34">
        <v>4.08</v>
      </c>
      <c r="N34">
        <v>0.3162790697674419</v>
      </c>
      <c r="O34">
        <v>20</v>
      </c>
      <c r="P34">
        <v>0.07982488529298792</v>
      </c>
      <c r="Q34">
        <v>0.182244982790306</v>
      </c>
      <c r="R34" t="s">
        <v>780</v>
      </c>
      <c r="S34" t="s">
        <v>787</v>
      </c>
      <c r="T34">
        <v>43587.563429</v>
      </c>
      <c r="U34" s="2">
        <v>44509</v>
      </c>
      <c r="V34" t="s">
        <v>802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120.94</v>
      </c>
      <c r="D35">
        <v>112.03</v>
      </c>
      <c r="E35">
        <v>1.079532268142462</v>
      </c>
      <c r="F35">
        <v>0.0208367785678849</v>
      </c>
      <c r="G35">
        <v>-0.0151890374831648</v>
      </c>
      <c r="H35">
        <v>0.08</v>
      </c>
      <c r="I35">
        <v>0.08186512457293604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0.5862219546245501</v>
      </c>
      <c r="R35" t="s">
        <v>780</v>
      </c>
      <c r="S35" t="s">
        <v>790</v>
      </c>
      <c r="T35">
        <v>19315.97143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HYPERLINK("https://www.suredividend.com/sure-analysis-INTU/","Intuit Inc")</f>
        <v>0</v>
      </c>
      <c r="C36">
        <v>670.63</v>
      </c>
      <c r="D36">
        <v>462</v>
      </c>
      <c r="E36">
        <v>1.451580086580087</v>
      </c>
      <c r="F36">
        <v>0.004055887747342052</v>
      </c>
      <c r="G36">
        <v>-0.07182086888172889</v>
      </c>
      <c r="H36">
        <v>0.16</v>
      </c>
      <c r="I36">
        <v>0.08145898057652023</v>
      </c>
      <c r="J36" t="s">
        <v>776</v>
      </c>
      <c r="K36" t="s">
        <v>513</v>
      </c>
      <c r="L36">
        <v>11.56</v>
      </c>
      <c r="M36">
        <v>2.72</v>
      </c>
      <c r="N36">
        <v>0.2352941176470588</v>
      </c>
      <c r="O36">
        <v>10</v>
      </c>
      <c r="P36">
        <v>0.1598810174248351</v>
      </c>
      <c r="Q36">
        <v>0.9133806509190081</v>
      </c>
      <c r="R36" t="s">
        <v>780</v>
      </c>
      <c r="S36" t="s">
        <v>786</v>
      </c>
      <c r="T36">
        <v>181316.388057</v>
      </c>
      <c r="U36" s="2">
        <v>44520</v>
      </c>
      <c r="V36" t="s">
        <v>795</v>
      </c>
    </row>
    <row r="37" spans="1:22">
      <c r="A37" s="1" t="s">
        <v>57</v>
      </c>
      <c r="B37">
        <f>HYPERLINK("https://www.suredividend.com/sure-analysis-ANTM/","Anthem Inc")</f>
        <v>0</v>
      </c>
      <c r="C37">
        <v>423.66</v>
      </c>
      <c r="D37">
        <v>388</v>
      </c>
      <c r="E37">
        <v>1.091907216494845</v>
      </c>
      <c r="F37">
        <v>0.01066893263465987</v>
      </c>
      <c r="G37">
        <v>-0.01743146448931987</v>
      </c>
      <c r="H37">
        <v>0.09</v>
      </c>
      <c r="I37">
        <v>0.08137188116181271</v>
      </c>
      <c r="J37" t="s">
        <v>776</v>
      </c>
      <c r="K37" t="s">
        <v>372</v>
      </c>
      <c r="L37">
        <v>25.85</v>
      </c>
      <c r="M37">
        <v>4.52</v>
      </c>
      <c r="N37">
        <v>0.1748549323017408</v>
      </c>
      <c r="O37">
        <v>11</v>
      </c>
      <c r="P37">
        <v>0.0898563876885603</v>
      </c>
      <c r="Q37">
        <v>0.389160309894703</v>
      </c>
      <c r="R37" t="s">
        <v>780</v>
      </c>
      <c r="S37" t="s">
        <v>785</v>
      </c>
      <c r="T37">
        <v>101794.535114</v>
      </c>
      <c r="U37" s="2">
        <v>44490</v>
      </c>
      <c r="V37" t="s">
        <v>796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67.15000000000001</v>
      </c>
      <c r="D38">
        <v>70</v>
      </c>
      <c r="E38">
        <v>0.9592857142857144</v>
      </c>
      <c r="F38">
        <v>0.03544303797468354</v>
      </c>
      <c r="G38">
        <v>0.008347914948437118</v>
      </c>
      <c r="H38">
        <v>0.04</v>
      </c>
      <c r="I38">
        <v>0.08069041464992455</v>
      </c>
      <c r="J38" t="s">
        <v>776</v>
      </c>
      <c r="K38" t="s">
        <v>776</v>
      </c>
      <c r="L38">
        <v>3.9</v>
      </c>
      <c r="M38">
        <v>2.38</v>
      </c>
      <c r="N38">
        <v>0.6102564102564102</v>
      </c>
      <c r="O38">
        <v>50</v>
      </c>
      <c r="P38">
        <v>0.05016931709648742</v>
      </c>
      <c r="Q38">
        <v>0.111270888581967</v>
      </c>
      <c r="R38" t="s">
        <v>780</v>
      </c>
      <c r="S38" t="s">
        <v>792</v>
      </c>
      <c r="T38">
        <v>4218.898744</v>
      </c>
      <c r="U38" s="2">
        <v>44418</v>
      </c>
      <c r="V38" t="s">
        <v>800</v>
      </c>
    </row>
    <row r="39" spans="1:22">
      <c r="A39" s="1" t="s">
        <v>59</v>
      </c>
      <c r="B39">
        <f>HYPERLINK("https://www.suredividend.com/sure-analysis-AFL/","Aflac Inc.")</f>
        <v>0</v>
      </c>
      <c r="C39">
        <v>56.8</v>
      </c>
      <c r="D39">
        <v>61</v>
      </c>
      <c r="E39">
        <v>0.9311475409836065</v>
      </c>
      <c r="F39">
        <v>0.02816901408450705</v>
      </c>
      <c r="G39">
        <v>0.01436977436176901</v>
      </c>
      <c r="H39">
        <v>0.04</v>
      </c>
      <c r="I39">
        <v>0.07950466796273381</v>
      </c>
      <c r="J39" t="s">
        <v>776</v>
      </c>
      <c r="K39" t="s">
        <v>776</v>
      </c>
      <c r="L39">
        <v>6.1</v>
      </c>
      <c r="M39">
        <v>1.6</v>
      </c>
      <c r="N39">
        <v>0.2622950819672131</v>
      </c>
      <c r="O39">
        <v>40</v>
      </c>
      <c r="P39">
        <v>0.04142312668144399</v>
      </c>
      <c r="Q39">
        <v>0.296206056387051</v>
      </c>
      <c r="R39" t="s">
        <v>780</v>
      </c>
      <c r="S39" t="s">
        <v>790</v>
      </c>
      <c r="T39">
        <v>36952.966313</v>
      </c>
      <c r="U39" s="2">
        <v>44497</v>
      </c>
      <c r="V39" t="s">
        <v>799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44.47</v>
      </c>
      <c r="D40">
        <v>48</v>
      </c>
      <c r="E40">
        <v>0.9264583333333333</v>
      </c>
      <c r="F40">
        <v>0.03597931189566</v>
      </c>
      <c r="G40">
        <v>0.01539453487389442</v>
      </c>
      <c r="H40">
        <v>0.03</v>
      </c>
      <c r="I40">
        <v>0.07709547956614449</v>
      </c>
      <c r="J40" t="s">
        <v>776</v>
      </c>
      <c r="K40" t="s">
        <v>776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0.3547163638346471</v>
      </c>
      <c r="R40" t="s">
        <v>780</v>
      </c>
      <c r="S40" t="s">
        <v>790</v>
      </c>
      <c r="T40">
        <v>797.942582</v>
      </c>
      <c r="U40" s="2">
        <v>44490</v>
      </c>
      <c r="V40" t="s">
        <v>803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123.66</v>
      </c>
      <c r="D41">
        <v>138</v>
      </c>
      <c r="E41">
        <v>0.8960869565217391</v>
      </c>
      <c r="F41">
        <v>0.01487950832928999</v>
      </c>
      <c r="G41">
        <v>0.02218609495803414</v>
      </c>
      <c r="H41">
        <v>0.04</v>
      </c>
      <c r="I41">
        <v>0.0770369295350195</v>
      </c>
      <c r="J41" t="s">
        <v>776</v>
      </c>
      <c r="K41" t="s">
        <v>777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0.224092138401646</v>
      </c>
      <c r="R41" t="s">
        <v>780</v>
      </c>
      <c r="S41" t="s">
        <v>785</v>
      </c>
      <c r="T41">
        <v>25167.17549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HYPERLINK("https://www.suredividend.com/sure-analysis-MET/","Metlife Inc")</f>
        <v>0</v>
      </c>
      <c r="C42">
        <v>63.36</v>
      </c>
      <c r="D42">
        <v>77</v>
      </c>
      <c r="E42">
        <v>0.8228571428571428</v>
      </c>
      <c r="F42">
        <v>0.0303030303030303</v>
      </c>
      <c r="G42">
        <v>0.03976480118430503</v>
      </c>
      <c r="H42">
        <v>0.01</v>
      </c>
      <c r="I42">
        <v>0.07686806818152458</v>
      </c>
      <c r="J42" t="s">
        <v>776</v>
      </c>
      <c r="K42" t="s">
        <v>776</v>
      </c>
      <c r="L42">
        <v>8.5</v>
      </c>
      <c r="M42">
        <v>1.92</v>
      </c>
      <c r="N42">
        <v>0.2258823529411765</v>
      </c>
      <c r="O42">
        <v>9</v>
      </c>
      <c r="P42">
        <v>0.0403582746309219</v>
      </c>
      <c r="Q42">
        <v>0.407081100183904</v>
      </c>
      <c r="R42" t="s">
        <v>780</v>
      </c>
      <c r="S42" t="s">
        <v>790</v>
      </c>
      <c r="T42">
        <v>52580.923664</v>
      </c>
      <c r="U42" s="2">
        <v>44511</v>
      </c>
      <c r="V42" t="s">
        <v>799</v>
      </c>
    </row>
    <row r="43" spans="1:22">
      <c r="A43" s="1" t="s">
        <v>63</v>
      </c>
      <c r="B43">
        <f>HYPERLINK("https://www.suredividend.com/sure-analysis-TMO/","Thermo Fisher Scientific Inc.")</f>
        <v>0</v>
      </c>
      <c r="C43">
        <v>632.76</v>
      </c>
      <c r="D43">
        <v>561</v>
      </c>
      <c r="E43">
        <v>1.127914438502674</v>
      </c>
      <c r="F43">
        <v>0.001643593147480878</v>
      </c>
      <c r="G43">
        <v>-0.0237865908563808</v>
      </c>
      <c r="H43">
        <v>0.1</v>
      </c>
      <c r="I43">
        <v>0.07574370186012791</v>
      </c>
      <c r="J43" t="s">
        <v>776</v>
      </c>
      <c r="K43" t="s">
        <v>513</v>
      </c>
      <c r="L43">
        <v>23.37</v>
      </c>
      <c r="M43">
        <v>1.04</v>
      </c>
      <c r="N43">
        <v>0.04450149764655541</v>
      </c>
      <c r="O43">
        <v>4</v>
      </c>
      <c r="P43">
        <v>0.1498007546802556</v>
      </c>
      <c r="Q43">
        <v>0.40846165621103</v>
      </c>
      <c r="R43" t="s">
        <v>780</v>
      </c>
      <c r="S43" t="s">
        <v>785</v>
      </c>
      <c r="T43">
        <v>249810.725235</v>
      </c>
      <c r="U43" s="2">
        <v>44499</v>
      </c>
      <c r="V43" t="s">
        <v>795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55.88</v>
      </c>
      <c r="D44">
        <v>53</v>
      </c>
      <c r="E44">
        <v>1.054339622641509</v>
      </c>
      <c r="F44">
        <v>0.03006442376521117</v>
      </c>
      <c r="G44">
        <v>-0.01052712204870676</v>
      </c>
      <c r="H44">
        <v>0.06</v>
      </c>
      <c r="I44">
        <v>0.07541521424761988</v>
      </c>
      <c r="J44" t="s">
        <v>776</v>
      </c>
      <c r="K44" t="s">
        <v>776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0.08645621759679001</v>
      </c>
      <c r="R44" t="s">
        <v>780</v>
      </c>
      <c r="S44" t="s">
        <v>791</v>
      </c>
      <c r="T44">
        <v>239598.240491</v>
      </c>
      <c r="U44" s="2">
        <v>44512</v>
      </c>
      <c r="V44" t="s">
        <v>798</v>
      </c>
    </row>
    <row r="45" spans="1:22">
      <c r="A45" s="1" t="s">
        <v>65</v>
      </c>
      <c r="B45">
        <f>HYPERLINK("https://www.suredividend.com/sure-analysis-ROP/","Roper Technologies Inc")</f>
        <v>0</v>
      </c>
      <c r="C45">
        <v>485.64</v>
      </c>
      <c r="D45">
        <v>423</v>
      </c>
      <c r="E45">
        <v>1.148085106382979</v>
      </c>
      <c r="F45">
        <v>0.005106663372045136</v>
      </c>
      <c r="G45">
        <v>-0.0272411662307851</v>
      </c>
      <c r="H45">
        <v>0.1</v>
      </c>
      <c r="I45">
        <v>0.07521288132030235</v>
      </c>
      <c r="J45" t="s">
        <v>776</v>
      </c>
      <c r="K45" t="s">
        <v>372</v>
      </c>
      <c r="L45">
        <v>14.1</v>
      </c>
      <c r="M45">
        <v>2.48</v>
      </c>
      <c r="N45">
        <v>0.175886524822695</v>
      </c>
      <c r="O45">
        <v>29</v>
      </c>
      <c r="P45">
        <v>0.09977601258252333</v>
      </c>
      <c r="Q45">
        <v>0.22246805302008</v>
      </c>
      <c r="R45" t="s">
        <v>780</v>
      </c>
      <c r="S45" t="s">
        <v>787</v>
      </c>
      <c r="T45">
        <v>51959.195754</v>
      </c>
      <c r="U45" s="2">
        <v>44494</v>
      </c>
      <c r="V45" t="s">
        <v>795</v>
      </c>
    </row>
    <row r="46" spans="1:22">
      <c r="A46" s="1" t="s">
        <v>66</v>
      </c>
      <c r="B46">
        <f>HYPERLINK("https://www.suredividend.com/sure-analysis-CP/","Canadian Pacific Railway Ltd")</f>
        <v>0</v>
      </c>
      <c r="C46">
        <v>75.2</v>
      </c>
      <c r="D46">
        <v>64</v>
      </c>
      <c r="E46">
        <v>1.175</v>
      </c>
      <c r="F46">
        <v>0.008111702127659574</v>
      </c>
      <c r="G46">
        <v>-0.03173902863120104</v>
      </c>
      <c r="H46">
        <v>0.1</v>
      </c>
      <c r="I46">
        <v>0.07470281529918399</v>
      </c>
      <c r="J46" t="s">
        <v>776</v>
      </c>
      <c r="K46" t="s">
        <v>513</v>
      </c>
      <c r="L46">
        <v>3.06</v>
      </c>
      <c r="M46">
        <v>0.61</v>
      </c>
      <c r="N46">
        <v>0.1993464052287582</v>
      </c>
      <c r="O46">
        <v>5</v>
      </c>
      <c r="P46">
        <v>0.1505753231079818</v>
      </c>
      <c r="Q46">
        <v>0.121146391552136</v>
      </c>
      <c r="R46" t="s">
        <v>780</v>
      </c>
      <c r="S46" t="s">
        <v>787</v>
      </c>
      <c r="T46">
        <v>49229.519743</v>
      </c>
      <c r="U46" s="2">
        <v>44491</v>
      </c>
      <c r="V46" t="s">
        <v>804</v>
      </c>
    </row>
    <row r="47" spans="1:22">
      <c r="A47" s="1" t="s">
        <v>67</v>
      </c>
      <c r="B47">
        <f>HYPERLINK("https://www.suredividend.com/sure-analysis-NWN/","Northwest Natural Holding Co")</f>
        <v>0</v>
      </c>
      <c r="C47">
        <v>45.57</v>
      </c>
      <c r="D47">
        <v>50.8</v>
      </c>
      <c r="E47">
        <v>0.8970472440944882</v>
      </c>
      <c r="F47">
        <v>0.04213298222514812</v>
      </c>
      <c r="G47">
        <v>0.02196715148589101</v>
      </c>
      <c r="H47">
        <v>0.016</v>
      </c>
      <c r="I47">
        <v>0.07461591852736693</v>
      </c>
      <c r="J47" t="s">
        <v>776</v>
      </c>
      <c r="K47" t="s">
        <v>776</v>
      </c>
      <c r="L47">
        <v>2.54</v>
      </c>
      <c r="M47">
        <v>1.92</v>
      </c>
      <c r="N47">
        <v>0.7559055118110236</v>
      </c>
      <c r="O47">
        <v>66</v>
      </c>
      <c r="P47">
        <v>0.02383625553960966</v>
      </c>
      <c r="Q47">
        <v>-0.009473195286086001</v>
      </c>
      <c r="R47" t="s">
        <v>780</v>
      </c>
      <c r="S47" t="s">
        <v>792</v>
      </c>
      <c r="T47">
        <v>1406.344304</v>
      </c>
      <c r="U47" s="2">
        <v>44509</v>
      </c>
      <c r="V47" t="s">
        <v>805</v>
      </c>
    </row>
    <row r="48" spans="1:22">
      <c r="A48" s="1" t="s">
        <v>68</v>
      </c>
      <c r="B48">
        <f>HYPERLINK("https://www.suredividend.com/sure-analysis-MATW/","Matthews International Corp.")</f>
        <v>0</v>
      </c>
      <c r="C48">
        <v>37.56</v>
      </c>
      <c r="D48">
        <v>42</v>
      </c>
      <c r="E48">
        <v>0.8942857142857144</v>
      </c>
      <c r="F48">
        <v>0.02342917997870074</v>
      </c>
      <c r="G48">
        <v>0.02259753464209391</v>
      </c>
      <c r="H48">
        <v>0.03</v>
      </c>
      <c r="I48">
        <v>0.07445777056822256</v>
      </c>
      <c r="J48" t="s">
        <v>776</v>
      </c>
      <c r="K48" t="s">
        <v>777</v>
      </c>
      <c r="L48">
        <v>3.25</v>
      </c>
      <c r="M48">
        <v>0.88</v>
      </c>
      <c r="N48">
        <v>0.2707692307692308</v>
      </c>
      <c r="O48">
        <v>28</v>
      </c>
      <c r="P48">
        <v>0.04941452284458392</v>
      </c>
      <c r="Q48">
        <v>0.351271654994471</v>
      </c>
      <c r="R48" t="s">
        <v>780</v>
      </c>
      <c r="S48" t="s">
        <v>787</v>
      </c>
      <c r="T48">
        <v>1153.694306</v>
      </c>
      <c r="U48" s="2">
        <v>44417</v>
      </c>
      <c r="V48" t="s">
        <v>801</v>
      </c>
    </row>
    <row r="49" spans="1:22">
      <c r="A49" s="1" t="s">
        <v>69</v>
      </c>
      <c r="B49">
        <f>HYPERLINK("https://www.suredividend.com/sure-analysis-BBY/","Best Buy Co. Inc.")</f>
        <v>0</v>
      </c>
      <c r="C49">
        <v>121.01</v>
      </c>
      <c r="D49">
        <v>116</v>
      </c>
      <c r="E49">
        <v>1.043189655172414</v>
      </c>
      <c r="F49">
        <v>0.02313858358813321</v>
      </c>
      <c r="G49">
        <v>-0.008420942687774047</v>
      </c>
      <c r="H49">
        <v>0.06</v>
      </c>
      <c r="I49">
        <v>0.07405537722784694</v>
      </c>
      <c r="J49" t="s">
        <v>776</v>
      </c>
      <c r="K49" t="s">
        <v>777</v>
      </c>
      <c r="L49">
        <v>9.69</v>
      </c>
      <c r="M49">
        <v>2.8</v>
      </c>
      <c r="N49">
        <v>0.2889576883384933</v>
      </c>
      <c r="O49">
        <v>18</v>
      </c>
      <c r="P49">
        <v>0.07978367728709435</v>
      </c>
      <c r="Q49">
        <v>0.186647634443737</v>
      </c>
      <c r="R49" t="s">
        <v>780</v>
      </c>
      <c r="S49" t="s">
        <v>789</v>
      </c>
      <c r="T49">
        <v>33943.06236</v>
      </c>
      <c r="U49" s="2">
        <v>44452</v>
      </c>
      <c r="V49" t="s">
        <v>802</v>
      </c>
    </row>
    <row r="50" spans="1:22">
      <c r="A50" s="1" t="s">
        <v>70</v>
      </c>
      <c r="B50">
        <f>HYPERLINK("https://www.suredividend.com/sure-analysis-SYY/","Sysco Corp.")</f>
        <v>0</v>
      </c>
      <c r="C50">
        <v>76.51000000000001</v>
      </c>
      <c r="D50">
        <v>69</v>
      </c>
      <c r="E50">
        <v>1.108840579710145</v>
      </c>
      <c r="F50">
        <v>0.02457195137890471</v>
      </c>
      <c r="G50">
        <v>-0.02045097257630091</v>
      </c>
      <c r="H50">
        <v>0.07000000000000001</v>
      </c>
      <c r="I50">
        <v>0.0727222596530539</v>
      </c>
      <c r="J50" t="s">
        <v>776</v>
      </c>
      <c r="K50" t="s">
        <v>777</v>
      </c>
      <c r="L50">
        <v>3.47</v>
      </c>
      <c r="M50">
        <v>1.88</v>
      </c>
      <c r="N50">
        <v>0.5417867435158501</v>
      </c>
      <c r="O50">
        <v>51</v>
      </c>
      <c r="P50">
        <v>0.07981721406627784</v>
      </c>
      <c r="Q50">
        <v>0.102288964386574</v>
      </c>
      <c r="R50" t="s">
        <v>780</v>
      </c>
      <c r="S50" t="s">
        <v>791</v>
      </c>
      <c r="T50">
        <v>38638.908572</v>
      </c>
      <c r="U50" s="2">
        <v>44513</v>
      </c>
      <c r="V50" t="s">
        <v>797</v>
      </c>
    </row>
    <row r="51" spans="1:22">
      <c r="A51" s="1" t="s">
        <v>71</v>
      </c>
      <c r="B51">
        <f>HYPERLINK("https://www.suredividend.com/sure-analysis-SEIC/","SEI Investments Co.")</f>
        <v>0</v>
      </c>
      <c r="C51">
        <v>63.98</v>
      </c>
      <c r="D51">
        <v>64</v>
      </c>
      <c r="E51">
        <v>0.9996875</v>
      </c>
      <c r="F51">
        <v>0.01156611441075336</v>
      </c>
      <c r="G51">
        <v>6.251172143634243e-05</v>
      </c>
      <c r="H51">
        <v>0.06</v>
      </c>
      <c r="I51">
        <v>0.07144390099801456</v>
      </c>
      <c r="J51" t="s">
        <v>776</v>
      </c>
      <c r="K51" t="s">
        <v>372</v>
      </c>
      <c r="L51">
        <v>3.75</v>
      </c>
      <c r="M51">
        <v>0.74</v>
      </c>
      <c r="N51">
        <v>0.1973333333333333</v>
      </c>
      <c r="O51">
        <v>30</v>
      </c>
      <c r="P51">
        <v>0.08053529061413389</v>
      </c>
      <c r="Q51">
        <v>0.180195954252505</v>
      </c>
      <c r="R51" t="s">
        <v>780</v>
      </c>
      <c r="S51" t="s">
        <v>790</v>
      </c>
      <c r="T51">
        <v>8835.710843999999</v>
      </c>
      <c r="U51" s="2">
        <v>44493</v>
      </c>
      <c r="V51" t="s">
        <v>798</v>
      </c>
    </row>
    <row r="52" spans="1:22">
      <c r="A52" s="1" t="s">
        <v>72</v>
      </c>
      <c r="B52">
        <f>HYPERLINK("https://www.suredividend.com/sure-analysis-WMT/","Walmart Inc")</f>
        <v>0</v>
      </c>
      <c r="C52">
        <v>145.81</v>
      </c>
      <c r="D52">
        <v>151</v>
      </c>
      <c r="E52">
        <v>0.9656291390728476</v>
      </c>
      <c r="F52">
        <v>0.01508812838625609</v>
      </c>
      <c r="G52">
        <v>0.007019609261169846</v>
      </c>
      <c r="H52">
        <v>0.05</v>
      </c>
      <c r="I52">
        <v>0.07102645040182831</v>
      </c>
      <c r="J52" t="s">
        <v>776</v>
      </c>
      <c r="K52" t="s">
        <v>777</v>
      </c>
      <c r="L52">
        <v>6.3</v>
      </c>
      <c r="M52">
        <v>2.2</v>
      </c>
      <c r="N52">
        <v>0.3492063492063492</v>
      </c>
      <c r="O52">
        <v>48</v>
      </c>
      <c r="P52">
        <v>0.05016303610438722</v>
      </c>
      <c r="Q52">
        <v>-0.021379194270221</v>
      </c>
      <c r="R52" t="s">
        <v>780</v>
      </c>
      <c r="S52" t="s">
        <v>791</v>
      </c>
      <c r="T52">
        <v>403718.7138</v>
      </c>
      <c r="U52" s="2">
        <v>44428</v>
      </c>
      <c r="V52" t="s">
        <v>798</v>
      </c>
    </row>
    <row r="53" spans="1:22">
      <c r="A53" s="1" t="s">
        <v>73</v>
      </c>
      <c r="B53">
        <f>HYPERLINK("https://www.suredividend.com/sure-analysis-SKM/","SK Telecom Co Ltd")</f>
        <v>0</v>
      </c>
      <c r="C53">
        <v>30.75</v>
      </c>
      <c r="D53">
        <v>30</v>
      </c>
      <c r="E53">
        <v>1.025</v>
      </c>
      <c r="F53">
        <v>0.03252032520325204</v>
      </c>
      <c r="G53">
        <v>-0.00492634806525849</v>
      </c>
      <c r="H53">
        <v>0.05</v>
      </c>
      <c r="I53">
        <v>0.07079263849247996</v>
      </c>
      <c r="J53" t="s">
        <v>776</v>
      </c>
      <c r="K53" t="s">
        <v>776</v>
      </c>
      <c r="L53">
        <v>11</v>
      </c>
      <c r="M53">
        <v>1</v>
      </c>
      <c r="N53">
        <v>0.09090909090909091</v>
      </c>
      <c r="O53">
        <v>0</v>
      </c>
      <c r="P53">
        <v>0</v>
      </c>
      <c r="Q53">
        <v>0.4142750806384911</v>
      </c>
      <c r="R53" t="s">
        <v>780</v>
      </c>
      <c r="S53" t="s">
        <v>784</v>
      </c>
      <c r="T53">
        <v>19962.100814</v>
      </c>
      <c r="U53" s="2">
        <v>44515</v>
      </c>
      <c r="V53" t="s">
        <v>801</v>
      </c>
    </row>
    <row r="54" spans="1:22">
      <c r="A54" s="1" t="s">
        <v>74</v>
      </c>
      <c r="B54">
        <f>HYPERLINK("https://www.suredividend.com/sure-analysis-WHR/","Whirlpool Corp.")</f>
        <v>0</v>
      </c>
      <c r="C54">
        <v>231.27</v>
      </c>
      <c r="D54">
        <v>289</v>
      </c>
      <c r="E54">
        <v>0.800242214532872</v>
      </c>
      <c r="F54">
        <v>0.02421412202187919</v>
      </c>
      <c r="G54">
        <v>0.04557624681704708</v>
      </c>
      <c r="H54">
        <v>0</v>
      </c>
      <c r="I54">
        <v>0.06745932273313127</v>
      </c>
      <c r="J54" t="s">
        <v>776</v>
      </c>
      <c r="K54" t="s">
        <v>777</v>
      </c>
      <c r="L54">
        <v>26.25</v>
      </c>
      <c r="M54">
        <v>5.6</v>
      </c>
      <c r="N54">
        <v>0.2133333333333333</v>
      </c>
      <c r="O54">
        <v>11</v>
      </c>
      <c r="P54">
        <v>0.03990057173719119</v>
      </c>
      <c r="Q54">
        <v>0.225325591675734</v>
      </c>
      <c r="R54" t="s">
        <v>780</v>
      </c>
      <c r="S54" t="s">
        <v>789</v>
      </c>
      <c r="T54">
        <v>14460.680017</v>
      </c>
      <c r="U54" s="2">
        <v>44494</v>
      </c>
      <c r="V54" t="s">
        <v>799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163.2</v>
      </c>
      <c r="D55">
        <v>170</v>
      </c>
      <c r="E55">
        <v>0.96</v>
      </c>
      <c r="F55">
        <v>0.01960784313725491</v>
      </c>
      <c r="G55">
        <v>0.008197818497166498</v>
      </c>
      <c r="H55">
        <v>0.04</v>
      </c>
      <c r="I55">
        <v>0.06669728128241115</v>
      </c>
      <c r="J55" t="s">
        <v>776</v>
      </c>
      <c r="K55" t="s">
        <v>777</v>
      </c>
      <c r="L55">
        <v>6.3</v>
      </c>
      <c r="M55">
        <v>3.2</v>
      </c>
      <c r="N55">
        <v>0.507936507936508</v>
      </c>
      <c r="O55">
        <v>59</v>
      </c>
      <c r="P55">
        <v>0.04978904632428516</v>
      </c>
      <c r="Q55">
        <v>-0.05128024264654001</v>
      </c>
      <c r="R55" t="s">
        <v>780</v>
      </c>
      <c r="S55" t="s">
        <v>791</v>
      </c>
      <c r="T55">
        <v>4443.342</v>
      </c>
      <c r="U55" s="2">
        <v>44444</v>
      </c>
      <c r="V55" t="s">
        <v>798</v>
      </c>
    </row>
    <row r="56" spans="1:22">
      <c r="A56" s="1" t="s">
        <v>76</v>
      </c>
      <c r="B56">
        <f>HYPERLINK("https://www.suredividend.com/sure-analysis-NFG/","National Fuel Gas Co.")</f>
        <v>0</v>
      </c>
      <c r="C56">
        <v>61.36</v>
      </c>
      <c r="D56">
        <v>71</v>
      </c>
      <c r="E56">
        <v>0.864225352112676</v>
      </c>
      <c r="F56">
        <v>0.02966101694915254</v>
      </c>
      <c r="G56">
        <v>0.02961438021132667</v>
      </c>
      <c r="H56">
        <v>0.01</v>
      </c>
      <c r="I56">
        <v>0.06561965878942733</v>
      </c>
      <c r="J56" t="s">
        <v>776</v>
      </c>
      <c r="K56" t="s">
        <v>776</v>
      </c>
      <c r="L56">
        <v>5.1</v>
      </c>
      <c r="M56">
        <v>1.82</v>
      </c>
      <c r="N56">
        <v>0.3568627450980393</v>
      </c>
      <c r="O56">
        <v>51</v>
      </c>
      <c r="P56">
        <v>0.02107112828035462</v>
      </c>
      <c r="Q56">
        <v>0.508703769491832</v>
      </c>
      <c r="R56" t="s">
        <v>780</v>
      </c>
      <c r="S56" t="s">
        <v>792</v>
      </c>
      <c r="T56">
        <v>5460.461631</v>
      </c>
      <c r="U56" s="2">
        <v>44524</v>
      </c>
      <c r="V56" t="s">
        <v>803</v>
      </c>
    </row>
    <row r="57" spans="1:22">
      <c r="A57" s="1" t="s">
        <v>77</v>
      </c>
      <c r="B57">
        <f>HYPERLINK("https://www.suredividend.com/sure-analysis-CPKF/","Chesapeake Financial Shares Inc")</f>
        <v>0</v>
      </c>
      <c r="C57">
        <v>29.9999</v>
      </c>
      <c r="D57">
        <v>38</v>
      </c>
      <c r="E57">
        <v>0.7894710526315789</v>
      </c>
      <c r="F57">
        <v>0.0186667288890963</v>
      </c>
      <c r="G57">
        <v>0.04841387022823351</v>
      </c>
      <c r="H57">
        <v>0</v>
      </c>
      <c r="I57">
        <v>0.06524978627968769</v>
      </c>
      <c r="J57" t="s">
        <v>776</v>
      </c>
      <c r="K57" t="s">
        <v>777</v>
      </c>
      <c r="L57">
        <v>3.6</v>
      </c>
      <c r="M57">
        <v>0.5600000000000001</v>
      </c>
      <c r="N57">
        <v>0.1555555555555556</v>
      </c>
      <c r="O57">
        <v>29</v>
      </c>
      <c r="P57">
        <v>0.03959498820755258</v>
      </c>
      <c r="Q57">
        <v>0.4878074182077861</v>
      </c>
      <c r="R57" t="s">
        <v>780</v>
      </c>
      <c r="S57" t="s">
        <v>790</v>
      </c>
      <c r="T57">
        <v>143.88972</v>
      </c>
      <c r="U57" s="2">
        <v>44507</v>
      </c>
      <c r="V57" t="s">
        <v>798</v>
      </c>
    </row>
    <row r="58" spans="1:22">
      <c r="A58" s="1" t="s">
        <v>78</v>
      </c>
      <c r="B58">
        <f>HYPERLINK("https://www.suredividend.com/sure-analysis-EXPD/","Expeditors International Of Washington, Inc.")</f>
        <v>0</v>
      </c>
      <c r="C58">
        <v>128.7</v>
      </c>
      <c r="D58">
        <v>138</v>
      </c>
      <c r="E58">
        <v>0.9326086956521739</v>
      </c>
      <c r="F58">
        <v>0.009013209013209013</v>
      </c>
      <c r="G58">
        <v>0.01405172438641378</v>
      </c>
      <c r="H58">
        <v>0.04</v>
      </c>
      <c r="I58">
        <v>0.06269301953690287</v>
      </c>
      <c r="J58" t="s">
        <v>776</v>
      </c>
      <c r="K58" t="s">
        <v>372</v>
      </c>
      <c r="L58">
        <v>7.67</v>
      </c>
      <c r="M58">
        <v>1.16</v>
      </c>
      <c r="N58">
        <v>0.151238591916558</v>
      </c>
      <c r="O58">
        <v>27</v>
      </c>
      <c r="P58">
        <v>0.03980577390781126</v>
      </c>
      <c r="Q58">
        <v>0.476842362266422</v>
      </c>
      <c r="R58" t="s">
        <v>780</v>
      </c>
      <c r="S58" t="s">
        <v>787</v>
      </c>
      <c r="T58">
        <v>22030.967051</v>
      </c>
      <c r="U58" s="2">
        <v>44513</v>
      </c>
      <c r="V58" t="s">
        <v>797</v>
      </c>
    </row>
    <row r="59" spans="1:22">
      <c r="A59" s="1" t="s">
        <v>79</v>
      </c>
      <c r="B59">
        <f>HYPERLINK("https://www.suredividend.com/sure-analysis-EBTC/","Enterprise Bancorp, Inc.")</f>
        <v>0</v>
      </c>
      <c r="C59">
        <v>41.96</v>
      </c>
      <c r="D59">
        <v>41</v>
      </c>
      <c r="E59">
        <v>1.023414634146341</v>
      </c>
      <c r="F59">
        <v>0.01763584366062917</v>
      </c>
      <c r="G59">
        <v>-0.004618246318126573</v>
      </c>
      <c r="H59">
        <v>0.05</v>
      </c>
      <c r="I59">
        <v>0.06234673676788782</v>
      </c>
      <c r="J59" t="s">
        <v>776</v>
      </c>
      <c r="K59" t="s">
        <v>777</v>
      </c>
      <c r="L59">
        <v>3.4</v>
      </c>
      <c r="M59">
        <v>0.74</v>
      </c>
      <c r="N59">
        <v>0.2176470588235294</v>
      </c>
      <c r="O59">
        <v>27</v>
      </c>
      <c r="P59">
        <v>0.06207125806326297</v>
      </c>
      <c r="Q59">
        <v>0.602380905453613</v>
      </c>
      <c r="R59" t="s">
        <v>780</v>
      </c>
      <c r="S59" t="s">
        <v>790</v>
      </c>
      <c r="T59">
        <v>488.90507</v>
      </c>
      <c r="U59" s="2">
        <v>44494</v>
      </c>
      <c r="V59" t="s">
        <v>803</v>
      </c>
    </row>
    <row r="60" spans="1:22">
      <c r="A60" s="1" t="s">
        <v>80</v>
      </c>
      <c r="B60">
        <f>HYPERLINK("https://www.suredividend.com/sure-analysis-QCOM/","Qualcomm, Inc.")</f>
        <v>0</v>
      </c>
      <c r="C60">
        <v>180.94</v>
      </c>
      <c r="D60">
        <v>162</v>
      </c>
      <c r="E60">
        <v>1.116913580246914</v>
      </c>
      <c r="F60">
        <v>0.01503260749419697</v>
      </c>
      <c r="G60">
        <v>-0.02187111157314447</v>
      </c>
      <c r="H60">
        <v>0.07000000000000001</v>
      </c>
      <c r="I60">
        <v>0.06156972708228525</v>
      </c>
      <c r="J60" t="s">
        <v>776</v>
      </c>
      <c r="K60" t="s">
        <v>372</v>
      </c>
      <c r="L60">
        <v>10.14</v>
      </c>
      <c r="M60">
        <v>2.72</v>
      </c>
      <c r="N60">
        <v>0.2682445759368836</v>
      </c>
      <c r="O60">
        <v>19</v>
      </c>
      <c r="P60">
        <v>0.06972270615977982</v>
      </c>
      <c r="Q60">
        <v>0.265781271042567</v>
      </c>
      <c r="R60" t="s">
        <v>780</v>
      </c>
      <c r="S60" t="s">
        <v>786</v>
      </c>
      <c r="T60">
        <v>203168</v>
      </c>
      <c r="U60" s="2">
        <v>44505</v>
      </c>
      <c r="V60" t="s">
        <v>796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77.93000000000001</v>
      </c>
      <c r="D61">
        <v>74</v>
      </c>
      <c r="E61">
        <v>1.053108108108108</v>
      </c>
      <c r="F61">
        <v>0.02309765173873989</v>
      </c>
      <c r="G61">
        <v>-0.01029581044333794</v>
      </c>
      <c r="H61">
        <v>0.05</v>
      </c>
      <c r="I61">
        <v>0.06123297505141423</v>
      </c>
      <c r="J61" t="s">
        <v>776</v>
      </c>
      <c r="K61" t="s">
        <v>777</v>
      </c>
      <c r="L61">
        <v>3.2</v>
      </c>
      <c r="M61">
        <v>1.8</v>
      </c>
      <c r="N61">
        <v>0.5625</v>
      </c>
      <c r="O61">
        <v>58</v>
      </c>
      <c r="P61">
        <v>0.05024607263868264</v>
      </c>
      <c r="Q61">
        <v>-0.06843563005508101</v>
      </c>
      <c r="R61" t="s">
        <v>780</v>
      </c>
      <c r="S61" t="s">
        <v>791</v>
      </c>
      <c r="T61">
        <v>65371.344474</v>
      </c>
      <c r="U61" s="2">
        <v>44519</v>
      </c>
      <c r="V61" t="s">
        <v>798</v>
      </c>
    </row>
    <row r="62" spans="1:22">
      <c r="A62" s="1" t="s">
        <v>82</v>
      </c>
      <c r="B62">
        <f>HYPERLINK("https://www.suredividend.com/sure-analysis-LOW/","Lowe`s Cos., Inc.")</f>
        <v>0</v>
      </c>
      <c r="C62">
        <v>251.91</v>
      </c>
      <c r="D62">
        <v>226.94</v>
      </c>
      <c r="E62">
        <v>1.110029082576893</v>
      </c>
      <c r="F62">
        <v>0.01270294946607916</v>
      </c>
      <c r="G62">
        <v>-0.0206608221678205</v>
      </c>
      <c r="H62">
        <v>0.07000000000000001</v>
      </c>
      <c r="I62">
        <v>0.06055173759072896</v>
      </c>
      <c r="J62" t="s">
        <v>776</v>
      </c>
      <c r="K62" t="s">
        <v>777</v>
      </c>
      <c r="L62">
        <v>11.33</v>
      </c>
      <c r="M62">
        <v>3.2</v>
      </c>
      <c r="N62">
        <v>0.2824360105913504</v>
      </c>
      <c r="O62">
        <v>59</v>
      </c>
      <c r="P62">
        <v>0.07008745458377241</v>
      </c>
      <c r="Q62">
        <v>0.7012512472022221</v>
      </c>
      <c r="R62" t="s">
        <v>780</v>
      </c>
      <c r="S62" t="s">
        <v>789</v>
      </c>
      <c r="T62">
        <v>174735.389322</v>
      </c>
      <c r="U62" s="2">
        <v>44434</v>
      </c>
      <c r="V62" t="s">
        <v>801</v>
      </c>
    </row>
    <row r="63" spans="1:22">
      <c r="A63" s="1" t="s">
        <v>83</v>
      </c>
      <c r="B63">
        <f>HYPERLINK("https://www.suredividend.com/sure-analysis-BEN/","Franklin Resources, Inc.")</f>
        <v>0</v>
      </c>
      <c r="C63">
        <v>34.69</v>
      </c>
      <c r="D63">
        <v>33</v>
      </c>
      <c r="E63">
        <v>1.051212121212121</v>
      </c>
      <c r="F63">
        <v>0.03228596137215337</v>
      </c>
      <c r="G63">
        <v>-0.009939057733378442</v>
      </c>
      <c r="H63">
        <v>0.04</v>
      </c>
      <c r="I63">
        <v>0.06012726011397929</v>
      </c>
      <c r="J63" t="s">
        <v>776</v>
      </c>
      <c r="K63" t="s">
        <v>776</v>
      </c>
      <c r="L63">
        <v>3.3</v>
      </c>
      <c r="M63">
        <v>1.12</v>
      </c>
      <c r="N63">
        <v>0.3393939393939395</v>
      </c>
      <c r="O63">
        <v>41</v>
      </c>
      <c r="P63">
        <v>0.03959498820755258</v>
      </c>
      <c r="Q63">
        <v>0.7412106713502711</v>
      </c>
      <c r="R63" t="s">
        <v>780</v>
      </c>
      <c r="S63" t="s">
        <v>790</v>
      </c>
      <c r="T63">
        <v>17348.469348</v>
      </c>
      <c r="U63" s="2">
        <v>44507</v>
      </c>
      <c r="V63" t="s">
        <v>799</v>
      </c>
    </row>
    <row r="64" spans="1:22">
      <c r="A64" s="1" t="s">
        <v>84</v>
      </c>
      <c r="B64">
        <f>HYPERLINK("https://www.suredividend.com/sure-analysis-FFMR/","First Farmers Financial Corp")</f>
        <v>0</v>
      </c>
      <c r="C64">
        <v>49.05</v>
      </c>
      <c r="D64">
        <v>45</v>
      </c>
      <c r="E64">
        <v>1.09</v>
      </c>
      <c r="F64">
        <v>0.02691131498470948</v>
      </c>
      <c r="G64">
        <v>-0.01708785701980797</v>
      </c>
      <c r="H64">
        <v>0.05</v>
      </c>
      <c r="I64">
        <v>0.05971331944055458</v>
      </c>
      <c r="J64" t="s">
        <v>776</v>
      </c>
      <c r="K64" t="s">
        <v>776</v>
      </c>
      <c r="L64">
        <v>4.5</v>
      </c>
      <c r="M64">
        <v>1.32</v>
      </c>
      <c r="N64">
        <v>0.2933333333333333</v>
      </c>
      <c r="O64">
        <v>30</v>
      </c>
      <c r="P64">
        <v>0.0698417929634616</v>
      </c>
      <c r="Q64">
        <v>0.15938808891242</v>
      </c>
      <c r="R64" t="s">
        <v>780</v>
      </c>
      <c r="S64" t="s">
        <v>790</v>
      </c>
      <c r="T64">
        <v>345.184519</v>
      </c>
      <c r="U64" s="2">
        <v>44253</v>
      </c>
      <c r="V64" t="s">
        <v>798</v>
      </c>
    </row>
    <row r="65" spans="1:22">
      <c r="A65" s="1" t="s">
        <v>85</v>
      </c>
      <c r="B65">
        <f>HYPERLINK("https://www.suredividend.com/sure-analysis-ADP/","Automatic Data Processing Inc.")</f>
        <v>0</v>
      </c>
      <c r="C65">
        <v>236.14</v>
      </c>
      <c r="D65">
        <v>196</v>
      </c>
      <c r="E65">
        <v>1.204795918367347</v>
      </c>
      <c r="F65">
        <v>0.01761666807825866</v>
      </c>
      <c r="G65">
        <v>-0.03657635138397519</v>
      </c>
      <c r="H65">
        <v>0.08</v>
      </c>
      <c r="I65">
        <v>0.05887770563302652</v>
      </c>
      <c r="J65" t="s">
        <v>776</v>
      </c>
      <c r="K65" t="s">
        <v>372</v>
      </c>
      <c r="L65">
        <v>6.75</v>
      </c>
      <c r="M65">
        <v>4.16</v>
      </c>
      <c r="N65">
        <v>0.6162962962962963</v>
      </c>
      <c r="O65">
        <v>47</v>
      </c>
      <c r="P65">
        <v>0.0799150058822331</v>
      </c>
      <c r="Q65">
        <v>0.410285040509517</v>
      </c>
      <c r="R65" t="s">
        <v>780</v>
      </c>
      <c r="S65" t="s">
        <v>787</v>
      </c>
      <c r="T65">
        <v>99792.16882599999</v>
      </c>
      <c r="U65" s="2">
        <v>44512</v>
      </c>
      <c r="V65" t="s">
        <v>798</v>
      </c>
    </row>
    <row r="66" spans="1:22">
      <c r="A66" s="1" t="s">
        <v>86</v>
      </c>
      <c r="B66">
        <f>HYPERLINK("https://www.suredividend.com/sure-analysis-AIZ/","Assurant Inc")</f>
        <v>0</v>
      </c>
      <c r="C66">
        <v>164.7</v>
      </c>
      <c r="D66">
        <v>138</v>
      </c>
      <c r="E66">
        <v>1.193478260869565</v>
      </c>
      <c r="F66">
        <v>0.01651487553126898</v>
      </c>
      <c r="G66">
        <v>-0.03475602948043466</v>
      </c>
      <c r="H66">
        <v>0.08</v>
      </c>
      <c r="I66">
        <v>0.05866393928444857</v>
      </c>
      <c r="J66" t="s">
        <v>776</v>
      </c>
      <c r="K66" t="s">
        <v>777</v>
      </c>
      <c r="L66">
        <v>10</v>
      </c>
      <c r="M66">
        <v>2.72</v>
      </c>
      <c r="N66">
        <v>0.272</v>
      </c>
      <c r="O66">
        <v>17</v>
      </c>
      <c r="P66">
        <v>0.06000153927394081</v>
      </c>
      <c r="Q66">
        <v>0.236469725265117</v>
      </c>
      <c r="R66" t="s">
        <v>780</v>
      </c>
      <c r="S66" t="s">
        <v>790</v>
      </c>
      <c r="T66">
        <v>9306.575648</v>
      </c>
      <c r="U66" s="2">
        <v>44512</v>
      </c>
      <c r="V66" t="s">
        <v>803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225.14</v>
      </c>
      <c r="D67">
        <v>178</v>
      </c>
      <c r="E67">
        <v>1.264831460674157</v>
      </c>
      <c r="F67">
        <v>0.007195522785822156</v>
      </c>
      <c r="G67">
        <v>-0.04590093969508668</v>
      </c>
      <c r="H67">
        <v>0.1</v>
      </c>
      <c r="I67">
        <v>0.05713020773203681</v>
      </c>
      <c r="J67" t="s">
        <v>776</v>
      </c>
      <c r="K67" t="s">
        <v>372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0.083163839316316</v>
      </c>
      <c r="R67" t="s">
        <v>780</v>
      </c>
      <c r="S67" t="s">
        <v>791</v>
      </c>
      <c r="T67">
        <v>52718.776859</v>
      </c>
      <c r="U67" s="2">
        <v>44439</v>
      </c>
      <c r="V67" t="s">
        <v>802</v>
      </c>
    </row>
    <row r="68" spans="1:22">
      <c r="A68" s="1" t="s">
        <v>88</v>
      </c>
      <c r="B68">
        <f>HYPERLINK("https://www.suredividend.com/sure-analysis-RNR/","RenaissanceRe Holdings Ltd")</f>
        <v>0</v>
      </c>
      <c r="C68">
        <v>167.38</v>
      </c>
      <c r="D68">
        <v>167</v>
      </c>
      <c r="E68">
        <v>1.002275449101796</v>
      </c>
      <c r="F68">
        <v>0.008603178396463138</v>
      </c>
      <c r="G68">
        <v>-0.0004544695350157113</v>
      </c>
      <c r="H68">
        <v>0.05</v>
      </c>
      <c r="I68">
        <v>0.05708444724738637</v>
      </c>
      <c r="J68" t="s">
        <v>776</v>
      </c>
      <c r="K68" t="s">
        <v>372</v>
      </c>
      <c r="L68">
        <v>11</v>
      </c>
      <c r="M68">
        <v>1.44</v>
      </c>
      <c r="N68">
        <v>0.1309090909090909</v>
      </c>
      <c r="O68">
        <v>26</v>
      </c>
      <c r="P68">
        <v>0.02635185407071083</v>
      </c>
      <c r="Q68">
        <v>-0.036088249662179</v>
      </c>
      <c r="R68" t="s">
        <v>780</v>
      </c>
      <c r="S68" t="s">
        <v>790</v>
      </c>
      <c r="T68">
        <v>7609.387489</v>
      </c>
      <c r="U68" s="2">
        <v>44495</v>
      </c>
      <c r="V68" t="s">
        <v>795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62.47</v>
      </c>
      <c r="D69">
        <v>56</v>
      </c>
      <c r="E69">
        <v>1.115535714285714</v>
      </c>
      <c r="F69">
        <v>0.02881383063870658</v>
      </c>
      <c r="G69">
        <v>-0.02162960157731353</v>
      </c>
      <c r="H69">
        <v>0.05</v>
      </c>
      <c r="I69">
        <v>0.05571489719278788</v>
      </c>
      <c r="J69" t="s">
        <v>776</v>
      </c>
      <c r="K69" t="s">
        <v>776</v>
      </c>
      <c r="L69">
        <v>3.52</v>
      </c>
      <c r="M69">
        <v>1.8</v>
      </c>
      <c r="N69">
        <v>0.5113636363636364</v>
      </c>
      <c r="O69">
        <v>38</v>
      </c>
      <c r="P69">
        <v>0.05024607263868264</v>
      </c>
      <c r="Q69">
        <v>0.120309120008029</v>
      </c>
      <c r="R69" t="s">
        <v>780</v>
      </c>
      <c r="S69" t="s">
        <v>789</v>
      </c>
      <c r="T69">
        <v>6146.377513</v>
      </c>
      <c r="U69" s="2">
        <v>44491</v>
      </c>
      <c r="V69" t="s">
        <v>796</v>
      </c>
    </row>
    <row r="70" spans="1:22">
      <c r="A70" s="1" t="s">
        <v>90</v>
      </c>
      <c r="B70">
        <f>HYPERLINK("https://www.suredividend.com/sure-analysis-TRV/","Travelers Companies Inc.")</f>
        <v>0</v>
      </c>
      <c r="C70">
        <v>160.26</v>
      </c>
      <c r="D70">
        <v>147</v>
      </c>
      <c r="E70">
        <v>1.090204081632653</v>
      </c>
      <c r="F70">
        <v>0.02196430799950081</v>
      </c>
      <c r="G70">
        <v>-0.01712465918192185</v>
      </c>
      <c r="H70">
        <v>0.05</v>
      </c>
      <c r="I70">
        <v>0.05482653550327465</v>
      </c>
      <c r="J70" t="s">
        <v>776</v>
      </c>
      <c r="K70" t="s">
        <v>777</v>
      </c>
      <c r="L70">
        <v>12.25</v>
      </c>
      <c r="M70">
        <v>3.52</v>
      </c>
      <c r="N70">
        <v>0.2873469387755102</v>
      </c>
      <c r="O70">
        <v>16</v>
      </c>
      <c r="P70">
        <v>0.0701307832252307</v>
      </c>
      <c r="Q70">
        <v>0.19293773560083</v>
      </c>
      <c r="R70" t="s">
        <v>780</v>
      </c>
      <c r="S70" t="s">
        <v>790</v>
      </c>
      <c r="T70">
        <v>38591.38273</v>
      </c>
      <c r="U70" s="2">
        <v>44492</v>
      </c>
      <c r="V70" t="s">
        <v>798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303.97</v>
      </c>
      <c r="D71">
        <v>250</v>
      </c>
      <c r="E71">
        <v>1.21588</v>
      </c>
      <c r="F71">
        <v>0.01486988847583643</v>
      </c>
      <c r="G71">
        <v>-0.03833932467564372</v>
      </c>
      <c r="H71">
        <v>0.08</v>
      </c>
      <c r="I71">
        <v>0.05430336026468541</v>
      </c>
      <c r="J71" t="s">
        <v>776</v>
      </c>
      <c r="K71" t="s">
        <v>777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0.704815817540405</v>
      </c>
      <c r="R71" t="s">
        <v>780</v>
      </c>
      <c r="S71" t="s">
        <v>790</v>
      </c>
      <c r="T71">
        <v>33713.52076</v>
      </c>
      <c r="U71" s="2">
        <v>44496</v>
      </c>
      <c r="V71" t="s">
        <v>796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44.65</v>
      </c>
      <c r="D72">
        <v>47</v>
      </c>
      <c r="E72">
        <v>0.95</v>
      </c>
      <c r="F72">
        <v>0.0309070548712206</v>
      </c>
      <c r="G72">
        <v>0.01031145931793609</v>
      </c>
      <c r="H72">
        <v>0.016</v>
      </c>
      <c r="I72">
        <v>0.05421237862629513</v>
      </c>
      <c r="J72" t="s">
        <v>776</v>
      </c>
      <c r="K72" t="s">
        <v>776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0.286705957889099</v>
      </c>
      <c r="R72" t="s">
        <v>780</v>
      </c>
      <c r="S72" t="s">
        <v>792</v>
      </c>
      <c r="T72">
        <v>9350.117550000001</v>
      </c>
      <c r="U72" s="2">
        <v>44420</v>
      </c>
      <c r="V72" t="s">
        <v>805</v>
      </c>
    </row>
    <row r="73" spans="1:22">
      <c r="A73" s="1" t="s">
        <v>93</v>
      </c>
      <c r="B73">
        <f>HYPERLINK("https://www.suredividend.com/sure-analysis-MCK/","Mckesson Corporation")</f>
        <v>0</v>
      </c>
      <c r="C73">
        <v>226.45</v>
      </c>
      <c r="D73">
        <v>244</v>
      </c>
      <c r="E73">
        <v>0.9280737704918033</v>
      </c>
      <c r="F73">
        <v>0.008302053433429013</v>
      </c>
      <c r="G73">
        <v>0.01504080236300465</v>
      </c>
      <c r="H73">
        <v>0.03</v>
      </c>
      <c r="I73">
        <v>0.05391323485907873</v>
      </c>
      <c r="J73" t="s">
        <v>776</v>
      </c>
      <c r="K73" t="s">
        <v>372</v>
      </c>
      <c r="L73">
        <v>20.3</v>
      </c>
      <c r="M73">
        <v>1.88</v>
      </c>
      <c r="N73">
        <v>0.09261083743842363</v>
      </c>
      <c r="O73">
        <v>14</v>
      </c>
      <c r="P73">
        <v>0.0702598056972048</v>
      </c>
      <c r="Q73">
        <v>0.319534481877569</v>
      </c>
      <c r="R73" t="s">
        <v>780</v>
      </c>
      <c r="S73" t="s">
        <v>785</v>
      </c>
      <c r="T73">
        <v>33906.128604</v>
      </c>
      <c r="U73" s="2">
        <v>44428</v>
      </c>
      <c r="V73" t="s">
        <v>798</v>
      </c>
    </row>
    <row r="74" spans="1:22">
      <c r="A74" s="1" t="s">
        <v>94</v>
      </c>
      <c r="B74">
        <f>HYPERLINK("https://www.suredividend.com/sure-analysis-GD/","General Dynamics Corp.")</f>
        <v>0</v>
      </c>
      <c r="C74">
        <v>200.29</v>
      </c>
      <c r="D74">
        <v>173</v>
      </c>
      <c r="E74">
        <v>1.157745664739884</v>
      </c>
      <c r="F74">
        <v>0.02376553996704778</v>
      </c>
      <c r="G74">
        <v>-0.02887000709512244</v>
      </c>
      <c r="H74">
        <v>0.06</v>
      </c>
      <c r="I74">
        <v>0.05353266498750586</v>
      </c>
      <c r="J74" t="s">
        <v>776</v>
      </c>
      <c r="K74" t="s">
        <v>777</v>
      </c>
      <c r="L74">
        <v>11.5</v>
      </c>
      <c r="M74">
        <v>4.76</v>
      </c>
      <c r="N74">
        <v>0.4139130434782609</v>
      </c>
      <c r="O74">
        <v>30</v>
      </c>
      <c r="P74">
        <v>0.06000153927394081</v>
      </c>
      <c r="Q74">
        <v>0.3791843884296831</v>
      </c>
      <c r="R74" t="s">
        <v>780</v>
      </c>
      <c r="S74" t="s">
        <v>787</v>
      </c>
      <c r="T74">
        <v>55665.863389</v>
      </c>
      <c r="U74" s="2">
        <v>44508</v>
      </c>
      <c r="V74" t="s">
        <v>802</v>
      </c>
    </row>
    <row r="75" spans="1:22">
      <c r="A75" s="1" t="s">
        <v>95</v>
      </c>
      <c r="B75">
        <f>HYPERLINK("https://www.suredividend.com/sure-analysis-MKC/","McCormick &amp; Co., Inc.")</f>
        <v>0</v>
      </c>
      <c r="C75">
        <v>85.41</v>
      </c>
      <c r="D75">
        <v>69</v>
      </c>
      <c r="E75">
        <v>1.237826086956522</v>
      </c>
      <c r="F75">
        <v>0.01592319400538579</v>
      </c>
      <c r="G75">
        <v>-0.04177372822876102</v>
      </c>
      <c r="H75">
        <v>0.08</v>
      </c>
      <c r="I75">
        <v>0.05238063790829917</v>
      </c>
      <c r="J75" t="s">
        <v>776</v>
      </c>
      <c r="K75" t="s">
        <v>372</v>
      </c>
      <c r="L75">
        <v>3</v>
      </c>
      <c r="M75">
        <v>1.36</v>
      </c>
      <c r="N75">
        <v>0.4533333333333334</v>
      </c>
      <c r="O75">
        <v>34</v>
      </c>
      <c r="P75">
        <v>0.08973644480326026</v>
      </c>
      <c r="Q75">
        <v>-0.05908861349597901</v>
      </c>
      <c r="R75" t="s">
        <v>780</v>
      </c>
      <c r="S75" t="s">
        <v>791</v>
      </c>
      <c r="T75">
        <v>22610.787548</v>
      </c>
      <c r="U75" s="2">
        <v>44470</v>
      </c>
      <c r="V75" t="s">
        <v>796</v>
      </c>
    </row>
    <row r="76" spans="1:22">
      <c r="A76" s="1" t="s">
        <v>96</v>
      </c>
      <c r="B76">
        <f>HYPERLINK("https://www.suredividend.com/sure-analysis-JKHY/","Jack Henry &amp; Associates, Inc.")</f>
        <v>0</v>
      </c>
      <c r="C76">
        <v>153.04</v>
      </c>
      <c r="D76">
        <v>117</v>
      </c>
      <c r="E76">
        <v>1.308034188034188</v>
      </c>
      <c r="F76">
        <v>0.01202300052273915</v>
      </c>
      <c r="G76">
        <v>-0.05228843378244796</v>
      </c>
      <c r="H76">
        <v>0.095</v>
      </c>
      <c r="I76">
        <v>0.0509271433276921</v>
      </c>
      <c r="J76" t="s">
        <v>776</v>
      </c>
      <c r="K76" t="s">
        <v>372</v>
      </c>
      <c r="L76">
        <v>4.68</v>
      </c>
      <c r="M76">
        <v>1.84</v>
      </c>
      <c r="N76">
        <v>0.3931623931623932</v>
      </c>
      <c r="O76">
        <v>31</v>
      </c>
      <c r="P76">
        <v>0.08991774272866437</v>
      </c>
      <c r="Q76">
        <v>-0.032666299553907</v>
      </c>
      <c r="R76" t="s">
        <v>780</v>
      </c>
      <c r="S76" t="s">
        <v>786</v>
      </c>
      <c r="T76">
        <v>11341.605282</v>
      </c>
      <c r="U76" s="2">
        <v>44512</v>
      </c>
      <c r="V76" t="s">
        <v>800</v>
      </c>
    </row>
    <row r="77" spans="1:22">
      <c r="A77" s="1" t="s">
        <v>97</v>
      </c>
      <c r="B77">
        <f>HYPERLINK("https://www.suredividend.com/sure-analysis-MDT/","Medtronic Plc")</f>
        <v>0</v>
      </c>
      <c r="C77">
        <v>113.38</v>
      </c>
      <c r="D77">
        <v>97</v>
      </c>
      <c r="E77">
        <v>1.168865979381443</v>
      </c>
      <c r="F77">
        <v>0.02046216263891339</v>
      </c>
      <c r="G77">
        <v>-0.03072489963529457</v>
      </c>
      <c r="H77">
        <v>0.06</v>
      </c>
      <c r="I77">
        <v>0.05054005063011902</v>
      </c>
      <c r="J77" t="s">
        <v>776</v>
      </c>
      <c r="K77" t="s">
        <v>777</v>
      </c>
      <c r="L77">
        <v>5.7</v>
      </c>
      <c r="M77">
        <v>2.32</v>
      </c>
      <c r="N77">
        <v>0.4070175438596491</v>
      </c>
      <c r="O77">
        <v>44</v>
      </c>
      <c r="P77">
        <v>0.0930602902721327</v>
      </c>
      <c r="Q77">
        <v>0.082451123474807</v>
      </c>
      <c r="R77" t="s">
        <v>780</v>
      </c>
      <c r="S77" t="s">
        <v>785</v>
      </c>
      <c r="T77">
        <v>157088.9596</v>
      </c>
      <c r="U77" s="2">
        <v>44432</v>
      </c>
      <c r="V77" t="s">
        <v>799</v>
      </c>
    </row>
    <row r="78" spans="1:22">
      <c r="A78" s="1" t="s">
        <v>98</v>
      </c>
      <c r="B78">
        <f>HYPERLINK("https://www.suredividend.com/sure-analysis-ORCL/","Oracle Corp.")</f>
        <v>0</v>
      </c>
      <c r="C78">
        <v>92.94</v>
      </c>
      <c r="D78">
        <v>75</v>
      </c>
      <c r="E78">
        <v>1.2392</v>
      </c>
      <c r="F78">
        <v>0.01377232623197762</v>
      </c>
      <c r="G78">
        <v>-0.04198630147235172</v>
      </c>
      <c r="H78">
        <v>0.08</v>
      </c>
      <c r="I78">
        <v>0.04906218944199892</v>
      </c>
      <c r="J78" t="s">
        <v>776</v>
      </c>
      <c r="K78" t="s">
        <v>372</v>
      </c>
      <c r="L78">
        <v>4.7</v>
      </c>
      <c r="M78">
        <v>1.28</v>
      </c>
      <c r="N78">
        <v>0.2723404255319149</v>
      </c>
      <c r="O78">
        <v>12</v>
      </c>
      <c r="P78">
        <v>0.07056368416916192</v>
      </c>
      <c r="Q78">
        <v>0.7247351188957031</v>
      </c>
      <c r="R78" t="s">
        <v>780</v>
      </c>
      <c r="S78" t="s">
        <v>786</v>
      </c>
      <c r="T78">
        <v>259059.11519</v>
      </c>
      <c r="U78" s="2">
        <v>44476</v>
      </c>
      <c r="V78" t="s">
        <v>800</v>
      </c>
    </row>
    <row r="79" spans="1:22">
      <c r="A79" s="1" t="s">
        <v>99</v>
      </c>
      <c r="B79">
        <f>HYPERLINK("https://www.suredividend.com/sure-analysis-VFC/","VF Corp.")</f>
        <v>0</v>
      </c>
      <c r="C79">
        <v>76.26000000000001</v>
      </c>
      <c r="D79">
        <v>61</v>
      </c>
      <c r="E79">
        <v>1.25016393442623</v>
      </c>
      <c r="F79">
        <v>0.02622606871230002</v>
      </c>
      <c r="G79">
        <v>-0.04367258289201048</v>
      </c>
      <c r="H79">
        <v>0.07000000000000001</v>
      </c>
      <c r="I79">
        <v>0.04882019354559874</v>
      </c>
      <c r="J79" t="s">
        <v>776</v>
      </c>
      <c r="K79" t="s">
        <v>777</v>
      </c>
      <c r="L79">
        <v>3.2</v>
      </c>
      <c r="M79">
        <v>2</v>
      </c>
      <c r="N79">
        <v>0.625</v>
      </c>
      <c r="O79">
        <v>49</v>
      </c>
      <c r="P79">
        <v>0.03886011825408464</v>
      </c>
      <c r="Q79">
        <v>-0.07918968692449301</v>
      </c>
      <c r="R79" t="s">
        <v>780</v>
      </c>
      <c r="S79" t="s">
        <v>789</v>
      </c>
      <c r="T79">
        <v>29949.648393</v>
      </c>
      <c r="U79" s="2">
        <v>44493</v>
      </c>
      <c r="V79" t="s">
        <v>799</v>
      </c>
    </row>
    <row r="80" spans="1:22">
      <c r="A80" s="1" t="s">
        <v>100</v>
      </c>
      <c r="B80">
        <f>HYPERLINK("https://www.suredividend.com/sure-analysis-PPG/","PPG Industries, Inc.")</f>
        <v>0</v>
      </c>
      <c r="C80">
        <v>160.43</v>
      </c>
      <c r="D80">
        <v>127</v>
      </c>
      <c r="E80">
        <v>1.263228346456693</v>
      </c>
      <c r="F80">
        <v>0.01471046562363647</v>
      </c>
      <c r="G80">
        <v>-0.04565890048870114</v>
      </c>
      <c r="H80">
        <v>0.08</v>
      </c>
      <c r="I80">
        <v>0.04670778373078566</v>
      </c>
      <c r="J80" t="s">
        <v>776</v>
      </c>
      <c r="K80" t="s">
        <v>777</v>
      </c>
      <c r="L80">
        <v>6.7</v>
      </c>
      <c r="M80">
        <v>2.36</v>
      </c>
      <c r="N80">
        <v>0.3522388059701492</v>
      </c>
      <c r="O80">
        <v>50</v>
      </c>
      <c r="P80">
        <v>0.08014856837381279</v>
      </c>
      <c r="Q80">
        <v>0.143714145919459</v>
      </c>
      <c r="R80" t="s">
        <v>780</v>
      </c>
      <c r="S80" t="s">
        <v>788</v>
      </c>
      <c r="T80">
        <v>38290.38358</v>
      </c>
      <c r="U80" s="2">
        <v>44490</v>
      </c>
      <c r="V80" t="s">
        <v>796</v>
      </c>
    </row>
    <row r="81" spans="1:22">
      <c r="A81" s="1" t="s">
        <v>101</v>
      </c>
      <c r="B81">
        <f>HYPERLINK("https://www.suredividend.com/sure-analysis-FMCB/","Farmers &amp; Merchants Bancorp")</f>
        <v>0</v>
      </c>
      <c r="C81">
        <v>1100</v>
      </c>
      <c r="D81">
        <v>1008</v>
      </c>
      <c r="E81">
        <v>1.091269841269841</v>
      </c>
      <c r="F81">
        <v>0.01390909090909091</v>
      </c>
      <c r="G81">
        <v>-0.01731671402951485</v>
      </c>
      <c r="H81">
        <v>0.05</v>
      </c>
      <c r="I81">
        <v>0.04568049671895746</v>
      </c>
      <c r="J81" t="s">
        <v>776</v>
      </c>
      <c r="K81" t="s">
        <v>777</v>
      </c>
      <c r="L81">
        <v>84</v>
      </c>
      <c r="M81">
        <v>15.3</v>
      </c>
      <c r="N81">
        <v>0.1821428571428572</v>
      </c>
      <c r="O81">
        <v>56</v>
      </c>
      <c r="P81">
        <v>0.0500311005456211</v>
      </c>
      <c r="Q81">
        <v>0.555438502747565</v>
      </c>
      <c r="R81" t="s">
        <v>780</v>
      </c>
      <c r="S81" t="s">
        <v>790</v>
      </c>
      <c r="T81">
        <v>876.21638</v>
      </c>
      <c r="U81" s="2">
        <v>44498</v>
      </c>
      <c r="V81" t="s">
        <v>803</v>
      </c>
    </row>
    <row r="82" spans="1:22">
      <c r="A82" s="1" t="s">
        <v>102</v>
      </c>
      <c r="B82">
        <f>HYPERLINK("https://www.suredividend.com/sure-analysis-PSBQ/","PSB Holdings Inc (WI)")</f>
        <v>0</v>
      </c>
      <c r="C82">
        <v>26.2501</v>
      </c>
      <c r="D82">
        <v>30</v>
      </c>
      <c r="E82">
        <v>0.8750033333333334</v>
      </c>
      <c r="F82">
        <v>0.01752374276669422</v>
      </c>
      <c r="G82">
        <v>0.02706530456459788</v>
      </c>
      <c r="H82">
        <v>0</v>
      </c>
      <c r="I82">
        <v>0.04477418366342434</v>
      </c>
      <c r="J82" t="s">
        <v>776</v>
      </c>
      <c r="K82" t="s">
        <v>777</v>
      </c>
      <c r="L82">
        <v>3</v>
      </c>
      <c r="M82">
        <v>0.46</v>
      </c>
      <c r="N82">
        <v>0.1533333333333333</v>
      </c>
      <c r="O82">
        <v>28</v>
      </c>
      <c r="P82">
        <v>0.05103901130952315</v>
      </c>
      <c r="Q82">
        <v>0.227909111774156</v>
      </c>
      <c r="R82" t="s">
        <v>780</v>
      </c>
      <c r="S82" t="s">
        <v>790</v>
      </c>
      <c r="T82">
        <v>119.820339</v>
      </c>
      <c r="U82" s="2">
        <v>44512</v>
      </c>
      <c r="V82" t="s">
        <v>798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122.97</v>
      </c>
      <c r="D83">
        <v>113</v>
      </c>
      <c r="E83">
        <v>1.088230088495575</v>
      </c>
      <c r="F83">
        <v>0.01089696673985525</v>
      </c>
      <c r="G83">
        <v>-0.01676834061162358</v>
      </c>
      <c r="H83">
        <v>0.05</v>
      </c>
      <c r="I83">
        <v>0.04427610576439434</v>
      </c>
      <c r="J83" t="s">
        <v>776</v>
      </c>
      <c r="K83" t="s">
        <v>777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0.001966476261822</v>
      </c>
      <c r="R83" t="s">
        <v>780</v>
      </c>
      <c r="S83" t="s">
        <v>788</v>
      </c>
      <c r="T83">
        <v>2758.263698</v>
      </c>
      <c r="U83" s="2">
        <v>44499</v>
      </c>
      <c r="V83" t="s">
        <v>798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137.86</v>
      </c>
      <c r="D84">
        <v>114</v>
      </c>
      <c r="E84">
        <v>1.209298245614035</v>
      </c>
      <c r="F84">
        <v>0.02364717829682286</v>
      </c>
      <c r="G84">
        <v>-0.03729480488555192</v>
      </c>
      <c r="H84">
        <v>0.06</v>
      </c>
      <c r="I84">
        <v>0.04394331007313323</v>
      </c>
      <c r="J84" t="s">
        <v>776</v>
      </c>
      <c r="K84" t="s">
        <v>776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0.452311218642557</v>
      </c>
      <c r="R84" t="s">
        <v>780</v>
      </c>
      <c r="S84" t="s">
        <v>789</v>
      </c>
      <c r="T84">
        <v>19491.840431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76.09</v>
      </c>
      <c r="D85">
        <v>70</v>
      </c>
      <c r="E85">
        <v>1.087</v>
      </c>
      <c r="F85">
        <v>0.001051386515967933</v>
      </c>
      <c r="G85">
        <v>-0.01654590917541776</v>
      </c>
      <c r="H85">
        <v>0.06</v>
      </c>
      <c r="I85">
        <v>0.04335009127574918</v>
      </c>
      <c r="J85" t="s">
        <v>776</v>
      </c>
      <c r="K85" t="s">
        <v>513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0.713565503432494</v>
      </c>
      <c r="R85" t="s">
        <v>780</v>
      </c>
      <c r="S85" t="s">
        <v>787</v>
      </c>
      <c r="T85">
        <v>16902.20564</v>
      </c>
      <c r="U85" s="2">
        <v>44504</v>
      </c>
      <c r="V85" t="s">
        <v>802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205.33</v>
      </c>
      <c r="D86">
        <v>168</v>
      </c>
      <c r="E86">
        <v>1.222202380952381</v>
      </c>
      <c r="F86">
        <v>0.02162372765791653</v>
      </c>
      <c r="G86">
        <v>-0.03933631256936343</v>
      </c>
      <c r="H86">
        <v>0.06</v>
      </c>
      <c r="I86">
        <v>0.04259122587282493</v>
      </c>
      <c r="J86" t="s">
        <v>776</v>
      </c>
      <c r="K86" t="s">
        <v>777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0.193255084069708</v>
      </c>
      <c r="R86" t="s">
        <v>780</v>
      </c>
      <c r="S86" t="s">
        <v>787</v>
      </c>
      <c r="T86">
        <v>109475.761008</v>
      </c>
      <c r="U86" s="2">
        <v>44503</v>
      </c>
      <c r="V86" t="s">
        <v>799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43.25</v>
      </c>
      <c r="D87">
        <v>37</v>
      </c>
      <c r="E87">
        <v>1.168918918918919</v>
      </c>
      <c r="F87">
        <v>0.02404624277456648</v>
      </c>
      <c r="G87">
        <v>-0.030733679355473</v>
      </c>
      <c r="H87">
        <v>0.05</v>
      </c>
      <c r="I87">
        <v>0.04253200668873958</v>
      </c>
      <c r="J87" t="s">
        <v>776</v>
      </c>
      <c r="K87" t="s">
        <v>777</v>
      </c>
      <c r="L87">
        <v>1.7</v>
      </c>
      <c r="M87">
        <v>1.04</v>
      </c>
      <c r="N87">
        <v>0.611764705882353</v>
      </c>
      <c r="O87">
        <v>56</v>
      </c>
      <c r="P87">
        <v>0.05042164036374652</v>
      </c>
      <c r="Q87">
        <v>-0.123225356762903</v>
      </c>
      <c r="R87" t="s">
        <v>780</v>
      </c>
      <c r="S87" t="s">
        <v>791</v>
      </c>
      <c r="T87">
        <v>23340.796074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HYPERLINK("https://www.suredividend.com/sure-analysis-EMR/","Emerson Electric Co.")</f>
        <v>0</v>
      </c>
      <c r="C88">
        <v>94.47</v>
      </c>
      <c r="D88">
        <v>78</v>
      </c>
      <c r="E88">
        <v>1.211153846153846</v>
      </c>
      <c r="F88">
        <v>0.02180586429554356</v>
      </c>
      <c r="G88">
        <v>-0.03758997664479324</v>
      </c>
      <c r="H88">
        <v>0.06</v>
      </c>
      <c r="I88">
        <v>0.0412903369053419</v>
      </c>
      <c r="J88" t="s">
        <v>776</v>
      </c>
      <c r="K88" t="s">
        <v>777</v>
      </c>
      <c r="L88">
        <v>4.1</v>
      </c>
      <c r="M88">
        <v>2.06</v>
      </c>
      <c r="N88">
        <v>0.5024390243902439</v>
      </c>
      <c r="O88">
        <v>65</v>
      </c>
      <c r="P88">
        <v>0.03016344758557654</v>
      </c>
      <c r="Q88">
        <v>0.270343452767678</v>
      </c>
      <c r="R88" t="s">
        <v>780</v>
      </c>
      <c r="S88" t="s">
        <v>787</v>
      </c>
      <c r="T88">
        <v>56182.356</v>
      </c>
      <c r="U88" s="2">
        <v>44427</v>
      </c>
      <c r="V88" t="s">
        <v>798</v>
      </c>
    </row>
    <row r="89" spans="1:22">
      <c r="A89" s="1" t="s">
        <v>109</v>
      </c>
      <c r="B89">
        <f>HYPERLINK("https://www.suredividend.com/sure-analysis-KR/","Kroger Co.")</f>
        <v>0</v>
      </c>
      <c r="C89">
        <v>43.06</v>
      </c>
      <c r="D89">
        <v>43</v>
      </c>
      <c r="E89">
        <v>1.001395348837209</v>
      </c>
      <c r="F89">
        <v>0.01950766372503483</v>
      </c>
      <c r="G89">
        <v>-0.0002788363664433247</v>
      </c>
      <c r="H89">
        <v>0.02</v>
      </c>
      <c r="I89">
        <v>0.0410313041795114</v>
      </c>
      <c r="J89" t="s">
        <v>776</v>
      </c>
      <c r="K89" t="s">
        <v>777</v>
      </c>
      <c r="L89">
        <v>3.3</v>
      </c>
      <c r="M89">
        <v>0.84</v>
      </c>
      <c r="N89">
        <v>0.2545454545454546</v>
      </c>
      <c r="O89">
        <v>16</v>
      </c>
      <c r="P89">
        <v>0.07033701387905711</v>
      </c>
      <c r="Q89">
        <v>0.348129415391196</v>
      </c>
      <c r="R89" t="s">
        <v>780</v>
      </c>
      <c r="S89" t="s">
        <v>791</v>
      </c>
      <c r="T89">
        <v>31872.345639</v>
      </c>
      <c r="U89" s="2">
        <v>44451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211.5</v>
      </c>
      <c r="D90">
        <v>216</v>
      </c>
      <c r="E90">
        <v>0.9791666666666666</v>
      </c>
      <c r="F90">
        <v>0.01342789598108747</v>
      </c>
      <c r="G90">
        <v>0.004219559215905999</v>
      </c>
      <c r="H90">
        <v>0.02</v>
      </c>
      <c r="I90">
        <v>0.0384821554626924</v>
      </c>
      <c r="J90" t="s">
        <v>776</v>
      </c>
      <c r="K90" t="s">
        <v>372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1.049281921887503</v>
      </c>
      <c r="R90" t="s">
        <v>780</v>
      </c>
      <c r="S90" t="s">
        <v>789</v>
      </c>
      <c r="T90">
        <v>16168.557011</v>
      </c>
      <c r="U90" s="2">
        <v>44520</v>
      </c>
      <c r="V90" t="s">
        <v>799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74.37</v>
      </c>
      <c r="D91">
        <v>62</v>
      </c>
      <c r="E91">
        <v>1.199516129032258</v>
      </c>
      <c r="F91">
        <v>0.01411859620814845</v>
      </c>
      <c r="G91">
        <v>-0.03572971971951933</v>
      </c>
      <c r="H91">
        <v>0.06</v>
      </c>
      <c r="I91">
        <v>0.03755432152275251</v>
      </c>
      <c r="J91" t="s">
        <v>776</v>
      </c>
      <c r="K91" t="s">
        <v>777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0.143914242872051</v>
      </c>
      <c r="R91" t="s">
        <v>780</v>
      </c>
      <c r="S91" t="s">
        <v>790</v>
      </c>
      <c r="T91">
        <v>8569.963588000001</v>
      </c>
      <c r="U91" s="2">
        <v>44499</v>
      </c>
      <c r="V91" t="s">
        <v>800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36.48</v>
      </c>
      <c r="D92">
        <v>28</v>
      </c>
      <c r="E92">
        <v>1.302857142857143</v>
      </c>
      <c r="F92">
        <v>0.01014254385964912</v>
      </c>
      <c r="G92">
        <v>-0.05153646096625286</v>
      </c>
      <c r="H92">
        <v>0.08</v>
      </c>
      <c r="I92">
        <v>0.03672852544210192</v>
      </c>
      <c r="J92" t="s">
        <v>776</v>
      </c>
      <c r="K92" t="s">
        <v>372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0.191629176899913</v>
      </c>
      <c r="R92" t="s">
        <v>780</v>
      </c>
      <c r="S92" t="s">
        <v>787</v>
      </c>
      <c r="T92">
        <v>81274.577556</v>
      </c>
      <c r="U92" s="2">
        <v>44493</v>
      </c>
      <c r="V92" t="s">
        <v>798</v>
      </c>
    </row>
    <row r="93" spans="1:22">
      <c r="A93" s="1" t="s">
        <v>113</v>
      </c>
      <c r="B93">
        <f>HYPERLINK("https://www.suredividend.com/sure-analysis-SPGI/","S&amp;P Global Inc")</f>
        <v>0</v>
      </c>
      <c r="C93">
        <v>457.57</v>
      </c>
      <c r="D93">
        <v>355</v>
      </c>
      <c r="E93">
        <v>1.288929577464789</v>
      </c>
      <c r="F93">
        <v>0.006731210525165549</v>
      </c>
      <c r="G93">
        <v>-0.04949553334900247</v>
      </c>
      <c r="H93">
        <v>0.08</v>
      </c>
      <c r="I93">
        <v>0.03503115689383374</v>
      </c>
      <c r="J93" t="s">
        <v>776</v>
      </c>
      <c r="K93" t="s">
        <v>372</v>
      </c>
      <c r="L93">
        <v>13.65</v>
      </c>
      <c r="M93">
        <v>3.08</v>
      </c>
      <c r="N93">
        <v>0.2256410256410256</v>
      </c>
      <c r="O93">
        <v>48</v>
      </c>
      <c r="P93">
        <v>0.1200820117377759</v>
      </c>
      <c r="Q93">
        <v>0.365302546252145</v>
      </c>
      <c r="R93" t="s">
        <v>780</v>
      </c>
      <c r="S93" t="s">
        <v>790</v>
      </c>
      <c r="T93">
        <v>110409.33</v>
      </c>
      <c r="U93" s="2">
        <v>44512</v>
      </c>
      <c r="V93" t="s">
        <v>798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77.90000000000001</v>
      </c>
      <c r="D94">
        <v>64</v>
      </c>
      <c r="E94">
        <v>1.2171875</v>
      </c>
      <c r="F94">
        <v>0.01026957637997433</v>
      </c>
      <c r="G94">
        <v>-0.0385460162408483</v>
      </c>
      <c r="H94">
        <v>0.065</v>
      </c>
      <c r="I94">
        <v>0.0348733862916033</v>
      </c>
      <c r="J94" t="s">
        <v>776</v>
      </c>
      <c r="K94" t="s">
        <v>372</v>
      </c>
      <c r="L94">
        <v>3.37</v>
      </c>
      <c r="M94">
        <v>0.8</v>
      </c>
      <c r="N94">
        <v>0.2373887240356083</v>
      </c>
      <c r="O94">
        <v>44</v>
      </c>
      <c r="P94">
        <v>0.05988502997905321</v>
      </c>
      <c r="Q94">
        <v>0.485993622181061</v>
      </c>
      <c r="R94" t="s">
        <v>780</v>
      </c>
      <c r="S94" t="s">
        <v>787</v>
      </c>
      <c r="T94">
        <v>12877.515003</v>
      </c>
      <c r="U94" s="2">
        <v>44503</v>
      </c>
      <c r="V94" t="s">
        <v>800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145.72</v>
      </c>
      <c r="D95">
        <v>112</v>
      </c>
      <c r="E95">
        <v>1.301071428571429</v>
      </c>
      <c r="F95">
        <v>0.01537194619818831</v>
      </c>
      <c r="G95">
        <v>-0.05127625145135839</v>
      </c>
      <c r="H95">
        <v>0.07000000000000001</v>
      </c>
      <c r="I95">
        <v>0.03284425332281038</v>
      </c>
      <c r="J95" t="s">
        <v>776</v>
      </c>
      <c r="K95" t="s">
        <v>372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0.30639145807857</v>
      </c>
      <c r="R95" t="s">
        <v>780</v>
      </c>
      <c r="S95" t="s">
        <v>787</v>
      </c>
      <c r="T95">
        <v>8598.020779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HYPERLINK("https://www.suredividend.com/sure-analysis-TGT/","Target Corp")</f>
        <v>0</v>
      </c>
      <c r="C96">
        <v>249.18</v>
      </c>
      <c r="D96">
        <v>234</v>
      </c>
      <c r="E96">
        <v>1.064871794871795</v>
      </c>
      <c r="F96">
        <v>0.01444738743077294</v>
      </c>
      <c r="G96">
        <v>-0.01249219881373198</v>
      </c>
      <c r="H96">
        <v>0.03</v>
      </c>
      <c r="I96">
        <v>0.03278042092395306</v>
      </c>
      <c r="J96" t="s">
        <v>776</v>
      </c>
      <c r="K96" t="s">
        <v>777</v>
      </c>
      <c r="L96">
        <v>13</v>
      </c>
      <c r="M96">
        <v>3.6</v>
      </c>
      <c r="N96">
        <v>0.2769230769230769</v>
      </c>
      <c r="O96">
        <v>54</v>
      </c>
      <c r="P96">
        <v>0.06010506010596317</v>
      </c>
      <c r="Q96">
        <v>0.433739453013479</v>
      </c>
      <c r="R96" t="s">
        <v>780</v>
      </c>
      <c r="S96" t="s">
        <v>791</v>
      </c>
      <c r="T96">
        <v>119359.711192</v>
      </c>
      <c r="U96" s="2">
        <v>44429</v>
      </c>
      <c r="V96" t="s">
        <v>798</v>
      </c>
    </row>
    <row r="97" spans="1:22">
      <c r="A97" s="1" t="s">
        <v>117</v>
      </c>
      <c r="B97">
        <f>HYPERLINK("https://www.suredividend.com/sure-analysis-BRO/","Brown &amp; Brown, Inc.")</f>
        <v>0</v>
      </c>
      <c r="C97">
        <v>65.81</v>
      </c>
      <c r="D97">
        <v>53</v>
      </c>
      <c r="E97">
        <v>1.241698113207547</v>
      </c>
      <c r="F97">
        <v>0.006230056222458593</v>
      </c>
      <c r="G97">
        <v>-0.04237208846894158</v>
      </c>
      <c r="H97">
        <v>0.07000000000000001</v>
      </c>
      <c r="I97">
        <v>0.03192538264347844</v>
      </c>
      <c r="J97" t="s">
        <v>776</v>
      </c>
      <c r="K97" t="s">
        <v>372</v>
      </c>
      <c r="L97">
        <v>2.2</v>
      </c>
      <c r="M97">
        <v>0.41</v>
      </c>
      <c r="N97">
        <v>0.1863636363636363</v>
      </c>
      <c r="O97">
        <v>28</v>
      </c>
      <c r="P97">
        <v>0.08971100922578001</v>
      </c>
      <c r="Q97">
        <v>0.393627059592073</v>
      </c>
      <c r="R97" t="s">
        <v>780</v>
      </c>
      <c r="S97" t="s">
        <v>790</v>
      </c>
      <c r="T97">
        <v>18436.82405</v>
      </c>
      <c r="U97" s="2">
        <v>44507</v>
      </c>
      <c r="V97" t="s">
        <v>798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37.5</v>
      </c>
      <c r="D98">
        <v>38</v>
      </c>
      <c r="E98">
        <v>0.9868421052631579</v>
      </c>
      <c r="F98">
        <v>0.02773333333333334</v>
      </c>
      <c r="G98">
        <v>0.002652557170943703</v>
      </c>
      <c r="H98">
        <v>0</v>
      </c>
      <c r="I98">
        <v>0.03025007258224188</v>
      </c>
      <c r="J98" t="s">
        <v>776</v>
      </c>
      <c r="K98" t="s">
        <v>776</v>
      </c>
      <c r="L98">
        <v>3.2</v>
      </c>
      <c r="M98">
        <v>1.04</v>
      </c>
      <c r="N98">
        <v>0.325</v>
      </c>
      <c r="O98">
        <v>26</v>
      </c>
      <c r="P98">
        <v>0.02031177855938826</v>
      </c>
      <c r="Q98">
        <v>0.261090009469531</v>
      </c>
      <c r="R98" t="s">
        <v>780</v>
      </c>
      <c r="S98" t="s">
        <v>790</v>
      </c>
      <c r="T98">
        <v>578.284903</v>
      </c>
      <c r="U98" s="2">
        <v>44518</v>
      </c>
      <c r="V98" t="s">
        <v>798</v>
      </c>
    </row>
    <row r="99" spans="1:22">
      <c r="A99" s="1" t="s">
        <v>119</v>
      </c>
      <c r="B99">
        <f>HYPERLINK("https://www.suredividend.com/sure-analysis-MCO/","Moody`s Corp.")</f>
        <v>0</v>
      </c>
      <c r="C99">
        <v>386.61</v>
      </c>
      <c r="D99">
        <v>320</v>
      </c>
      <c r="E99">
        <v>1.20815625</v>
      </c>
      <c r="F99">
        <v>0.006414733193657691</v>
      </c>
      <c r="G99">
        <v>-0.03711287648579786</v>
      </c>
      <c r="H99">
        <v>0.06</v>
      </c>
      <c r="I99">
        <v>0.02870606959189193</v>
      </c>
      <c r="J99" t="s">
        <v>776</v>
      </c>
      <c r="K99" t="s">
        <v>513</v>
      </c>
      <c r="L99">
        <v>12.3</v>
      </c>
      <c r="M99">
        <v>2.48</v>
      </c>
      <c r="N99">
        <v>0.2016260162601626</v>
      </c>
      <c r="O99">
        <v>12</v>
      </c>
      <c r="P99">
        <v>0.1100560807786035</v>
      </c>
      <c r="Q99">
        <v>0.419493386623239</v>
      </c>
      <c r="R99" t="s">
        <v>780</v>
      </c>
      <c r="S99" t="s">
        <v>790</v>
      </c>
      <c r="T99">
        <v>71491.56299999999</v>
      </c>
      <c r="U99" s="2">
        <v>44518</v>
      </c>
      <c r="V99" t="s">
        <v>798</v>
      </c>
    </row>
    <row r="100" spans="1:22">
      <c r="A100" s="1" t="s">
        <v>120</v>
      </c>
      <c r="B100">
        <f>HYPERLINK("https://www.suredividend.com/sure-analysis-AXP/","American Express Co.")</f>
        <v>0</v>
      </c>
      <c r="C100">
        <v>170.85</v>
      </c>
      <c r="D100">
        <v>131</v>
      </c>
      <c r="E100">
        <v>1.304198473282443</v>
      </c>
      <c r="F100">
        <v>0.01006731050629207</v>
      </c>
      <c r="G100">
        <v>-0.05173163474096043</v>
      </c>
      <c r="H100">
        <v>0.07000000000000001</v>
      </c>
      <c r="I100">
        <v>0.02641556660104727</v>
      </c>
      <c r="J100" t="s">
        <v>776</v>
      </c>
      <c r="K100" t="s">
        <v>372</v>
      </c>
      <c r="L100">
        <v>8.75</v>
      </c>
      <c r="M100">
        <v>1.72</v>
      </c>
      <c r="N100">
        <v>0.1965714285714286</v>
      </c>
      <c r="O100">
        <v>9</v>
      </c>
      <c r="P100">
        <v>0.08023542380212056</v>
      </c>
      <c r="Q100">
        <v>0.535728374670995</v>
      </c>
      <c r="R100" t="s">
        <v>780</v>
      </c>
      <c r="S100" t="s">
        <v>790</v>
      </c>
      <c r="T100">
        <v>135768.612688</v>
      </c>
      <c r="U100" s="2">
        <v>44491</v>
      </c>
      <c r="V100" t="s">
        <v>800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45.09</v>
      </c>
      <c r="D101">
        <v>48</v>
      </c>
      <c r="E101">
        <v>0.9393750000000001</v>
      </c>
      <c r="F101">
        <v>0.02350853847859836</v>
      </c>
      <c r="G101">
        <v>0.01258665720079666</v>
      </c>
      <c r="H101">
        <v>-0.01</v>
      </c>
      <c r="I101">
        <v>0.02603458884722443</v>
      </c>
      <c r="J101" t="s">
        <v>776</v>
      </c>
      <c r="K101" t="s">
        <v>776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0.243308534877975</v>
      </c>
      <c r="R101" t="s">
        <v>780</v>
      </c>
      <c r="S101" t="s">
        <v>790</v>
      </c>
      <c r="T101">
        <v>582.969981</v>
      </c>
      <c r="U101" s="2">
        <v>44518</v>
      </c>
      <c r="V101" t="s">
        <v>798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238.92</v>
      </c>
      <c r="D102">
        <v>184</v>
      </c>
      <c r="E102">
        <v>1.298478260869565</v>
      </c>
      <c r="F102">
        <v>0.009040683073832247</v>
      </c>
      <c r="G102">
        <v>-0.05089761795089265</v>
      </c>
      <c r="H102">
        <v>0.07000000000000001</v>
      </c>
      <c r="I102">
        <v>0.02549896048623412</v>
      </c>
      <c r="J102" t="s">
        <v>776</v>
      </c>
      <c r="K102" t="s">
        <v>372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0.6354631059751581</v>
      </c>
      <c r="R102" t="s">
        <v>780</v>
      </c>
      <c r="S102" t="s">
        <v>787</v>
      </c>
      <c r="T102">
        <v>12478.758322</v>
      </c>
      <c r="U102" s="2">
        <v>44509</v>
      </c>
      <c r="V102" t="s">
        <v>800</v>
      </c>
    </row>
    <row r="103" spans="1:22">
      <c r="A103" s="1" t="s">
        <v>123</v>
      </c>
      <c r="B103">
        <f>HYPERLINK("https://www.suredividend.com/sure-analysis-CHD/","Church &amp; Dwight Co., Inc.")</f>
        <v>0</v>
      </c>
      <c r="C103">
        <v>94.13</v>
      </c>
      <c r="D103">
        <v>75</v>
      </c>
      <c r="E103">
        <v>1.255066666666667</v>
      </c>
      <c r="F103">
        <v>0.01072984170827579</v>
      </c>
      <c r="G103">
        <v>-0.04442090340104143</v>
      </c>
      <c r="H103">
        <v>0.06</v>
      </c>
      <c r="I103">
        <v>0.02517645088503739</v>
      </c>
      <c r="J103" t="s">
        <v>776</v>
      </c>
      <c r="K103" t="s">
        <v>372</v>
      </c>
      <c r="L103">
        <v>3</v>
      </c>
      <c r="M103">
        <v>1.01</v>
      </c>
      <c r="N103">
        <v>0.3366666666666667</v>
      </c>
      <c r="O103">
        <v>25</v>
      </c>
      <c r="P103">
        <v>0.0705165705095081</v>
      </c>
      <c r="Q103">
        <v>0.10351370534595</v>
      </c>
      <c r="R103" t="s">
        <v>780</v>
      </c>
      <c r="S103" t="s">
        <v>791</v>
      </c>
      <c r="T103">
        <v>22888.909313</v>
      </c>
      <c r="U103" s="2">
        <v>44519</v>
      </c>
      <c r="V103" t="s">
        <v>798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175.98</v>
      </c>
      <c r="D104">
        <v>127</v>
      </c>
      <c r="E104">
        <v>1.385669291338583</v>
      </c>
      <c r="F104">
        <v>0.01136492783270826</v>
      </c>
      <c r="G104">
        <v>-0.06315427035319299</v>
      </c>
      <c r="H104">
        <v>0.08</v>
      </c>
      <c r="I104">
        <v>0.02406759756296073</v>
      </c>
      <c r="J104" t="s">
        <v>776</v>
      </c>
      <c r="K104" t="s">
        <v>777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0.439054919702535</v>
      </c>
      <c r="R104" t="s">
        <v>780</v>
      </c>
      <c r="S104" t="s">
        <v>787</v>
      </c>
      <c r="T104">
        <v>25326.900463</v>
      </c>
      <c r="U104" s="2">
        <v>44488</v>
      </c>
      <c r="V104" t="s">
        <v>796</v>
      </c>
    </row>
    <row r="105" spans="1:22">
      <c r="A105" s="1" t="s">
        <v>125</v>
      </c>
      <c r="B105">
        <f>HYPERLINK("https://www.suredividend.com/sure-analysis-RE/","Everest Re Group Ltd")</f>
        <v>0</v>
      </c>
      <c r="C105">
        <v>279.49</v>
      </c>
      <c r="D105">
        <v>252</v>
      </c>
      <c r="E105">
        <v>1.109087301587302</v>
      </c>
      <c r="F105">
        <v>0.02218326237074672</v>
      </c>
      <c r="G105">
        <v>-0.02049455754606033</v>
      </c>
      <c r="H105">
        <v>0.02</v>
      </c>
      <c r="I105">
        <v>0.0236836085238552</v>
      </c>
      <c r="J105" t="s">
        <v>776</v>
      </c>
      <c r="K105" t="s">
        <v>777</v>
      </c>
      <c r="L105">
        <v>28</v>
      </c>
      <c r="M105">
        <v>6.2</v>
      </c>
      <c r="N105">
        <v>0.2214285714285714</v>
      </c>
      <c r="O105">
        <v>8</v>
      </c>
      <c r="P105">
        <v>0.04992181337625223</v>
      </c>
      <c r="Q105">
        <v>0.214477411527225</v>
      </c>
      <c r="R105" t="s">
        <v>780</v>
      </c>
      <c r="S105" t="s">
        <v>790</v>
      </c>
      <c r="T105">
        <v>10868.419485</v>
      </c>
      <c r="U105" s="2">
        <v>44508</v>
      </c>
      <c r="V105" t="s">
        <v>800</v>
      </c>
    </row>
    <row r="106" spans="1:22">
      <c r="A106" s="1" t="s">
        <v>126</v>
      </c>
      <c r="B106">
        <f>HYPERLINK("https://www.suredividend.com/sure-analysis-FUL/","H.B. Fuller Company")</f>
        <v>0</v>
      </c>
      <c r="C106">
        <v>77.48</v>
      </c>
      <c r="D106">
        <v>54</v>
      </c>
      <c r="E106">
        <v>1.434814814814815</v>
      </c>
      <c r="F106">
        <v>0.008647392875580796</v>
      </c>
      <c r="G106">
        <v>-0.06966185151027704</v>
      </c>
      <c r="H106">
        <v>0.09</v>
      </c>
      <c r="I106">
        <v>0.02341714638075176</v>
      </c>
      <c r="J106" t="s">
        <v>776</v>
      </c>
      <c r="K106" t="s">
        <v>372</v>
      </c>
      <c r="L106">
        <v>3.6</v>
      </c>
      <c r="M106">
        <v>0.67</v>
      </c>
      <c r="N106">
        <v>0.1861111111111111</v>
      </c>
      <c r="O106">
        <v>52</v>
      </c>
      <c r="P106">
        <v>0.05119849323654324</v>
      </c>
      <c r="Q106">
        <v>0.4866534873208611</v>
      </c>
      <c r="R106" t="s">
        <v>780</v>
      </c>
      <c r="S106" t="s">
        <v>788</v>
      </c>
      <c r="T106">
        <v>4027.217081</v>
      </c>
      <c r="U106" s="2">
        <v>44463</v>
      </c>
      <c r="V106" t="s">
        <v>803</v>
      </c>
    </row>
    <row r="107" spans="1:22">
      <c r="A107" s="1" t="s">
        <v>127</v>
      </c>
      <c r="B107">
        <f>HYPERLINK("https://www.suredividend.com/sure-analysis-CSVI/","Computer Services, Inc.")</f>
        <v>0</v>
      </c>
      <c r="C107">
        <v>55.5</v>
      </c>
      <c r="D107">
        <v>37</v>
      </c>
      <c r="E107">
        <v>1.5</v>
      </c>
      <c r="F107">
        <v>0.01945945945945946</v>
      </c>
      <c r="G107">
        <v>-0.07789208851827223</v>
      </c>
      <c r="H107">
        <v>0.08</v>
      </c>
      <c r="I107">
        <v>0.01989051167294331</v>
      </c>
      <c r="J107" t="s">
        <v>776</v>
      </c>
      <c r="K107" t="s">
        <v>777</v>
      </c>
      <c r="L107">
        <v>2.15</v>
      </c>
      <c r="M107">
        <v>1.08</v>
      </c>
      <c r="N107">
        <v>0.5023255813953489</v>
      </c>
      <c r="O107">
        <v>50</v>
      </c>
      <c r="P107">
        <v>0.08178074106640287</v>
      </c>
      <c r="Q107">
        <v>-0.025680643981982</v>
      </c>
      <c r="R107" t="s">
        <v>780</v>
      </c>
      <c r="S107" t="s">
        <v>786</v>
      </c>
      <c r="T107">
        <v>1551.519889</v>
      </c>
      <c r="U107" s="2">
        <v>44477</v>
      </c>
      <c r="V107" t="s">
        <v>803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255.65</v>
      </c>
      <c r="D108">
        <v>186</v>
      </c>
      <c r="E108">
        <v>1.374462365591398</v>
      </c>
      <c r="F108">
        <v>0.02159202034030901</v>
      </c>
      <c r="G108">
        <v>-0.06163148083977588</v>
      </c>
      <c r="H108">
        <v>0.06</v>
      </c>
      <c r="I108">
        <v>0.0197424236984447</v>
      </c>
      <c r="J108" t="s">
        <v>776</v>
      </c>
      <c r="K108" t="s">
        <v>777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0.211577766008905</v>
      </c>
      <c r="R108" t="s">
        <v>780</v>
      </c>
      <c r="S108" t="s">
        <v>789</v>
      </c>
      <c r="T108">
        <v>189411.770836</v>
      </c>
      <c r="U108" s="2">
        <v>44497</v>
      </c>
      <c r="V108" t="s">
        <v>799</v>
      </c>
    </row>
    <row r="109" spans="1:22">
      <c r="A109" s="1" t="s">
        <v>129</v>
      </c>
      <c r="B109">
        <f>HYPERLINK("https://www.suredividend.com/sure-analysis-PG/","Procter &amp; Gamble Co.")</f>
        <v>0</v>
      </c>
      <c r="C109">
        <v>149.44</v>
      </c>
      <c r="D109">
        <v>118</v>
      </c>
      <c r="E109">
        <v>1.266440677966102</v>
      </c>
      <c r="F109">
        <v>0.02328693790149893</v>
      </c>
      <c r="G109">
        <v>-0.04614353039730357</v>
      </c>
      <c r="H109">
        <v>0.04</v>
      </c>
      <c r="I109">
        <v>0.01810784095555174</v>
      </c>
      <c r="J109" t="s">
        <v>776</v>
      </c>
      <c r="K109" t="s">
        <v>777</v>
      </c>
      <c r="L109">
        <v>5.9</v>
      </c>
      <c r="M109">
        <v>3.48</v>
      </c>
      <c r="N109">
        <v>0.5898305084745762</v>
      </c>
      <c r="O109">
        <v>65</v>
      </c>
      <c r="P109">
        <v>0.04515835609077623</v>
      </c>
      <c r="Q109">
        <v>0.087698847245281</v>
      </c>
      <c r="R109" t="s">
        <v>780</v>
      </c>
      <c r="S109" t="s">
        <v>791</v>
      </c>
      <c r="T109">
        <v>357668.287648</v>
      </c>
      <c r="U109" s="2">
        <v>44488</v>
      </c>
      <c r="V109" t="s">
        <v>799</v>
      </c>
    </row>
    <row r="110" spans="1:22">
      <c r="A110" s="1" t="s">
        <v>130</v>
      </c>
      <c r="B110">
        <f>HYPERLINK("https://www.suredividend.com/sure-analysis-OZK/","Bank OZK")</f>
        <v>0</v>
      </c>
      <c r="C110">
        <v>47.95</v>
      </c>
      <c r="D110">
        <v>46</v>
      </c>
      <c r="E110">
        <v>1.042391304347826</v>
      </c>
      <c r="F110">
        <v>0.02419186652763295</v>
      </c>
      <c r="G110">
        <v>-0.008269102290015984</v>
      </c>
      <c r="H110">
        <v>0</v>
      </c>
      <c r="I110">
        <v>0.01763442534487214</v>
      </c>
      <c r="J110" t="s">
        <v>776</v>
      </c>
      <c r="K110" t="s">
        <v>777</v>
      </c>
      <c r="L110">
        <v>4.2</v>
      </c>
      <c r="M110">
        <v>1.16</v>
      </c>
      <c r="N110">
        <v>0.2761904761904762</v>
      </c>
      <c r="O110">
        <v>25</v>
      </c>
      <c r="P110">
        <v>0.02927011184548056</v>
      </c>
      <c r="Q110">
        <v>0.7425022406245601</v>
      </c>
      <c r="R110" t="s">
        <v>780</v>
      </c>
      <c r="S110" t="s">
        <v>790</v>
      </c>
      <c r="T110">
        <v>5720.206178</v>
      </c>
      <c r="U110" s="2">
        <v>44493</v>
      </c>
      <c r="V110" t="s">
        <v>799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192.95</v>
      </c>
      <c r="D111">
        <v>148</v>
      </c>
      <c r="E111">
        <v>1.303716216216216</v>
      </c>
      <c r="F111">
        <v>0.01658460741124644</v>
      </c>
      <c r="G111">
        <v>-0.05166149041599932</v>
      </c>
      <c r="H111">
        <v>0.05</v>
      </c>
      <c r="I111">
        <v>0.0148662914709452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0.305556829295501</v>
      </c>
      <c r="R111" t="s">
        <v>780</v>
      </c>
      <c r="S111" t="s">
        <v>790</v>
      </c>
      <c r="T111">
        <v>82168.206573</v>
      </c>
      <c r="U111" s="2">
        <v>44506</v>
      </c>
      <c r="V111" t="s">
        <v>800</v>
      </c>
    </row>
    <row r="112" spans="1:22">
      <c r="A112" s="1" t="s">
        <v>132</v>
      </c>
      <c r="B112">
        <f>HYPERLINK("https://www.suredividend.com/sure-analysis-ABT/","Abbott Laboratories")</f>
        <v>0</v>
      </c>
      <c r="C112">
        <v>124.48</v>
      </c>
      <c r="D112">
        <v>101</v>
      </c>
      <c r="E112">
        <v>1.232475247524752</v>
      </c>
      <c r="F112">
        <v>0.01446015424164524</v>
      </c>
      <c r="G112">
        <v>-0.04094313404375627</v>
      </c>
      <c r="H112">
        <v>0.04</v>
      </c>
      <c r="I112">
        <v>0.01476512635960092</v>
      </c>
      <c r="J112" t="s">
        <v>776</v>
      </c>
      <c r="K112" t="s">
        <v>777</v>
      </c>
      <c r="L112">
        <v>5.05</v>
      </c>
      <c r="M112">
        <v>1.8</v>
      </c>
      <c r="N112">
        <v>0.3564356435643565</v>
      </c>
      <c r="O112">
        <v>49</v>
      </c>
      <c r="P112">
        <v>0.06961037572506878</v>
      </c>
      <c r="Q112">
        <v>0.147048588853684</v>
      </c>
      <c r="R112" t="s">
        <v>780</v>
      </c>
      <c r="S112" t="s">
        <v>785</v>
      </c>
      <c r="T112">
        <v>221495.625737</v>
      </c>
      <c r="U112" s="2">
        <v>44490</v>
      </c>
      <c r="V112" t="s">
        <v>799</v>
      </c>
    </row>
    <row r="113" spans="1:22">
      <c r="A113" s="1" t="s">
        <v>133</v>
      </c>
      <c r="B113">
        <f>HYPERLINK("https://www.suredividend.com/sure-analysis-TROW/","T. Rowe Price Group Inc.")</f>
        <v>0</v>
      </c>
      <c r="C113">
        <v>208.37</v>
      </c>
      <c r="D113">
        <v>179</v>
      </c>
      <c r="E113">
        <v>1.164078212290503</v>
      </c>
      <c r="F113">
        <v>0.02073235110620531</v>
      </c>
      <c r="G113">
        <v>-0.02992889684377298</v>
      </c>
      <c r="H113">
        <v>0.02</v>
      </c>
      <c r="I113">
        <v>0.01309418229127068</v>
      </c>
      <c r="J113" t="s">
        <v>776</v>
      </c>
      <c r="K113" t="s">
        <v>777</v>
      </c>
      <c r="L113">
        <v>12.74</v>
      </c>
      <c r="M113">
        <v>4.32</v>
      </c>
      <c r="N113">
        <v>0.3390894819466248</v>
      </c>
      <c r="O113">
        <v>35</v>
      </c>
      <c r="P113">
        <v>0.04563955259127317</v>
      </c>
      <c r="Q113">
        <v>0.5658230660747401</v>
      </c>
      <c r="R113" t="s">
        <v>780</v>
      </c>
      <c r="S113" t="s">
        <v>790</v>
      </c>
      <c r="T113">
        <v>46563.98345</v>
      </c>
      <c r="U113" s="2">
        <v>44502</v>
      </c>
      <c r="V113" t="s">
        <v>799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94.83</v>
      </c>
      <c r="D114">
        <v>72</v>
      </c>
      <c r="E114">
        <v>1.317083333333333</v>
      </c>
      <c r="F114">
        <v>0.0168722977960561</v>
      </c>
      <c r="G114">
        <v>-0.05359429589557996</v>
      </c>
      <c r="H114">
        <v>0.05</v>
      </c>
      <c r="I114">
        <v>0.01302653217346039</v>
      </c>
      <c r="J114" t="s">
        <v>776</v>
      </c>
      <c r="K114" t="s">
        <v>777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0.07440956920177401</v>
      </c>
      <c r="R114" t="s">
        <v>780</v>
      </c>
      <c r="S114" t="s">
        <v>788</v>
      </c>
      <c r="T114">
        <v>12260.728531</v>
      </c>
      <c r="U114" s="2">
        <v>44475</v>
      </c>
      <c r="V114" t="s">
        <v>796</v>
      </c>
    </row>
    <row r="115" spans="1:22">
      <c r="A115" s="1" t="s">
        <v>135</v>
      </c>
      <c r="B115">
        <f>HYPERLINK("https://www.suredividend.com/sure-analysis-GRC/","Gorman-Rupp Co.")</f>
        <v>0</v>
      </c>
      <c r="C115">
        <v>45.33</v>
      </c>
      <c r="D115">
        <v>33</v>
      </c>
      <c r="E115">
        <v>1.373636363636364</v>
      </c>
      <c r="F115">
        <v>0.01500110302228105</v>
      </c>
      <c r="G115">
        <v>-0.06151865507515752</v>
      </c>
      <c r="H115">
        <v>0.06</v>
      </c>
      <c r="I115">
        <v>0.01198685049588066</v>
      </c>
      <c r="J115" t="s">
        <v>776</v>
      </c>
      <c r="K115" t="s">
        <v>777</v>
      </c>
      <c r="L115">
        <v>1.3</v>
      </c>
      <c r="M115">
        <v>0.68</v>
      </c>
      <c r="N115">
        <v>0.5230769230769231</v>
      </c>
      <c r="O115">
        <v>49</v>
      </c>
      <c r="P115">
        <v>0.0505145404837426</v>
      </c>
      <c r="Q115">
        <v>0.374290938777477</v>
      </c>
      <c r="R115" t="s">
        <v>780</v>
      </c>
      <c r="S115" t="s">
        <v>787</v>
      </c>
      <c r="T115">
        <v>1191.897317</v>
      </c>
      <c r="U115" s="2">
        <v>44499</v>
      </c>
      <c r="V115" t="s">
        <v>798</v>
      </c>
    </row>
    <row r="116" spans="1:22">
      <c r="A116" s="1" t="s">
        <v>136</v>
      </c>
      <c r="B116">
        <f>HYPERLINK("https://www.suredividend.com/sure-analysis-COST/","Costco Wholesale Corp")</f>
        <v>0</v>
      </c>
      <c r="C116">
        <v>545.26</v>
      </c>
      <c r="D116">
        <v>362</v>
      </c>
      <c r="E116">
        <v>1.506243093922652</v>
      </c>
      <c r="F116">
        <v>0.005795400359461541</v>
      </c>
      <c r="G116">
        <v>-0.07865775170735467</v>
      </c>
      <c r="H116">
        <v>0.09</v>
      </c>
      <c r="I116">
        <v>0.01180235355483594</v>
      </c>
      <c r="J116" t="s">
        <v>776</v>
      </c>
      <c r="K116" t="s">
        <v>513</v>
      </c>
      <c r="L116">
        <v>12.05</v>
      </c>
      <c r="M116">
        <v>3.16</v>
      </c>
      <c r="N116">
        <v>0.2622406639004149</v>
      </c>
      <c r="O116">
        <v>18</v>
      </c>
      <c r="P116">
        <v>0.1000340793951375</v>
      </c>
      <c r="Q116">
        <v>0.464135397728521</v>
      </c>
      <c r="R116" t="s">
        <v>780</v>
      </c>
      <c r="S116" t="s">
        <v>791</v>
      </c>
      <c r="T116">
        <v>238430.219606</v>
      </c>
      <c r="U116" s="2">
        <v>44465</v>
      </c>
      <c r="V116" t="s">
        <v>798</v>
      </c>
    </row>
    <row r="117" spans="1:22">
      <c r="A117" s="1" t="s">
        <v>137</v>
      </c>
      <c r="B117">
        <f>HYPERLINK("https://www.suredividend.com/sure-analysis-SRCE/","1st Source Corp.")</f>
        <v>0</v>
      </c>
      <c r="C117">
        <v>50.66</v>
      </c>
      <c r="D117">
        <v>60</v>
      </c>
      <c r="E117">
        <v>0.8443333333333333</v>
      </c>
      <c r="F117">
        <v>0.02447690485590209</v>
      </c>
      <c r="G117">
        <v>0.03442072446767552</v>
      </c>
      <c r="H117">
        <v>-0.05</v>
      </c>
      <c r="I117">
        <v>0.009116400702442018</v>
      </c>
      <c r="J117" t="s">
        <v>776</v>
      </c>
      <c r="K117" t="s">
        <v>776</v>
      </c>
      <c r="L117">
        <v>4.8</v>
      </c>
      <c r="M117">
        <v>1.24</v>
      </c>
      <c r="N117">
        <v>0.2583333333333334</v>
      </c>
      <c r="O117">
        <v>34</v>
      </c>
      <c r="P117">
        <v>0.02013999925026777</v>
      </c>
      <c r="Q117">
        <v>0.3547907655370841</v>
      </c>
      <c r="R117" t="s">
        <v>780</v>
      </c>
      <c r="S117" t="s">
        <v>790</v>
      </c>
      <c r="T117">
        <v>1244.558425</v>
      </c>
      <c r="U117" s="2">
        <v>44498</v>
      </c>
      <c r="V117" t="s">
        <v>798</v>
      </c>
    </row>
    <row r="118" spans="1:22">
      <c r="A118" s="1" t="s">
        <v>138</v>
      </c>
      <c r="B118">
        <f>HYPERLINK("https://www.suredividend.com/sure-analysis-TR/","Tootsie Roll Industries, Inc.")</f>
        <v>0</v>
      </c>
      <c r="C118">
        <v>33.01</v>
      </c>
      <c r="D118">
        <v>28</v>
      </c>
      <c r="E118">
        <v>1.178928571428571</v>
      </c>
      <c r="F118">
        <v>0.01090578612541654</v>
      </c>
      <c r="G118">
        <v>-0.03238520227527175</v>
      </c>
      <c r="H118">
        <v>0.03</v>
      </c>
      <c r="I118">
        <v>0.007459370292556056</v>
      </c>
      <c r="J118" t="s">
        <v>776</v>
      </c>
      <c r="K118" t="s">
        <v>372</v>
      </c>
      <c r="L118">
        <v>0.92</v>
      </c>
      <c r="M118">
        <v>0.36</v>
      </c>
      <c r="N118">
        <v>0.3913043478260869</v>
      </c>
      <c r="O118">
        <v>53</v>
      </c>
      <c r="P118">
        <v>0</v>
      </c>
      <c r="Q118">
        <v>0.08014940136896101</v>
      </c>
      <c r="R118" t="s">
        <v>780</v>
      </c>
      <c r="S118" t="s">
        <v>791</v>
      </c>
      <c r="T118">
        <v>1284.193457</v>
      </c>
      <c r="U118" s="2">
        <v>44522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244.05</v>
      </c>
      <c r="D119">
        <v>160</v>
      </c>
      <c r="E119">
        <v>1.5253125</v>
      </c>
      <c r="F119">
        <v>0.0199959024790002</v>
      </c>
      <c r="G119">
        <v>-0.08097307731079828</v>
      </c>
      <c r="H119">
        <v>0.07000000000000001</v>
      </c>
      <c r="I119">
        <v>0.006355887189944509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0.213622284814006</v>
      </c>
      <c r="R119" t="s">
        <v>780</v>
      </c>
      <c r="S119" t="s">
        <v>787</v>
      </c>
      <c r="T119">
        <v>75993.66233000001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HYPERLINK("https://www.suredividend.com/sure-analysis-NKE/","Nike, Inc.")</f>
        <v>0</v>
      </c>
      <c r="C120">
        <v>172.15</v>
      </c>
      <c r="D120">
        <v>102</v>
      </c>
      <c r="E120">
        <v>1.687745098039216</v>
      </c>
      <c r="F120">
        <v>0.007086842869590473</v>
      </c>
      <c r="G120">
        <v>-0.09938613442262345</v>
      </c>
      <c r="H120">
        <v>0.1</v>
      </c>
      <c r="I120">
        <v>0.000350880136580356</v>
      </c>
      <c r="J120" t="s">
        <v>776</v>
      </c>
      <c r="K120" t="s">
        <v>372</v>
      </c>
      <c r="L120">
        <v>4.25</v>
      </c>
      <c r="M120">
        <v>1.22</v>
      </c>
      <c r="N120">
        <v>0.2870588235294118</v>
      </c>
      <c r="O120">
        <v>20</v>
      </c>
      <c r="P120">
        <v>0.09945953022431997</v>
      </c>
      <c r="Q120">
        <v>0.320407125530371</v>
      </c>
      <c r="R120" t="s">
        <v>780</v>
      </c>
      <c r="S120" t="s">
        <v>789</v>
      </c>
      <c r="T120">
        <v>273527.181988</v>
      </c>
      <c r="U120" s="2">
        <v>44464</v>
      </c>
      <c r="V120" t="s">
        <v>799</v>
      </c>
    </row>
    <row r="121" spans="1:22">
      <c r="A121" s="1" t="s">
        <v>141</v>
      </c>
      <c r="B121">
        <f>HYPERLINK("https://www.suredividend.com/sure-analysis-SJW/","SJW Group")</f>
        <v>0</v>
      </c>
      <c r="C121">
        <v>70.36</v>
      </c>
      <c r="D121">
        <v>43</v>
      </c>
      <c r="E121">
        <v>1.636279069767442</v>
      </c>
      <c r="F121">
        <v>0.01932916429789653</v>
      </c>
      <c r="G121">
        <v>-0.09379067885684922</v>
      </c>
      <c r="H121">
        <v>0.076</v>
      </c>
      <c r="I121">
        <v>-0.0006084957341822017</v>
      </c>
      <c r="J121" t="s">
        <v>776</v>
      </c>
      <c r="K121" t="s">
        <v>777</v>
      </c>
      <c r="L121">
        <v>1.97</v>
      </c>
      <c r="M121">
        <v>1.36</v>
      </c>
      <c r="N121">
        <v>0.6903553299492386</v>
      </c>
      <c r="O121">
        <v>55</v>
      </c>
      <c r="P121">
        <v>0.06000153927394081</v>
      </c>
      <c r="Q121">
        <v>0.10506704551119</v>
      </c>
      <c r="R121" t="s">
        <v>780</v>
      </c>
      <c r="S121" t="s">
        <v>792</v>
      </c>
      <c r="T121">
        <v>2115.872969</v>
      </c>
      <c r="U121" s="2">
        <v>44502</v>
      </c>
      <c r="V121" t="s">
        <v>796</v>
      </c>
    </row>
    <row r="122" spans="1:22">
      <c r="A122" s="1" t="s">
        <v>142</v>
      </c>
      <c r="B122">
        <f>HYPERLINK("https://www.suredividend.com/sure-analysis-GWW/","W.W. Grainger Inc.")</f>
        <v>0</v>
      </c>
      <c r="C122">
        <v>498</v>
      </c>
      <c r="D122">
        <v>356</v>
      </c>
      <c r="E122">
        <v>1.398876404494382</v>
      </c>
      <c r="F122">
        <v>0.01301204819277109</v>
      </c>
      <c r="G122">
        <v>-0.06492998414952778</v>
      </c>
      <c r="H122">
        <v>0.05</v>
      </c>
      <c r="I122">
        <v>-0.001975908874195853</v>
      </c>
      <c r="J122" t="s">
        <v>776</v>
      </c>
      <c r="K122" t="s">
        <v>777</v>
      </c>
      <c r="L122">
        <v>19.75</v>
      </c>
      <c r="M122">
        <v>6.48</v>
      </c>
      <c r="N122">
        <v>0.3281012658227848</v>
      </c>
      <c r="O122">
        <v>50</v>
      </c>
      <c r="P122">
        <v>0.06020279266594519</v>
      </c>
      <c r="Q122">
        <v>0.221753687018318</v>
      </c>
      <c r="R122" t="s">
        <v>780</v>
      </c>
      <c r="S122" t="s">
        <v>787</v>
      </c>
      <c r="T122">
        <v>25386.503159</v>
      </c>
      <c r="U122" s="2">
        <v>44505</v>
      </c>
      <c r="V122" t="s">
        <v>799</v>
      </c>
    </row>
    <row r="123" spans="1:22">
      <c r="A123" s="1" t="s">
        <v>143</v>
      </c>
      <c r="B123">
        <f>HYPERLINK("https://www.suredividend.com/sure-analysis-FELE/","Franklin Electric Co., Inc.")</f>
        <v>0</v>
      </c>
      <c r="C123">
        <v>96.69</v>
      </c>
      <c r="D123">
        <v>59</v>
      </c>
      <c r="E123">
        <v>1.638813559322034</v>
      </c>
      <c r="F123">
        <v>0.007239631813010653</v>
      </c>
      <c r="G123">
        <v>-0.09407115007805478</v>
      </c>
      <c r="H123">
        <v>0.09</v>
      </c>
      <c r="I123">
        <v>-0.002893437709229008</v>
      </c>
      <c r="J123" t="s">
        <v>776</v>
      </c>
      <c r="K123" t="s">
        <v>372</v>
      </c>
      <c r="L123">
        <v>3.1</v>
      </c>
      <c r="M123">
        <v>0.7</v>
      </c>
      <c r="N123">
        <v>0.2258064516129032</v>
      </c>
      <c r="O123">
        <v>29</v>
      </c>
      <c r="P123">
        <v>0.08652960720047997</v>
      </c>
      <c r="Q123">
        <v>0.431820500357054</v>
      </c>
      <c r="R123" t="s">
        <v>780</v>
      </c>
      <c r="S123" t="s">
        <v>787</v>
      </c>
      <c r="T123">
        <v>4431.350112</v>
      </c>
      <c r="U123" s="2">
        <v>44496</v>
      </c>
      <c r="V123" t="s">
        <v>803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225.3</v>
      </c>
      <c r="D124">
        <v>152</v>
      </c>
      <c r="E124">
        <v>1.482236842105263</v>
      </c>
      <c r="F124">
        <v>0.00923213493120284</v>
      </c>
      <c r="G124">
        <v>-0.07569249521456389</v>
      </c>
      <c r="H124">
        <v>0.065</v>
      </c>
      <c r="I124">
        <v>-0.003595485033946688</v>
      </c>
      <c r="J124" t="s">
        <v>776</v>
      </c>
      <c r="K124" t="s">
        <v>513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0.7847136111009361</v>
      </c>
      <c r="R124" t="s">
        <v>780</v>
      </c>
      <c r="S124" t="s">
        <v>789</v>
      </c>
      <c r="T124">
        <v>26062.479447</v>
      </c>
      <c r="U124" s="2">
        <v>44491</v>
      </c>
      <c r="V124" t="s">
        <v>805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82.45</v>
      </c>
      <c r="D125">
        <v>55</v>
      </c>
      <c r="E125">
        <v>1.499090909090909</v>
      </c>
      <c r="F125">
        <v>0.01358399029714979</v>
      </c>
      <c r="G125">
        <v>-0.07778027720038749</v>
      </c>
      <c r="H125">
        <v>0.06</v>
      </c>
      <c r="I125">
        <v>-0.004255640082342693</v>
      </c>
      <c r="J125" t="s">
        <v>776</v>
      </c>
      <c r="K125" t="s">
        <v>372</v>
      </c>
      <c r="L125">
        <v>2.88</v>
      </c>
      <c r="M125">
        <v>1.12</v>
      </c>
      <c r="N125">
        <v>0.388888888888889</v>
      </c>
      <c r="O125">
        <v>28</v>
      </c>
      <c r="P125">
        <v>0.08057069246502624</v>
      </c>
      <c r="Q125">
        <v>0.502215223173302</v>
      </c>
      <c r="R125" t="s">
        <v>780</v>
      </c>
      <c r="S125" t="s">
        <v>787</v>
      </c>
      <c r="T125">
        <v>13369.0536</v>
      </c>
      <c r="U125" s="2">
        <v>44510</v>
      </c>
      <c r="V125" t="s">
        <v>800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330.25</v>
      </c>
      <c r="D126">
        <v>222</v>
      </c>
      <c r="E126">
        <v>1.487612612612613</v>
      </c>
      <c r="F126">
        <v>0.01283875851627555</v>
      </c>
      <c r="G126">
        <v>-0.07636149505617629</v>
      </c>
      <c r="H126">
        <v>0.06</v>
      </c>
      <c r="I126">
        <v>-0.004315802034974947</v>
      </c>
      <c r="J126" t="s">
        <v>776</v>
      </c>
      <c r="K126" t="s">
        <v>372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0.327783920824229</v>
      </c>
      <c r="R126" t="s">
        <v>780</v>
      </c>
      <c r="S126" t="s">
        <v>788</v>
      </c>
      <c r="T126">
        <v>169009.797</v>
      </c>
      <c r="U126" s="2">
        <v>44503</v>
      </c>
      <c r="V126" t="s">
        <v>800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161.41</v>
      </c>
      <c r="D127">
        <v>108</v>
      </c>
      <c r="E127">
        <v>1.494537037037037</v>
      </c>
      <c r="F127">
        <v>0.00545195464964996</v>
      </c>
      <c r="G127">
        <v>-0.07721895803884182</v>
      </c>
      <c r="H127">
        <v>0.07000000000000001</v>
      </c>
      <c r="I127">
        <v>-0.004563183474926236</v>
      </c>
      <c r="J127" t="s">
        <v>776</v>
      </c>
      <c r="K127" t="s">
        <v>372</v>
      </c>
      <c r="L127">
        <v>6</v>
      </c>
      <c r="M127">
        <v>0.88</v>
      </c>
      <c r="N127">
        <v>0.1466666666666667</v>
      </c>
      <c r="O127">
        <v>9</v>
      </c>
      <c r="P127">
        <v>0.1213169452916456</v>
      </c>
      <c r="Q127">
        <v>0.380710694719909</v>
      </c>
      <c r="R127" t="s">
        <v>780</v>
      </c>
      <c r="S127" t="s">
        <v>786</v>
      </c>
      <c r="T127">
        <v>2641758.04494</v>
      </c>
      <c r="U127" s="2">
        <v>44500</v>
      </c>
      <c r="V127" t="s">
        <v>799</v>
      </c>
    </row>
    <row r="128" spans="1:22">
      <c r="A128" s="1" t="s">
        <v>148</v>
      </c>
      <c r="B128">
        <f>HYPERLINK("https://www.suredividend.com/sure-analysis-UBSI/","United Bankshares, Inc.")</f>
        <v>0</v>
      </c>
      <c r="C128">
        <v>39.1</v>
      </c>
      <c r="D128">
        <v>34</v>
      </c>
      <c r="E128">
        <v>1.15</v>
      </c>
      <c r="F128">
        <v>0.03580562659846547</v>
      </c>
      <c r="G128">
        <v>-0.02756533520359794</v>
      </c>
      <c r="H128">
        <v>-0.02</v>
      </c>
      <c r="I128">
        <v>-0.004765400496691274</v>
      </c>
      <c r="J128" t="s">
        <v>776</v>
      </c>
      <c r="K128" t="s">
        <v>776</v>
      </c>
      <c r="L128">
        <v>2.85</v>
      </c>
      <c r="M128">
        <v>1.4</v>
      </c>
      <c r="N128">
        <v>0.4912280701754386</v>
      </c>
      <c r="O128">
        <v>46</v>
      </c>
      <c r="P128">
        <v>0.02056514630321193</v>
      </c>
      <c r="Q128">
        <v>0.376591916816591</v>
      </c>
      <c r="R128" t="s">
        <v>780</v>
      </c>
      <c r="S128" t="s">
        <v>790</v>
      </c>
      <c r="T128">
        <v>5022.127101</v>
      </c>
      <c r="U128" s="2">
        <v>44501</v>
      </c>
      <c r="V128" t="s">
        <v>798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337.68</v>
      </c>
      <c r="D129">
        <v>216</v>
      </c>
      <c r="E129">
        <v>1.563333333333333</v>
      </c>
      <c r="F129">
        <v>0.00734423122482824</v>
      </c>
      <c r="G129">
        <v>-0.08548742334993831</v>
      </c>
      <c r="H129">
        <v>0.07000000000000001</v>
      </c>
      <c r="I129">
        <v>-0.01122999912417377</v>
      </c>
      <c r="J129" t="s">
        <v>776</v>
      </c>
      <c r="K129" t="s">
        <v>372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0.6287778390738931</v>
      </c>
      <c r="R129" t="s">
        <v>780</v>
      </c>
      <c r="S129" t="s">
        <v>786</v>
      </c>
      <c r="T129">
        <v>2551436.994285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148.68</v>
      </c>
      <c r="D130">
        <v>103</v>
      </c>
      <c r="E130">
        <v>1.443495145631068</v>
      </c>
      <c r="F130">
        <v>0.00645682001614205</v>
      </c>
      <c r="G130">
        <v>-0.07078345391722229</v>
      </c>
      <c r="H130">
        <v>0.05</v>
      </c>
      <c r="I130">
        <v>-0.01492022243475877</v>
      </c>
      <c r="J130" t="s">
        <v>776</v>
      </c>
      <c r="K130" t="s">
        <v>513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0.9336516989400631</v>
      </c>
      <c r="R130" t="s">
        <v>780</v>
      </c>
      <c r="S130" t="s">
        <v>786</v>
      </c>
      <c r="T130">
        <v>133227.100175</v>
      </c>
      <c r="U130" s="2">
        <v>44430</v>
      </c>
      <c r="V130" t="s">
        <v>798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77.79000000000001</v>
      </c>
      <c r="D131">
        <v>52.2</v>
      </c>
      <c r="E131">
        <v>1.490229885057471</v>
      </c>
      <c r="F131">
        <v>0.01992544028795475</v>
      </c>
      <c r="G131">
        <v>-0.07668615820963764</v>
      </c>
      <c r="H131">
        <v>0.038</v>
      </c>
      <c r="I131">
        <v>-0.01719458430511833</v>
      </c>
      <c r="J131" t="s">
        <v>776</v>
      </c>
      <c r="K131" t="s">
        <v>777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0.118306176349294</v>
      </c>
      <c r="R131" t="s">
        <v>780</v>
      </c>
      <c r="S131" t="s">
        <v>792</v>
      </c>
      <c r="T131">
        <v>2765.412904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129.7</v>
      </c>
      <c r="D132">
        <v>77</v>
      </c>
      <c r="E132">
        <v>1.684415584415584</v>
      </c>
      <c r="F132">
        <v>0.01156515034695451</v>
      </c>
      <c r="G132">
        <v>-0.09903037446846652</v>
      </c>
      <c r="H132">
        <v>0.07000000000000001</v>
      </c>
      <c r="I132">
        <v>-0.02092396310362543</v>
      </c>
      <c r="J132" t="s">
        <v>776</v>
      </c>
      <c r="K132" t="s">
        <v>372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0.01890350793922</v>
      </c>
      <c r="R132" t="s">
        <v>780</v>
      </c>
      <c r="S132" t="s">
        <v>789</v>
      </c>
      <c r="T132">
        <v>8478.531252999999</v>
      </c>
      <c r="U132" s="2">
        <v>44507</v>
      </c>
      <c r="V132" t="s">
        <v>797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233.43</v>
      </c>
      <c r="D133">
        <v>106</v>
      </c>
      <c r="E133">
        <v>2.202169811320755</v>
      </c>
      <c r="F133">
        <v>0.008225163860686287</v>
      </c>
      <c r="G133">
        <v>-0.1460551198589899</v>
      </c>
      <c r="H133">
        <v>0.13</v>
      </c>
      <c r="I133">
        <v>-0.02285553068394475</v>
      </c>
      <c r="J133" t="s">
        <v>776</v>
      </c>
      <c r="K133" t="s">
        <v>372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0.123173657569473</v>
      </c>
      <c r="R133" t="s">
        <v>780</v>
      </c>
      <c r="S133" t="s">
        <v>788</v>
      </c>
      <c r="T133">
        <v>67211.496184</v>
      </c>
      <c r="U133" s="2">
        <v>44496</v>
      </c>
      <c r="V133" t="s">
        <v>803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85.02</v>
      </c>
      <c r="D134">
        <v>77</v>
      </c>
      <c r="E134">
        <v>1.104155844155844</v>
      </c>
      <c r="F134">
        <v>0.02681721947776993</v>
      </c>
      <c r="G134">
        <v>-0.01962116943806769</v>
      </c>
      <c r="H134">
        <v>-0.04</v>
      </c>
      <c r="I134">
        <v>-0.02413771772773499</v>
      </c>
      <c r="J134" t="s">
        <v>776</v>
      </c>
      <c r="K134" t="s">
        <v>776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0.303702640329428</v>
      </c>
      <c r="R134" t="s">
        <v>780</v>
      </c>
      <c r="S134" t="s">
        <v>790</v>
      </c>
      <c r="T134">
        <v>1224.775742</v>
      </c>
      <c r="U134" s="2">
        <v>44499</v>
      </c>
      <c r="V134" t="s">
        <v>798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439.16</v>
      </c>
      <c r="D135">
        <v>271</v>
      </c>
      <c r="E135">
        <v>1.620516605166052</v>
      </c>
      <c r="F135">
        <v>0.008652882776209125</v>
      </c>
      <c r="G135">
        <v>-0.09203459206765874</v>
      </c>
      <c r="H135">
        <v>0.06</v>
      </c>
      <c r="I135">
        <v>-0.02437759370458081</v>
      </c>
      <c r="J135" t="s">
        <v>776</v>
      </c>
      <c r="K135" t="s">
        <v>372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0.237129155436135</v>
      </c>
      <c r="R135" t="s">
        <v>780</v>
      </c>
      <c r="S135" t="s">
        <v>787</v>
      </c>
      <c r="T135">
        <v>45877.826464</v>
      </c>
      <c r="U135" s="2">
        <v>44491</v>
      </c>
      <c r="V135" t="s">
        <v>798</v>
      </c>
    </row>
    <row r="136" spans="1:22">
      <c r="A136" s="1" t="s">
        <v>156</v>
      </c>
      <c r="B136">
        <f>HYPERLINK("https://www.suredividend.com/sure-analysis-SHW/","Sherwin-Williams Co.")</f>
        <v>0</v>
      </c>
      <c r="C136">
        <v>327.49</v>
      </c>
      <c r="D136">
        <v>186</v>
      </c>
      <c r="E136">
        <v>1.760698924731183</v>
      </c>
      <c r="F136">
        <v>0.006717762374423647</v>
      </c>
      <c r="G136">
        <v>-0.1069763094703233</v>
      </c>
      <c r="H136">
        <v>0.08</v>
      </c>
      <c r="I136">
        <v>-0.02472589918320567</v>
      </c>
      <c r="J136" t="s">
        <v>776</v>
      </c>
      <c r="K136" t="s">
        <v>372</v>
      </c>
      <c r="L136">
        <v>8.449999999999999</v>
      </c>
      <c r="M136">
        <v>2.2</v>
      </c>
      <c r="N136">
        <v>0.2603550295857989</v>
      </c>
      <c r="O136">
        <v>43</v>
      </c>
      <c r="P136">
        <v>0.1201645102296289</v>
      </c>
      <c r="Q136">
        <v>0.377006525343374</v>
      </c>
      <c r="R136" t="s">
        <v>780</v>
      </c>
      <c r="S136" t="s">
        <v>788</v>
      </c>
      <c r="T136">
        <v>86474.92740299999</v>
      </c>
      <c r="U136" s="2">
        <v>44495</v>
      </c>
      <c r="V136" t="s">
        <v>799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154.74</v>
      </c>
      <c r="D137">
        <v>92</v>
      </c>
      <c r="E137">
        <v>1.681956521739131</v>
      </c>
      <c r="F137">
        <v>0.01137391753909784</v>
      </c>
      <c r="G137">
        <v>-0.09876708035651294</v>
      </c>
      <c r="H137">
        <v>0.06</v>
      </c>
      <c r="I137">
        <v>-0.02840269821158981</v>
      </c>
      <c r="J137" t="s">
        <v>776</v>
      </c>
      <c r="K137" t="s">
        <v>372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0.092091443700949</v>
      </c>
      <c r="R137" t="s">
        <v>780</v>
      </c>
      <c r="S137" t="s">
        <v>787</v>
      </c>
      <c r="T137">
        <v>6041.862035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HYPERLINK("https://www.suredividend.com/sure-analysis-EBAY/","EBay Inc.")</f>
        <v>0</v>
      </c>
      <c r="C138">
        <v>71.65000000000001</v>
      </c>
      <c r="D138">
        <v>47.5</v>
      </c>
      <c r="E138">
        <v>1.508421052631579</v>
      </c>
      <c r="F138">
        <v>0.01004884856943475</v>
      </c>
      <c r="G138">
        <v>-0.07892396455374084</v>
      </c>
      <c r="H138">
        <v>0.037</v>
      </c>
      <c r="I138">
        <v>-0.03025335390927242</v>
      </c>
      <c r="J138" t="s">
        <v>776</v>
      </c>
      <c r="K138" t="s">
        <v>513</v>
      </c>
      <c r="L138">
        <v>3.96</v>
      </c>
      <c r="M138">
        <v>0.72</v>
      </c>
      <c r="N138">
        <v>0.1818181818181818</v>
      </c>
      <c r="O138">
        <v>2</v>
      </c>
      <c r="P138">
        <v>0.07423907511540473</v>
      </c>
      <c r="Q138">
        <v>0.519316194130487</v>
      </c>
      <c r="R138" t="s">
        <v>780</v>
      </c>
      <c r="S138" t="s">
        <v>789</v>
      </c>
      <c r="T138">
        <v>47824.605574</v>
      </c>
      <c r="U138" s="2">
        <v>44504</v>
      </c>
      <c r="V138" t="s">
        <v>805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66.31999999999999</v>
      </c>
      <c r="D139">
        <v>40</v>
      </c>
      <c r="E139">
        <v>1.658</v>
      </c>
      <c r="F139">
        <v>0.01387213510253318</v>
      </c>
      <c r="G139">
        <v>-0.09617761199809804</v>
      </c>
      <c r="H139">
        <v>0.05</v>
      </c>
      <c r="I139">
        <v>-0.03138674436021871</v>
      </c>
      <c r="J139" t="s">
        <v>776</v>
      </c>
      <c r="K139" t="s">
        <v>777</v>
      </c>
      <c r="L139">
        <v>2.02</v>
      </c>
      <c r="M139">
        <v>0.92</v>
      </c>
      <c r="N139">
        <v>0.4554455445544555</v>
      </c>
      <c r="O139">
        <v>53</v>
      </c>
      <c r="P139">
        <v>0.05979888147511248</v>
      </c>
      <c r="Q139">
        <v>0.353856332283785</v>
      </c>
      <c r="R139" t="s">
        <v>780</v>
      </c>
      <c r="S139" t="s">
        <v>792</v>
      </c>
      <c r="T139">
        <v>3531.04896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74.98</v>
      </c>
      <c r="D140">
        <v>42</v>
      </c>
      <c r="E140">
        <v>1.785238095238095</v>
      </c>
      <c r="F140">
        <v>0.01000266737796746</v>
      </c>
      <c r="G140">
        <v>-0.1094449496833416</v>
      </c>
      <c r="H140">
        <v>0.07000000000000001</v>
      </c>
      <c r="I140">
        <v>-0.03306066065510294</v>
      </c>
      <c r="J140" t="s">
        <v>776</v>
      </c>
      <c r="K140" t="s">
        <v>372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-0.05265463033403901</v>
      </c>
      <c r="R140" t="s">
        <v>780</v>
      </c>
      <c r="S140" t="s">
        <v>791</v>
      </c>
      <c r="T140">
        <v>35033.937461</v>
      </c>
      <c r="U140" s="2">
        <v>44453</v>
      </c>
      <c r="V140" t="s">
        <v>800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267.99</v>
      </c>
      <c r="D141">
        <v>165</v>
      </c>
      <c r="E141">
        <v>1.624181818181818</v>
      </c>
      <c r="F141">
        <v>0.007612224336728982</v>
      </c>
      <c r="G141">
        <v>-0.09244475484872094</v>
      </c>
      <c r="H141">
        <v>0.05</v>
      </c>
      <c r="I141">
        <v>-0.03564025847695962</v>
      </c>
      <c r="J141" t="s">
        <v>776</v>
      </c>
      <c r="K141" t="s">
        <v>372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0.334605859474</v>
      </c>
      <c r="R141" t="s">
        <v>780</v>
      </c>
      <c r="S141" t="s">
        <v>787</v>
      </c>
      <c r="T141">
        <v>15546.224073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318.04</v>
      </c>
      <c r="D142">
        <v>174</v>
      </c>
      <c r="E142">
        <v>1.827816091954023</v>
      </c>
      <c r="F142">
        <v>0.003961765815620677</v>
      </c>
      <c r="G142">
        <v>-0.1136331590494413</v>
      </c>
      <c r="H142">
        <v>0.07000000000000001</v>
      </c>
      <c r="I142">
        <v>-0.04546492819108672</v>
      </c>
      <c r="J142" t="s">
        <v>776</v>
      </c>
      <c r="K142" t="s">
        <v>513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0.5692438881793781</v>
      </c>
      <c r="R142" t="s">
        <v>780</v>
      </c>
      <c r="S142" t="s">
        <v>790</v>
      </c>
      <c r="T142">
        <v>13672.476109</v>
      </c>
      <c r="U142" s="2">
        <v>44518</v>
      </c>
      <c r="V142" t="s">
        <v>798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430.69</v>
      </c>
      <c r="D143">
        <v>211</v>
      </c>
      <c r="E143">
        <v>2.041184834123223</v>
      </c>
      <c r="F143">
        <v>0.001671736051452321</v>
      </c>
      <c r="G143">
        <v>-0.1329911442935378</v>
      </c>
      <c r="H143">
        <v>0.09</v>
      </c>
      <c r="I143">
        <v>-0.05247445268961515</v>
      </c>
      <c r="J143" t="s">
        <v>776</v>
      </c>
      <c r="K143" t="s">
        <v>372</v>
      </c>
      <c r="L143">
        <v>8.449999999999999</v>
      </c>
      <c r="M143">
        <v>0.72</v>
      </c>
      <c r="N143">
        <v>0.08520710059171598</v>
      </c>
      <c r="O143">
        <v>28</v>
      </c>
      <c r="P143">
        <v>0.05922384104881218</v>
      </c>
      <c r="Q143">
        <v>0.539376532808296</v>
      </c>
      <c r="R143" t="s">
        <v>780</v>
      </c>
      <c r="S143" t="s">
        <v>785</v>
      </c>
      <c r="T143">
        <v>32423.209661</v>
      </c>
      <c r="U143" s="2">
        <v>44502</v>
      </c>
      <c r="V143" t="s">
        <v>800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95.94</v>
      </c>
      <c r="D144">
        <v>60.8</v>
      </c>
      <c r="E144">
        <v>1.577960526315789</v>
      </c>
      <c r="F144">
        <v>0.01521784448613717</v>
      </c>
      <c r="G144">
        <v>-0.08718919328413099</v>
      </c>
      <c r="H144">
        <v>0.015</v>
      </c>
      <c r="I144">
        <v>-0.05263229434983319</v>
      </c>
      <c r="J144" t="s">
        <v>776</v>
      </c>
      <c r="K144" t="s">
        <v>777</v>
      </c>
      <c r="L144">
        <v>2.43</v>
      </c>
      <c r="M144">
        <v>1.46</v>
      </c>
      <c r="N144">
        <v>0.6008230452674896</v>
      </c>
      <c r="O144">
        <v>66</v>
      </c>
      <c r="P144">
        <v>0.01848215809402909</v>
      </c>
      <c r="Q144">
        <v>0.293381003828547</v>
      </c>
      <c r="R144" t="s">
        <v>780</v>
      </c>
      <c r="S144" t="s">
        <v>792</v>
      </c>
      <c r="T144">
        <v>3545.819334</v>
      </c>
      <c r="U144" s="2">
        <v>44506</v>
      </c>
      <c r="V144" t="s">
        <v>805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223.66</v>
      </c>
      <c r="D145">
        <v>92</v>
      </c>
      <c r="E145">
        <v>2.431086956521739</v>
      </c>
      <c r="F145">
        <v>0.004471072163104712</v>
      </c>
      <c r="G145">
        <v>-0.1627794083940937</v>
      </c>
      <c r="H145">
        <v>0.12</v>
      </c>
      <c r="I145">
        <v>-0.0535150272630428</v>
      </c>
      <c r="J145" t="s">
        <v>776</v>
      </c>
      <c r="K145" t="s">
        <v>513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0.355156953923213</v>
      </c>
      <c r="R145" t="s">
        <v>780</v>
      </c>
      <c r="S145" t="s">
        <v>785</v>
      </c>
      <c r="T145">
        <v>106141.046907</v>
      </c>
      <c r="U145" s="2">
        <v>44509</v>
      </c>
      <c r="V145" t="s">
        <v>806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115.06</v>
      </c>
      <c r="D146">
        <v>67</v>
      </c>
      <c r="E146">
        <v>1.717313432835821</v>
      </c>
      <c r="F146">
        <v>0.008691117677733355</v>
      </c>
      <c r="G146">
        <v>-0.1025090322052978</v>
      </c>
      <c r="H146">
        <v>0.03</v>
      </c>
      <c r="I146">
        <v>-0.0621454075329172</v>
      </c>
      <c r="J146" t="s">
        <v>776</v>
      </c>
      <c r="K146" t="s">
        <v>372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0.12668185233566</v>
      </c>
      <c r="R146" t="s">
        <v>780</v>
      </c>
      <c r="S146" t="s">
        <v>790</v>
      </c>
      <c r="T146">
        <v>5162.850466</v>
      </c>
      <c r="U146" s="2">
        <v>44505</v>
      </c>
      <c r="V146" t="s">
        <v>800</v>
      </c>
    </row>
    <row r="147" spans="1:22">
      <c r="A147" s="1" t="s">
        <v>167</v>
      </c>
      <c r="B147">
        <f>HYPERLINK("https://www.suredividend.com/sure-analysis-BAM/","Brookfield Asset Management Inc.")</f>
        <v>0</v>
      </c>
      <c r="C147">
        <v>58.47</v>
      </c>
      <c r="D147">
        <v>26</v>
      </c>
      <c r="E147">
        <v>2.248846153846154</v>
      </c>
      <c r="F147">
        <v>0.008893449632290064</v>
      </c>
      <c r="G147">
        <v>-0.1496297642264589</v>
      </c>
      <c r="H147">
        <v>0.07000000000000001</v>
      </c>
      <c r="I147">
        <v>-0.07504744252600382</v>
      </c>
      <c r="J147" t="s">
        <v>776</v>
      </c>
      <c r="K147" t="s">
        <v>513</v>
      </c>
      <c r="L147">
        <v>2.15</v>
      </c>
      <c r="M147">
        <v>0.52</v>
      </c>
      <c r="N147">
        <v>0.2418604651162791</v>
      </c>
      <c r="O147">
        <v>10</v>
      </c>
      <c r="P147">
        <v>0.06125302037503699</v>
      </c>
      <c r="Q147">
        <v>0.4836570823511611</v>
      </c>
      <c r="R147" t="s">
        <v>780</v>
      </c>
      <c r="S147" t="s">
        <v>790</v>
      </c>
      <c r="T147">
        <v>96533.855931</v>
      </c>
      <c r="U147" s="2">
        <v>44436</v>
      </c>
      <c r="V147" t="s">
        <v>798</v>
      </c>
    </row>
    <row r="148" spans="1:22">
      <c r="A148" s="1" t="s">
        <v>168</v>
      </c>
      <c r="B148">
        <f>HYPERLINK("https://www.suredividend.com/sure-analysis-NUE/","Nucor Corp.")</f>
        <v>0</v>
      </c>
      <c r="C148">
        <v>119.38</v>
      </c>
      <c r="D148">
        <v>60</v>
      </c>
      <c r="E148">
        <v>1.989666666666667</v>
      </c>
      <c r="F148">
        <v>0.01357011224660747</v>
      </c>
      <c r="G148">
        <v>-0.1285470685150325</v>
      </c>
      <c r="H148">
        <v>0.037</v>
      </c>
      <c r="I148">
        <v>-0.07559074854699499</v>
      </c>
      <c r="J148" t="s">
        <v>776</v>
      </c>
      <c r="K148" t="s">
        <v>777</v>
      </c>
      <c r="L148">
        <v>22.95</v>
      </c>
      <c r="M148">
        <v>1.62</v>
      </c>
      <c r="N148">
        <v>0.07058823529411766</v>
      </c>
      <c r="O148">
        <v>48</v>
      </c>
      <c r="P148">
        <v>0.02129568760013512</v>
      </c>
      <c r="Q148">
        <v>1.325992730665319</v>
      </c>
      <c r="R148" t="s">
        <v>780</v>
      </c>
      <c r="S148" t="s">
        <v>788</v>
      </c>
      <c r="T148">
        <v>34201.551252</v>
      </c>
      <c r="U148" s="2">
        <v>44491</v>
      </c>
      <c r="V148" t="s">
        <v>805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109.95</v>
      </c>
      <c r="D149">
        <v>51</v>
      </c>
      <c r="E149">
        <v>2.155882352941176</v>
      </c>
      <c r="F149">
        <v>0.007276034561164166</v>
      </c>
      <c r="G149">
        <v>-0.142419319957855</v>
      </c>
      <c r="H149">
        <v>0.05</v>
      </c>
      <c r="I149">
        <v>-0.085409902741857</v>
      </c>
      <c r="J149" t="s">
        <v>776</v>
      </c>
      <c r="K149" t="s">
        <v>513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0.3783898363720301</v>
      </c>
      <c r="R149" t="s">
        <v>780</v>
      </c>
      <c r="S149" t="s">
        <v>787</v>
      </c>
      <c r="T149">
        <v>3204.905845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109.73</v>
      </c>
      <c r="D150">
        <v>48.6</v>
      </c>
      <c r="E150">
        <v>2.257818930041152</v>
      </c>
      <c r="F150">
        <v>0.0105714025334913</v>
      </c>
      <c r="G150">
        <v>-0.150306730826526</v>
      </c>
      <c r="H150">
        <v>0.045</v>
      </c>
      <c r="I150">
        <v>-0.09535492879159613</v>
      </c>
      <c r="J150" t="s">
        <v>776</v>
      </c>
      <c r="K150" t="s">
        <v>372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0.613477160198863</v>
      </c>
      <c r="R150" t="s">
        <v>780</v>
      </c>
      <c r="S150" t="s">
        <v>792</v>
      </c>
      <c r="T150">
        <v>1943.743396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275.16</v>
      </c>
      <c r="D151">
        <v>97</v>
      </c>
      <c r="E151">
        <v>2.836701030927835</v>
      </c>
      <c r="F151">
        <v>0.0056694286960314</v>
      </c>
      <c r="G151">
        <v>-0.1882219824780353</v>
      </c>
      <c r="H151">
        <v>0.1</v>
      </c>
      <c r="I151">
        <v>-0.09570299249070158</v>
      </c>
      <c r="J151" t="s">
        <v>776</v>
      </c>
      <c r="K151" t="s">
        <v>513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1.239549754225591</v>
      </c>
      <c r="R151" t="s">
        <v>780</v>
      </c>
      <c r="S151" t="s">
        <v>788</v>
      </c>
      <c r="T151">
        <v>33197.879048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213.24</v>
      </c>
      <c r="D152">
        <v>265</v>
      </c>
      <c r="E152">
        <v>0.8046792452830189</v>
      </c>
      <c r="F152">
        <v>0.018758206715438</v>
      </c>
      <c r="G152">
        <v>0.04442062602114549</v>
      </c>
      <c r="H152">
        <v>0.15</v>
      </c>
      <c r="I152">
        <v>0.2099650000752129</v>
      </c>
      <c r="J152" t="s">
        <v>777</v>
      </c>
      <c r="K152" t="s">
        <v>372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0.041372849876418</v>
      </c>
      <c r="R152" t="s">
        <v>780</v>
      </c>
      <c r="S152" t="s">
        <v>785</v>
      </c>
      <c r="T152">
        <v>70113.545801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24.76</v>
      </c>
      <c r="D153">
        <v>36</v>
      </c>
      <c r="E153">
        <v>0.6877777777777778</v>
      </c>
      <c r="F153">
        <v>0.0840064620355412</v>
      </c>
      <c r="G153">
        <v>0.07773099241124082</v>
      </c>
      <c r="H153">
        <v>0.03</v>
      </c>
      <c r="I153">
        <v>0.1632034960256941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-0.07969402620822701</v>
      </c>
      <c r="R153" t="s">
        <v>780</v>
      </c>
      <c r="S153" t="s">
        <v>784</v>
      </c>
      <c r="T153">
        <v>176358</v>
      </c>
      <c r="U153" s="2">
        <v>44490</v>
      </c>
      <c r="V153" t="s">
        <v>799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293</v>
      </c>
      <c r="D154">
        <v>413</v>
      </c>
      <c r="E154">
        <v>0.7094430992736077</v>
      </c>
      <c r="F154">
        <v>0.00477815699658703</v>
      </c>
      <c r="G154">
        <v>0.07106662397328867</v>
      </c>
      <c r="H154">
        <v>0.08</v>
      </c>
      <c r="I154">
        <v>0.1603096079415391</v>
      </c>
      <c r="J154" t="s">
        <v>777</v>
      </c>
      <c r="K154" t="s">
        <v>513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0.05072249422125701</v>
      </c>
      <c r="R154" t="s">
        <v>780</v>
      </c>
      <c r="S154" t="s">
        <v>789</v>
      </c>
      <c r="T154">
        <v>8927.322969999999</v>
      </c>
      <c r="U154" s="2">
        <v>44493</v>
      </c>
      <c r="V154" t="s">
        <v>801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52.04</v>
      </c>
      <c r="D155">
        <v>61</v>
      </c>
      <c r="E155">
        <v>0.8531147540983607</v>
      </c>
      <c r="F155">
        <v>0.01921598770176787</v>
      </c>
      <c r="G155">
        <v>0.03228236807058393</v>
      </c>
      <c r="H155">
        <v>0.09</v>
      </c>
      <c r="I155">
        <v>0.1404195661602892</v>
      </c>
      <c r="J155" t="s">
        <v>777</v>
      </c>
      <c r="K155" t="s">
        <v>372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0.06188013185372401</v>
      </c>
      <c r="R155" t="s">
        <v>780</v>
      </c>
      <c r="S155" t="s">
        <v>784</v>
      </c>
      <c r="T155">
        <v>234858.746292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204.53</v>
      </c>
      <c r="D156">
        <v>225</v>
      </c>
      <c r="E156">
        <v>0.9090222222222222</v>
      </c>
      <c r="F156">
        <v>0.03442037842859239</v>
      </c>
      <c r="G156">
        <v>0.01926027911229378</v>
      </c>
      <c r="H156">
        <v>0.09</v>
      </c>
      <c r="I156">
        <v>0.1390166533895152</v>
      </c>
      <c r="J156" t="s">
        <v>777</v>
      </c>
      <c r="K156" t="s">
        <v>777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-0.06348597746601201</v>
      </c>
      <c r="R156" t="s">
        <v>780</v>
      </c>
      <c r="S156" t="s">
        <v>785</v>
      </c>
      <c r="T156">
        <v>114190.896312</v>
      </c>
      <c r="U156" s="2">
        <v>44503</v>
      </c>
      <c r="V156" t="s">
        <v>796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51.75</v>
      </c>
      <c r="D157">
        <v>70</v>
      </c>
      <c r="E157">
        <v>0.7392857142857143</v>
      </c>
      <c r="F157">
        <v>0.04946859903381642</v>
      </c>
      <c r="G157">
        <v>0.06227640995380002</v>
      </c>
      <c r="H157">
        <v>0.04</v>
      </c>
      <c r="I157">
        <v>0.1379899684238899</v>
      </c>
      <c r="J157" t="s">
        <v>777</v>
      </c>
      <c r="K157" t="s">
        <v>776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-0.093516904660983</v>
      </c>
      <c r="R157" t="s">
        <v>780</v>
      </c>
      <c r="S157" t="s">
        <v>784</v>
      </c>
      <c r="T157">
        <v>213384.0472</v>
      </c>
      <c r="U157" s="2">
        <v>44489</v>
      </c>
      <c r="V157" t="s">
        <v>796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30.63</v>
      </c>
      <c r="D158">
        <v>59</v>
      </c>
      <c r="E158">
        <v>0.5191525423728813</v>
      </c>
      <c r="F158">
        <v>0.0257917074763304</v>
      </c>
      <c r="G158">
        <v>0.1400949000644061</v>
      </c>
      <c r="H158">
        <v>-0.02</v>
      </c>
      <c r="I158">
        <v>0.135889034363109</v>
      </c>
      <c r="J158" t="s">
        <v>777</v>
      </c>
      <c r="K158" t="s">
        <v>777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0.326061877294179</v>
      </c>
      <c r="R158" t="s">
        <v>780</v>
      </c>
      <c r="S158" t="s">
        <v>793</v>
      </c>
      <c r="T158">
        <v>177.24198</v>
      </c>
      <c r="U158" s="2">
        <v>44506</v>
      </c>
      <c r="V158" t="s">
        <v>796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46.34</v>
      </c>
      <c r="D159">
        <v>60</v>
      </c>
      <c r="E159">
        <v>0.7723333333333334</v>
      </c>
      <c r="F159">
        <v>0.04056970220112213</v>
      </c>
      <c r="G159">
        <v>0.05302587831078243</v>
      </c>
      <c r="H159">
        <v>0.05</v>
      </c>
      <c r="I159">
        <v>0.1347148762052413</v>
      </c>
      <c r="J159" t="s">
        <v>777</v>
      </c>
      <c r="K159" t="s">
        <v>776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0.304182133833928</v>
      </c>
      <c r="R159" t="s">
        <v>781</v>
      </c>
      <c r="S159" t="s">
        <v>790</v>
      </c>
      <c r="T159">
        <v>5209.793404</v>
      </c>
      <c r="U159" s="2">
        <v>44508</v>
      </c>
      <c r="V159" t="s">
        <v>802</v>
      </c>
    </row>
    <row r="160" spans="1:22">
      <c r="A160" s="1" t="s">
        <v>180</v>
      </c>
      <c r="B160">
        <f>HYPERLINK("https://www.suredividend.com/sure-analysis-IPG/","Interpublic Group Of Cos., Inc.")</f>
        <v>0</v>
      </c>
      <c r="C160">
        <v>34.51</v>
      </c>
      <c r="D160">
        <v>41</v>
      </c>
      <c r="E160">
        <v>0.8417073170731707</v>
      </c>
      <c r="F160">
        <v>0.03129527673138221</v>
      </c>
      <c r="G160">
        <v>0.03506537183799563</v>
      </c>
      <c r="H160">
        <v>0.07000000000000001</v>
      </c>
      <c r="I160">
        <v>0.1316722292789396</v>
      </c>
      <c r="J160" t="s">
        <v>777</v>
      </c>
      <c r="K160" t="s">
        <v>777</v>
      </c>
      <c r="L160">
        <v>2.58</v>
      </c>
      <c r="M160">
        <v>1.08</v>
      </c>
      <c r="N160">
        <v>0.4186046511627907</v>
      </c>
      <c r="O160">
        <v>10</v>
      </c>
      <c r="P160">
        <v>0.06504410274056371</v>
      </c>
      <c r="Q160">
        <v>0.6450411499949671</v>
      </c>
      <c r="R160" t="s">
        <v>780</v>
      </c>
      <c r="S160" t="s">
        <v>784</v>
      </c>
      <c r="T160">
        <v>13513.680523</v>
      </c>
      <c r="U160" s="2">
        <v>44494</v>
      </c>
      <c r="V160" t="s">
        <v>795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135.47</v>
      </c>
      <c r="D161">
        <v>160</v>
      </c>
      <c r="E161">
        <v>0.8466875</v>
      </c>
      <c r="F161">
        <v>0.01668266036760906</v>
      </c>
      <c r="G161">
        <v>0.03384485398679438</v>
      </c>
      <c r="H161">
        <v>0.08</v>
      </c>
      <c r="I161">
        <v>0.1300290636774868</v>
      </c>
      <c r="J161" t="s">
        <v>777</v>
      </c>
      <c r="K161" t="s">
        <v>372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0.180930012785591</v>
      </c>
      <c r="R161" t="s">
        <v>780</v>
      </c>
      <c r="S161" t="s">
        <v>786</v>
      </c>
      <c r="T161">
        <v>167027.116692</v>
      </c>
      <c r="U161" s="2">
        <v>44507</v>
      </c>
      <c r="V161" t="s">
        <v>800</v>
      </c>
    </row>
    <row r="162" spans="1:22">
      <c r="A162" s="1" t="s">
        <v>182</v>
      </c>
      <c r="B162">
        <f>HYPERLINK("https://www.suredividend.com/sure-analysis-OGN/","Organon &amp; Co.")</f>
        <v>0</v>
      </c>
      <c r="C162">
        <v>31.2</v>
      </c>
      <c r="D162">
        <v>44</v>
      </c>
      <c r="E162">
        <v>0.7090909090909091</v>
      </c>
      <c r="F162">
        <v>0.0358974358974359</v>
      </c>
      <c r="G162">
        <v>0.07117299798678101</v>
      </c>
      <c r="H162">
        <v>0.03</v>
      </c>
      <c r="I162">
        <v>0.1286338563498624</v>
      </c>
      <c r="J162" t="s">
        <v>777</v>
      </c>
      <c r="K162" t="s">
        <v>776</v>
      </c>
      <c r="L162">
        <v>6.3</v>
      </c>
      <c r="M162">
        <v>1.12</v>
      </c>
      <c r="N162">
        <v>0.1777777777777778</v>
      </c>
      <c r="O162">
        <v>0</v>
      </c>
      <c r="P162">
        <v>0.03025579475561258</v>
      </c>
      <c r="Q162">
        <v>-0.048421052631578</v>
      </c>
      <c r="R162" t="s">
        <v>780</v>
      </c>
      <c r="S162" t="s">
        <v>785</v>
      </c>
      <c r="T162">
        <v>8022.322918</v>
      </c>
      <c r="U162" s="2">
        <v>44512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16.9</v>
      </c>
      <c r="D163">
        <v>23</v>
      </c>
      <c r="E163">
        <v>0.7347826086956522</v>
      </c>
      <c r="F163">
        <v>0.05562130177514793</v>
      </c>
      <c r="G163">
        <v>0.06357525926413787</v>
      </c>
      <c r="H163">
        <v>0.02</v>
      </c>
      <c r="I163">
        <v>0.1266507301668238</v>
      </c>
      <c r="J163" t="s">
        <v>777</v>
      </c>
      <c r="K163" t="s">
        <v>776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-0.152964375703373</v>
      </c>
      <c r="R163" t="s">
        <v>780</v>
      </c>
      <c r="S163" t="s">
        <v>790</v>
      </c>
      <c r="T163">
        <v>6838.133082</v>
      </c>
      <c r="U163" s="2">
        <v>44517</v>
      </c>
      <c r="V163" t="s">
        <v>802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14.75</v>
      </c>
      <c r="D164">
        <v>16</v>
      </c>
      <c r="E164">
        <v>0.921875</v>
      </c>
      <c r="F164">
        <v>0.04745762711864406</v>
      </c>
      <c r="G164">
        <v>0.01640219077828098</v>
      </c>
      <c r="H164">
        <v>0.07000000000000001</v>
      </c>
      <c r="I164">
        <v>0.1263784272800652</v>
      </c>
      <c r="J164" t="s">
        <v>777</v>
      </c>
      <c r="K164" t="s">
        <v>776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-0.358482337549062</v>
      </c>
      <c r="R164" t="s">
        <v>780</v>
      </c>
      <c r="S164" t="s">
        <v>790</v>
      </c>
      <c r="T164">
        <v>54776.928188</v>
      </c>
      <c r="U164" s="2">
        <v>44517</v>
      </c>
      <c r="V164" t="s">
        <v>795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49.1</v>
      </c>
      <c r="D165">
        <v>63</v>
      </c>
      <c r="E165">
        <v>0.7793650793650794</v>
      </c>
      <c r="F165">
        <v>0.02830957230142566</v>
      </c>
      <c r="G165">
        <v>0.05111881850686784</v>
      </c>
      <c r="H165">
        <v>0.05</v>
      </c>
      <c r="I165">
        <v>0.1249472199714379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0.126244225257885</v>
      </c>
      <c r="R165" t="s">
        <v>780</v>
      </c>
      <c r="S165" t="s">
        <v>786</v>
      </c>
      <c r="T165">
        <v>202658.61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69.11</v>
      </c>
      <c r="D166">
        <v>87</v>
      </c>
      <c r="E166">
        <v>0.7943678160919541</v>
      </c>
      <c r="F166">
        <v>0.04051512082187816</v>
      </c>
      <c r="G166">
        <v>0.04711811268196286</v>
      </c>
      <c r="H166">
        <v>0.04</v>
      </c>
      <c r="I166">
        <v>0.1209938488065168</v>
      </c>
      <c r="J166" t="s">
        <v>777</v>
      </c>
      <c r="K166" t="s">
        <v>776</v>
      </c>
      <c r="L166">
        <v>6.2</v>
      </c>
      <c r="M166">
        <v>2.8</v>
      </c>
      <c r="N166">
        <v>0.4516129032258064</v>
      </c>
      <c r="O166">
        <v>1</v>
      </c>
      <c r="P166">
        <v>0.05502951838285242</v>
      </c>
      <c r="Q166">
        <v>0.185236237945312</v>
      </c>
      <c r="R166" t="s">
        <v>780</v>
      </c>
      <c r="S166" t="s">
        <v>784</v>
      </c>
      <c r="T166">
        <v>14475.235348</v>
      </c>
      <c r="U166" s="2">
        <v>44491</v>
      </c>
      <c r="V166" t="s">
        <v>800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125.32</v>
      </c>
      <c r="D167">
        <v>151</v>
      </c>
      <c r="E167">
        <v>0.8299337748344371</v>
      </c>
      <c r="F167">
        <v>0.03511011809766997</v>
      </c>
      <c r="G167">
        <v>0.03798556090021288</v>
      </c>
      <c r="H167">
        <v>0.05</v>
      </c>
      <c r="I167">
        <v>0.1173531037390827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-0.0175913651824</v>
      </c>
      <c r="R167" t="s">
        <v>780</v>
      </c>
      <c r="S167" t="s">
        <v>792</v>
      </c>
      <c r="T167">
        <v>39900.074958</v>
      </c>
      <c r="U167" s="2">
        <v>44516</v>
      </c>
      <c r="V167" t="s">
        <v>803</v>
      </c>
    </row>
    <row r="168" spans="1:22">
      <c r="A168" s="1" t="s">
        <v>188</v>
      </c>
      <c r="B168">
        <f>HYPERLINK("https://www.suredividend.com/sure-analysis-MURGF/","Münchener Rückversicherungs-Gesellschaft AG")</f>
        <v>0</v>
      </c>
      <c r="C168">
        <v>280.3</v>
      </c>
      <c r="D168">
        <v>338</v>
      </c>
      <c r="E168">
        <v>0.8292899408284023</v>
      </c>
      <c r="F168">
        <v>0.0463788797716732</v>
      </c>
      <c r="G168">
        <v>0.03814668258515108</v>
      </c>
      <c r="H168">
        <v>0.04</v>
      </c>
      <c r="I168">
        <v>0.1166537394142959</v>
      </c>
      <c r="J168" t="s">
        <v>777</v>
      </c>
      <c r="K168" t="s">
        <v>776</v>
      </c>
      <c r="L168">
        <v>27</v>
      </c>
      <c r="M168">
        <v>13</v>
      </c>
      <c r="N168">
        <v>0.4814814814814815</v>
      </c>
      <c r="O168">
        <v>6</v>
      </c>
      <c r="P168">
        <v>0.0499789846479779</v>
      </c>
      <c r="Q168">
        <v>0.006287048679719001</v>
      </c>
      <c r="R168" t="s">
        <v>780</v>
      </c>
      <c r="S168" t="s">
        <v>790</v>
      </c>
      <c r="T168">
        <v>39241.710573</v>
      </c>
      <c r="U168" s="2">
        <v>44516</v>
      </c>
      <c r="V168" t="s">
        <v>795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62.69</v>
      </c>
      <c r="D169">
        <v>71</v>
      </c>
      <c r="E169">
        <v>0.8829577464788733</v>
      </c>
      <c r="F169">
        <v>0.0437071303238156</v>
      </c>
      <c r="G169">
        <v>0.02520806922031582</v>
      </c>
      <c r="H169">
        <v>0.055</v>
      </c>
      <c r="I169">
        <v>0.1163647337358729</v>
      </c>
      <c r="J169" t="s">
        <v>777</v>
      </c>
      <c r="K169" t="s">
        <v>776</v>
      </c>
      <c r="L169">
        <v>4.45</v>
      </c>
      <c r="M169">
        <v>2.74</v>
      </c>
      <c r="N169">
        <v>0.6157303370786517</v>
      </c>
      <c r="O169">
        <v>19</v>
      </c>
      <c r="P169">
        <v>0.05017940304678881</v>
      </c>
      <c r="Q169">
        <v>0.025333106463181</v>
      </c>
      <c r="R169" t="s">
        <v>780</v>
      </c>
      <c r="S169" t="s">
        <v>792</v>
      </c>
      <c r="T169">
        <v>3239.0438</v>
      </c>
      <c r="U169" s="2">
        <v>44432</v>
      </c>
      <c r="V169" t="s">
        <v>797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44.24</v>
      </c>
      <c r="D170">
        <v>50.8</v>
      </c>
      <c r="E170">
        <v>0.8708661417322836</v>
      </c>
      <c r="F170">
        <v>0.081374321880651</v>
      </c>
      <c r="G170">
        <v>0.02803930370078223</v>
      </c>
      <c r="H170">
        <v>0.022</v>
      </c>
      <c r="I170">
        <v>0.113772731466977</v>
      </c>
      <c r="J170" t="s">
        <v>777</v>
      </c>
      <c r="K170" t="s">
        <v>776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0.184820081878905</v>
      </c>
      <c r="R170" t="s">
        <v>780</v>
      </c>
      <c r="S170" t="s">
        <v>791</v>
      </c>
      <c r="T170">
        <v>80809.13828</v>
      </c>
      <c r="U170" s="2">
        <v>44506</v>
      </c>
      <c r="V170" t="s">
        <v>805</v>
      </c>
    </row>
    <row r="171" spans="1:22">
      <c r="A171" s="1" t="s">
        <v>191</v>
      </c>
      <c r="B171">
        <f>HYPERLINK("https://www.suredividend.com/sure-analysis-ENB/","Enbridge Inc")</f>
        <v>0</v>
      </c>
      <c r="C171">
        <v>39.81</v>
      </c>
      <c r="D171">
        <v>43</v>
      </c>
      <c r="E171">
        <v>0.9258139534883721</v>
      </c>
      <c r="F171">
        <v>0.06757096206983169</v>
      </c>
      <c r="G171">
        <v>0.01553584138276709</v>
      </c>
      <c r="H171">
        <v>0.04</v>
      </c>
      <c r="I171">
        <v>0.1119983759215275</v>
      </c>
      <c r="J171" t="s">
        <v>777</v>
      </c>
      <c r="K171" t="s">
        <v>776</v>
      </c>
      <c r="L171">
        <v>3.88</v>
      </c>
      <c r="M171">
        <v>2.69</v>
      </c>
      <c r="N171">
        <v>0.6932989690721649</v>
      </c>
      <c r="O171">
        <v>26</v>
      </c>
      <c r="P171">
        <v>0.04486096680385954</v>
      </c>
      <c r="Q171">
        <v>0.445141731533893</v>
      </c>
      <c r="R171" t="s">
        <v>780</v>
      </c>
      <c r="S171" t="s">
        <v>793</v>
      </c>
      <c r="T171">
        <v>79964.740072</v>
      </c>
      <c r="U171" s="2">
        <v>44505</v>
      </c>
      <c r="V171" t="s">
        <v>800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82.67</v>
      </c>
      <c r="D172">
        <v>100</v>
      </c>
      <c r="E172">
        <v>0.8267</v>
      </c>
      <c r="F172">
        <v>0.03870811660820128</v>
      </c>
      <c r="G172">
        <v>0.03879634398956266</v>
      </c>
      <c r="H172">
        <v>0.04</v>
      </c>
      <c r="I172">
        <v>0.1106012291407255</v>
      </c>
      <c r="J172" t="s">
        <v>777</v>
      </c>
      <c r="K172" t="s">
        <v>776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-0.033552325083904</v>
      </c>
      <c r="R172" t="s">
        <v>780</v>
      </c>
      <c r="S172" t="s">
        <v>785</v>
      </c>
      <c r="T172">
        <v>197967.109214</v>
      </c>
      <c r="U172" s="2">
        <v>44496</v>
      </c>
      <c r="V172" t="s">
        <v>796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21.99</v>
      </c>
      <c r="D173">
        <v>24.1</v>
      </c>
      <c r="E173">
        <v>0.9124481327800829</v>
      </c>
      <c r="F173">
        <v>0.08185538881309687</v>
      </c>
      <c r="G173">
        <v>0.01849373675479571</v>
      </c>
      <c r="H173">
        <v>0.026</v>
      </c>
      <c r="I173">
        <v>0.1087448647570102</v>
      </c>
      <c r="J173" t="s">
        <v>777</v>
      </c>
      <c r="K173" t="s">
        <v>776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0.255253987898005</v>
      </c>
      <c r="R173" t="s">
        <v>781</v>
      </c>
      <c r="S173" t="s">
        <v>793</v>
      </c>
      <c r="T173">
        <v>48028.680354</v>
      </c>
      <c r="U173" s="2">
        <v>44506</v>
      </c>
      <c r="V173" t="s">
        <v>805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126.09</v>
      </c>
      <c r="D174">
        <v>113</v>
      </c>
      <c r="E174">
        <v>1.115840707964602</v>
      </c>
      <c r="F174">
        <v>0.01586168609723214</v>
      </c>
      <c r="G174">
        <v>-0.02168309118649681</v>
      </c>
      <c r="H174">
        <v>0.12</v>
      </c>
      <c r="I174">
        <v>0.1085712854851268</v>
      </c>
      <c r="J174" t="s">
        <v>777</v>
      </c>
      <c r="K174" t="s">
        <v>513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0.225429874249791</v>
      </c>
      <c r="R174" t="s">
        <v>780</v>
      </c>
      <c r="S174" t="s">
        <v>789</v>
      </c>
      <c r="T174">
        <v>37072.543536</v>
      </c>
      <c r="U174" s="2">
        <v>44510</v>
      </c>
      <c r="V174" t="s">
        <v>803</v>
      </c>
    </row>
    <row r="175" spans="1:22">
      <c r="A175" s="1" t="s">
        <v>195</v>
      </c>
      <c r="B175">
        <f>HYPERLINK("https://www.suredividend.com/sure-analysis-FNV/","Franco-Nevada Corporation")</f>
        <v>0</v>
      </c>
      <c r="C175">
        <v>139.17</v>
      </c>
      <c r="D175">
        <v>161</v>
      </c>
      <c r="E175">
        <v>0.8644099378881986</v>
      </c>
      <c r="F175">
        <v>0.008622547962923045</v>
      </c>
      <c r="G175">
        <v>0.02957040376078446</v>
      </c>
      <c r="H175">
        <v>0.065</v>
      </c>
      <c r="I175">
        <v>0.1039407707465174</v>
      </c>
      <c r="J175" t="s">
        <v>777</v>
      </c>
      <c r="K175" t="s">
        <v>513</v>
      </c>
      <c r="L175">
        <v>3.49</v>
      </c>
      <c r="M175">
        <v>1.2</v>
      </c>
      <c r="N175">
        <v>0.3438395415472779</v>
      </c>
      <c r="O175">
        <v>14</v>
      </c>
      <c r="P175">
        <v>0.0796084730466029</v>
      </c>
      <c r="Q175">
        <v>0.09449442714042201</v>
      </c>
      <c r="R175" t="s">
        <v>780</v>
      </c>
      <c r="S175" t="s">
        <v>788</v>
      </c>
      <c r="T175">
        <v>26994.431518</v>
      </c>
      <c r="U175" s="2">
        <v>44508</v>
      </c>
      <c r="V175" t="s">
        <v>801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10.34</v>
      </c>
      <c r="D176">
        <v>10.5</v>
      </c>
      <c r="E176">
        <v>0.9847619047619047</v>
      </c>
      <c r="F176">
        <v>0.05802707930367505</v>
      </c>
      <c r="G176">
        <v>0.003075798206698455</v>
      </c>
      <c r="H176">
        <v>0.05</v>
      </c>
      <c r="I176">
        <v>0.1031700140840672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0.012948207171314</v>
      </c>
      <c r="R176" t="s">
        <v>780</v>
      </c>
      <c r="S176" t="s">
        <v>792</v>
      </c>
      <c r="T176">
        <v>11005.5672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22.31</v>
      </c>
      <c r="D177">
        <v>24</v>
      </c>
      <c r="E177">
        <v>0.9295833333333333</v>
      </c>
      <c r="F177">
        <v>0.03585835948005379</v>
      </c>
      <c r="G177">
        <v>0.01471092033910715</v>
      </c>
      <c r="H177">
        <v>0.055</v>
      </c>
      <c r="I177">
        <v>0.1018211334201593</v>
      </c>
      <c r="J177" t="s">
        <v>777</v>
      </c>
      <c r="K177" t="s">
        <v>776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0.329155871543049</v>
      </c>
      <c r="R177" t="s">
        <v>780</v>
      </c>
      <c r="S177" t="s">
        <v>790</v>
      </c>
      <c r="T177">
        <v>521.001918</v>
      </c>
      <c r="U177" s="2">
        <v>44506</v>
      </c>
      <c r="V177" t="s">
        <v>800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40.71</v>
      </c>
      <c r="D178">
        <v>46</v>
      </c>
      <c r="E178">
        <v>0.885</v>
      </c>
      <c r="F178">
        <v>0.08106116433308769</v>
      </c>
      <c r="G178">
        <v>0.02473447145840368</v>
      </c>
      <c r="H178">
        <v>0.015</v>
      </c>
      <c r="I178">
        <v>0.1016433147165841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0.513712679480361</v>
      </c>
      <c r="R178" t="s">
        <v>781</v>
      </c>
      <c r="S178" t="s">
        <v>793</v>
      </c>
      <c r="T178">
        <v>3321.582102</v>
      </c>
      <c r="U178" s="2">
        <v>44507</v>
      </c>
      <c r="V178" t="s">
        <v>800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69.84</v>
      </c>
      <c r="D179">
        <v>76</v>
      </c>
      <c r="E179">
        <v>0.9189473684210526</v>
      </c>
      <c r="F179">
        <v>0.034077892325315</v>
      </c>
      <c r="G179">
        <v>0.01704898873206373</v>
      </c>
      <c r="H179">
        <v>0.055</v>
      </c>
      <c r="I179">
        <v>0.1013003456662069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0.06768300939204</v>
      </c>
      <c r="R179" t="s">
        <v>780</v>
      </c>
      <c r="S179" t="s">
        <v>792</v>
      </c>
      <c r="T179">
        <v>4190.120979</v>
      </c>
      <c r="U179" s="2">
        <v>44511</v>
      </c>
      <c r="V179" t="s">
        <v>801</v>
      </c>
    </row>
    <row r="180" spans="1:22">
      <c r="A180" s="1" t="s">
        <v>200</v>
      </c>
      <c r="B180">
        <f>HYPERLINK("https://www.suredividend.com/sure-analysis-TDS/","Telephone And Data Systems, Inc.")</f>
        <v>0</v>
      </c>
      <c r="C180">
        <v>19.5</v>
      </c>
      <c r="D180">
        <v>25</v>
      </c>
      <c r="E180">
        <v>0.78</v>
      </c>
      <c r="F180">
        <v>0.03589743589743589</v>
      </c>
      <c r="G180">
        <v>0.0509476404473832</v>
      </c>
      <c r="H180">
        <v>0.02</v>
      </c>
      <c r="I180">
        <v>0.1001446590687489</v>
      </c>
      <c r="J180" t="s">
        <v>777</v>
      </c>
      <c r="K180" t="s">
        <v>776</v>
      </c>
      <c r="L180">
        <v>0.93</v>
      </c>
      <c r="M180">
        <v>0.7</v>
      </c>
      <c r="N180">
        <v>0.7526881720430106</v>
      </c>
      <c r="O180">
        <v>45</v>
      </c>
      <c r="P180">
        <v>0.02962100943384161</v>
      </c>
      <c r="Q180">
        <v>0.05513654383427</v>
      </c>
      <c r="R180" t="s">
        <v>780</v>
      </c>
      <c r="S180" t="s">
        <v>784</v>
      </c>
      <c r="T180">
        <v>2052.073842</v>
      </c>
      <c r="U180" s="2">
        <v>44515</v>
      </c>
      <c r="V180" t="s">
        <v>801</v>
      </c>
    </row>
    <row r="181" spans="1:22">
      <c r="A181" s="1" t="s">
        <v>201</v>
      </c>
      <c r="B181">
        <f>HYPERLINK("https://www.suredividend.com/sure-analysis-BIP/","Brookfield Infrastructure Partners L.P")</f>
        <v>0</v>
      </c>
      <c r="C181">
        <v>56.95</v>
      </c>
      <c r="D181">
        <v>56</v>
      </c>
      <c r="E181">
        <v>1.016964285714286</v>
      </c>
      <c r="F181">
        <v>0.03582089552238806</v>
      </c>
      <c r="G181">
        <v>-0.003358746580204741</v>
      </c>
      <c r="H181">
        <v>0.07000000000000001</v>
      </c>
      <c r="I181">
        <v>0.0994156421729786</v>
      </c>
      <c r="J181" t="s">
        <v>777</v>
      </c>
      <c r="K181" t="s">
        <v>777</v>
      </c>
      <c r="L181">
        <v>3.5</v>
      </c>
      <c r="M181">
        <v>2.04</v>
      </c>
      <c r="N181">
        <v>0.5828571428571429</v>
      </c>
      <c r="O181">
        <v>12</v>
      </c>
      <c r="P181">
        <v>0.0801851873035635</v>
      </c>
      <c r="Q181">
        <v>0.130727078695247</v>
      </c>
      <c r="R181" t="s">
        <v>781</v>
      </c>
      <c r="S181" t="s">
        <v>792</v>
      </c>
      <c r="T181">
        <v>16715.428664</v>
      </c>
      <c r="U181" s="2">
        <v>44506</v>
      </c>
      <c r="V181" t="s">
        <v>804</v>
      </c>
    </row>
    <row r="182" spans="1:22">
      <c r="A182" s="1" t="s">
        <v>202</v>
      </c>
      <c r="B182">
        <f>HYPERLINK("https://www.suredividend.com/sure-analysis-HBI/","Hanesbrands Inc")</f>
        <v>0</v>
      </c>
      <c r="C182">
        <v>17</v>
      </c>
      <c r="D182">
        <v>18</v>
      </c>
      <c r="E182">
        <v>0.9444444444444444</v>
      </c>
      <c r="F182">
        <v>0.03529411764705882</v>
      </c>
      <c r="G182">
        <v>0.01149727415513624</v>
      </c>
      <c r="H182">
        <v>0.06</v>
      </c>
      <c r="I182">
        <v>0.09885489442435036</v>
      </c>
      <c r="J182" t="s">
        <v>777</v>
      </c>
      <c r="K182" t="s">
        <v>776</v>
      </c>
      <c r="L182">
        <v>1.82</v>
      </c>
      <c r="M182">
        <v>0.6</v>
      </c>
      <c r="N182">
        <v>0.3296703296703297</v>
      </c>
      <c r="O182">
        <v>0</v>
      </c>
      <c r="P182">
        <v>0.01613736474159566</v>
      </c>
      <c r="Q182">
        <v>0.300128042913317</v>
      </c>
      <c r="R182" t="s">
        <v>780</v>
      </c>
      <c r="S182" t="s">
        <v>789</v>
      </c>
      <c r="T182">
        <v>5992.349443</v>
      </c>
      <c r="U182" s="2">
        <v>44512</v>
      </c>
      <c r="V182" t="s">
        <v>803</v>
      </c>
    </row>
    <row r="183" spans="1:22">
      <c r="A183" s="1" t="s">
        <v>203</v>
      </c>
      <c r="B183">
        <f>HYPERLINK("https://www.suredividend.com/sure-analysis-EVRG/","Evergy Inc")</f>
        <v>0</v>
      </c>
      <c r="C183">
        <v>66.2</v>
      </c>
      <c r="D183">
        <v>65</v>
      </c>
      <c r="E183">
        <v>1.018461538461539</v>
      </c>
      <c r="F183">
        <v>0.03459214501510574</v>
      </c>
      <c r="G183">
        <v>-0.003651953945968622</v>
      </c>
      <c r="H183">
        <v>0.07000000000000001</v>
      </c>
      <c r="I183">
        <v>0.09745712537450602</v>
      </c>
      <c r="J183" t="s">
        <v>777</v>
      </c>
      <c r="K183" t="s">
        <v>777</v>
      </c>
      <c r="L183">
        <v>3.55</v>
      </c>
      <c r="M183">
        <v>2.29</v>
      </c>
      <c r="N183">
        <v>0.6450704225352113</v>
      </c>
      <c r="O183">
        <v>17</v>
      </c>
      <c r="P183">
        <v>0.07318952131901812</v>
      </c>
      <c r="Q183">
        <v>0.262552384715631</v>
      </c>
      <c r="R183" t="s">
        <v>780</v>
      </c>
      <c r="S183" t="s">
        <v>792</v>
      </c>
      <c r="T183">
        <v>15239.457442</v>
      </c>
      <c r="U183" s="2">
        <v>44508</v>
      </c>
      <c r="V183" t="s">
        <v>803</v>
      </c>
    </row>
    <row r="184" spans="1:22">
      <c r="A184" s="1" t="s">
        <v>204</v>
      </c>
      <c r="B184">
        <f>HYPERLINK("https://www.suredividend.com/sure-analysis-LMT/","Lockheed Martin Corp.")</f>
        <v>0</v>
      </c>
      <c r="C184">
        <v>345.18</v>
      </c>
      <c r="D184">
        <v>359</v>
      </c>
      <c r="E184">
        <v>0.9615041782729805</v>
      </c>
      <c r="F184">
        <v>0.03244683933020453</v>
      </c>
      <c r="G184">
        <v>0.007882175746774633</v>
      </c>
      <c r="H184">
        <v>0.06</v>
      </c>
      <c r="I184">
        <v>0.09723267675538549</v>
      </c>
      <c r="J184" t="s">
        <v>777</v>
      </c>
      <c r="K184" t="s">
        <v>777</v>
      </c>
      <c r="L184">
        <v>22.45</v>
      </c>
      <c r="M184">
        <v>11.2</v>
      </c>
      <c r="N184">
        <v>0.4988864142538975</v>
      </c>
      <c r="O184">
        <v>20</v>
      </c>
      <c r="P184">
        <v>0.06810541783933033</v>
      </c>
      <c r="Q184">
        <v>-0.035457518806872</v>
      </c>
      <c r="R184" t="s">
        <v>780</v>
      </c>
      <c r="S184" t="s">
        <v>787</v>
      </c>
      <c r="T184">
        <v>95140.806071</v>
      </c>
      <c r="U184" s="2">
        <v>44502</v>
      </c>
      <c r="V184" t="s">
        <v>802</v>
      </c>
    </row>
    <row r="185" spans="1:22">
      <c r="A185" s="1" t="s">
        <v>205</v>
      </c>
      <c r="B185">
        <f>HYPERLINK("https://www.suredividend.com/sure-analysis-BR/","Broadridge Financial Solutions, Inc.")</f>
        <v>0</v>
      </c>
      <c r="C185">
        <v>173.06</v>
      </c>
      <c r="D185">
        <v>160</v>
      </c>
      <c r="E185">
        <v>1.081625</v>
      </c>
      <c r="F185">
        <v>0.01479255749451057</v>
      </c>
      <c r="G185">
        <v>-0.01557041589781138</v>
      </c>
      <c r="H185">
        <v>0.1</v>
      </c>
      <c r="I185">
        <v>0.09694489483715008</v>
      </c>
      <c r="J185" t="s">
        <v>777</v>
      </c>
      <c r="K185" t="s">
        <v>372</v>
      </c>
      <c r="L185">
        <v>6.39</v>
      </c>
      <c r="M185">
        <v>2.56</v>
      </c>
      <c r="N185">
        <v>0.4006259780907668</v>
      </c>
      <c r="O185">
        <v>13</v>
      </c>
      <c r="P185">
        <v>0.09984491222048941</v>
      </c>
      <c r="Q185">
        <v>0.219535263674495</v>
      </c>
      <c r="R185" t="s">
        <v>780</v>
      </c>
      <c r="S185" t="s">
        <v>786</v>
      </c>
      <c r="T185">
        <v>20292.744297</v>
      </c>
      <c r="U185" s="2">
        <v>44512</v>
      </c>
      <c r="V185" t="s">
        <v>801</v>
      </c>
    </row>
    <row r="186" spans="1:22">
      <c r="A186" s="1" t="s">
        <v>206</v>
      </c>
      <c r="B186">
        <f>HYPERLINK("https://www.suredividend.com/sure-analysis-NJR/","New Jersey Resources Corporation")</f>
        <v>0</v>
      </c>
      <c r="C186">
        <v>38.84</v>
      </c>
      <c r="D186">
        <v>40</v>
      </c>
      <c r="E186">
        <v>0.9710000000000001</v>
      </c>
      <c r="F186">
        <v>0.03424304840370752</v>
      </c>
      <c r="G186">
        <v>0.005903117268819091</v>
      </c>
      <c r="H186">
        <v>0.06</v>
      </c>
      <c r="I186">
        <v>0.09619087656231207</v>
      </c>
      <c r="J186" t="s">
        <v>777</v>
      </c>
      <c r="K186" t="s">
        <v>777</v>
      </c>
      <c r="L186">
        <v>2.15</v>
      </c>
      <c r="M186">
        <v>1.33</v>
      </c>
      <c r="N186">
        <v>0.6186046511627907</v>
      </c>
      <c r="O186">
        <v>25</v>
      </c>
      <c r="P186">
        <v>0.06001905503876492</v>
      </c>
      <c r="Q186">
        <v>0.130252879957351</v>
      </c>
      <c r="R186" t="s">
        <v>780</v>
      </c>
      <c r="S186" t="s">
        <v>792</v>
      </c>
      <c r="T186">
        <v>3742.975015</v>
      </c>
      <c r="U186" s="2">
        <v>44418</v>
      </c>
      <c r="V186" t="s">
        <v>801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188.04</v>
      </c>
      <c r="D187">
        <v>209</v>
      </c>
      <c r="E187">
        <v>0.899712918660287</v>
      </c>
      <c r="F187">
        <v>0.02510104233141885</v>
      </c>
      <c r="G187">
        <v>0.02136085450263092</v>
      </c>
      <c r="H187">
        <v>0.05</v>
      </c>
      <c r="I187">
        <v>0.09547422093885727</v>
      </c>
      <c r="J187" t="s">
        <v>777</v>
      </c>
      <c r="K187" t="s">
        <v>777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0.228842778436099</v>
      </c>
      <c r="R187" t="s">
        <v>780</v>
      </c>
      <c r="S187" t="s">
        <v>787</v>
      </c>
      <c r="T187">
        <v>7631.620119</v>
      </c>
      <c r="U187" s="2">
        <v>44516</v>
      </c>
      <c r="V187" t="s">
        <v>802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44.62</v>
      </c>
      <c r="D188">
        <v>45</v>
      </c>
      <c r="E188">
        <v>0.9915555555555555</v>
      </c>
      <c r="F188">
        <v>0.03787539220080682</v>
      </c>
      <c r="G188">
        <v>0.001697499276706704</v>
      </c>
      <c r="H188">
        <v>0.06</v>
      </c>
      <c r="I188">
        <v>0.09522267441106158</v>
      </c>
      <c r="J188" t="s">
        <v>777</v>
      </c>
      <c r="K188" t="s">
        <v>776</v>
      </c>
      <c r="L188">
        <v>2.14</v>
      </c>
      <c r="M188">
        <v>1.69</v>
      </c>
      <c r="N188">
        <v>0.7897196261682242</v>
      </c>
      <c r="O188">
        <v>48</v>
      </c>
      <c r="P188">
        <v>0.05984986030460782</v>
      </c>
      <c r="Q188">
        <v>0.132184872667348</v>
      </c>
      <c r="R188" t="s">
        <v>780</v>
      </c>
      <c r="S188" t="s">
        <v>792</v>
      </c>
      <c r="T188">
        <v>21053.186966</v>
      </c>
      <c r="U188" s="2">
        <v>44505</v>
      </c>
      <c r="V188" t="s">
        <v>804</v>
      </c>
    </row>
    <row r="189" spans="1:22">
      <c r="A189" s="1" t="s">
        <v>209</v>
      </c>
      <c r="B189">
        <f>HYPERLINK("https://www.suredividend.com/sure-analysis-CIO/","City Office REIT Inc")</f>
        <v>0</v>
      </c>
      <c r="C189">
        <v>17.74</v>
      </c>
      <c r="D189">
        <v>14.8</v>
      </c>
      <c r="E189">
        <v>1.198648648648649</v>
      </c>
      <c r="F189">
        <v>0.03382187147688839</v>
      </c>
      <c r="G189">
        <v>-0.03559018867216568</v>
      </c>
      <c r="H189">
        <v>0.1</v>
      </c>
      <c r="I189">
        <v>0.0945898867791708</v>
      </c>
      <c r="J189" t="s">
        <v>777</v>
      </c>
      <c r="K189" t="s">
        <v>777</v>
      </c>
      <c r="L189">
        <v>1.31</v>
      </c>
      <c r="M189">
        <v>0.6</v>
      </c>
      <c r="N189">
        <v>0.4580152671755725</v>
      </c>
      <c r="O189">
        <v>0</v>
      </c>
      <c r="P189">
        <v>0.1008397341583922</v>
      </c>
      <c r="Q189">
        <v>1.136175137428874</v>
      </c>
      <c r="R189" t="s">
        <v>782</v>
      </c>
      <c r="S189" t="s">
        <v>794</v>
      </c>
      <c r="T189">
        <v>771.7835250000001</v>
      </c>
      <c r="U189" s="2">
        <v>44513</v>
      </c>
      <c r="V189" t="s">
        <v>795</v>
      </c>
    </row>
    <row r="190" spans="1:22">
      <c r="A190" s="1" t="s">
        <v>210</v>
      </c>
      <c r="B190">
        <f>HYPERLINK("https://www.suredividend.com/sure-analysis-BLK/","Blackrock Inc.")</f>
        <v>0</v>
      </c>
      <c r="C190">
        <v>935.4299999999999</v>
      </c>
      <c r="D190">
        <v>802</v>
      </c>
      <c r="E190">
        <v>1.166371571072319</v>
      </c>
      <c r="F190">
        <v>0.01766032733609142</v>
      </c>
      <c r="G190">
        <v>-0.03031067447520563</v>
      </c>
      <c r="H190">
        <v>0.11</v>
      </c>
      <c r="I190">
        <v>0.09396212857844244</v>
      </c>
      <c r="J190" t="s">
        <v>777</v>
      </c>
      <c r="K190" t="s">
        <v>372</v>
      </c>
      <c r="L190">
        <v>38.2</v>
      </c>
      <c r="M190">
        <v>16.52</v>
      </c>
      <c r="N190">
        <v>0.4324607329842932</v>
      </c>
      <c r="O190">
        <v>11</v>
      </c>
      <c r="P190">
        <v>0.1100226421779109</v>
      </c>
      <c r="Q190">
        <v>0.394199301057755</v>
      </c>
      <c r="R190" t="s">
        <v>780</v>
      </c>
      <c r="S190" t="s">
        <v>790</v>
      </c>
      <c r="T190">
        <v>139662.018331</v>
      </c>
      <c r="U190" s="2">
        <v>44484</v>
      </c>
      <c r="V190" t="s">
        <v>804</v>
      </c>
    </row>
    <row r="191" spans="1:22">
      <c r="A191" s="1" t="s">
        <v>211</v>
      </c>
      <c r="B191">
        <f>HYPERLINK("https://www.suredividend.com/sure-analysis-FMS/","Fresenius Medical Care AG &amp; Co. KGaA")</f>
        <v>0</v>
      </c>
      <c r="C191">
        <v>31.41</v>
      </c>
      <c r="D191">
        <v>33</v>
      </c>
      <c r="E191">
        <v>0.9518181818181818</v>
      </c>
      <c r="F191">
        <v>0.02610633556192295</v>
      </c>
      <c r="G191">
        <v>0.009925180688706181</v>
      </c>
      <c r="H191">
        <v>0.06</v>
      </c>
      <c r="I191">
        <v>0.09331959510166365</v>
      </c>
      <c r="J191" t="s">
        <v>777</v>
      </c>
      <c r="K191" t="s">
        <v>777</v>
      </c>
      <c r="L191">
        <v>2.04</v>
      </c>
      <c r="M191">
        <v>0.82</v>
      </c>
      <c r="N191">
        <v>0.4019607843137254</v>
      </c>
      <c r="O191">
        <v>24</v>
      </c>
      <c r="P191">
        <v>0.06051243834129849</v>
      </c>
      <c r="Q191">
        <v>-0.251627601819741</v>
      </c>
      <c r="R191" t="s">
        <v>780</v>
      </c>
      <c r="S191" t="s">
        <v>785</v>
      </c>
      <c r="T191">
        <v>18247.679337</v>
      </c>
      <c r="U191" s="2">
        <v>44503</v>
      </c>
      <c r="V191" t="s">
        <v>796</v>
      </c>
    </row>
    <row r="192" spans="1:22">
      <c r="A192" s="1" t="s">
        <v>212</v>
      </c>
      <c r="B192">
        <f>HYPERLINK("https://www.suredividend.com/sure-analysis-SLF/","Sun Life Financial, Inc.")</f>
        <v>0</v>
      </c>
      <c r="C192">
        <v>55.12</v>
      </c>
      <c r="D192">
        <v>53</v>
      </c>
      <c r="E192">
        <v>1.04</v>
      </c>
      <c r="F192">
        <v>0.03193033381712627</v>
      </c>
      <c r="G192">
        <v>-0.007813457628780496</v>
      </c>
      <c r="H192">
        <v>0.07000000000000001</v>
      </c>
      <c r="I192">
        <v>0.09176368518331635</v>
      </c>
      <c r="J192" t="s">
        <v>777</v>
      </c>
      <c r="K192" t="s">
        <v>777</v>
      </c>
      <c r="L192">
        <v>4.8</v>
      </c>
      <c r="M192">
        <v>1.76</v>
      </c>
      <c r="N192">
        <v>0.3666666666666667</v>
      </c>
      <c r="O192">
        <v>6</v>
      </c>
      <c r="P192">
        <v>0.08033244512790017</v>
      </c>
      <c r="Q192">
        <v>0.268424330496159</v>
      </c>
      <c r="R192" t="s">
        <v>780</v>
      </c>
      <c r="S192" t="s">
        <v>790</v>
      </c>
      <c r="T192">
        <v>32213.973064</v>
      </c>
      <c r="U192" s="2">
        <v>44510</v>
      </c>
      <c r="V192" t="s">
        <v>800</v>
      </c>
    </row>
    <row r="193" spans="1:22">
      <c r="A193" s="1" t="s">
        <v>213</v>
      </c>
      <c r="B193">
        <f>HYPERLINK("https://www.suredividend.com/sure-analysis-KDP/","Keurig Dr Pepper Inc")</f>
        <v>0</v>
      </c>
      <c r="C193">
        <v>35.91</v>
      </c>
      <c r="D193">
        <v>32</v>
      </c>
      <c r="E193">
        <v>1.1221875</v>
      </c>
      <c r="F193">
        <v>0.01977165135059872</v>
      </c>
      <c r="G193">
        <v>-0.02279222291220284</v>
      </c>
      <c r="H193">
        <v>0.1</v>
      </c>
      <c r="I193">
        <v>0.0916305510420008</v>
      </c>
      <c r="J193" t="s">
        <v>777</v>
      </c>
      <c r="K193" t="s">
        <v>372</v>
      </c>
      <c r="L193">
        <v>1.6</v>
      </c>
      <c r="M193">
        <v>0.71</v>
      </c>
      <c r="N193">
        <v>0.44375</v>
      </c>
      <c r="O193">
        <v>1</v>
      </c>
      <c r="P193">
        <v>0.05088842545712402</v>
      </c>
      <c r="Q193">
        <v>0.225982905982905</v>
      </c>
      <c r="R193" t="s">
        <v>780</v>
      </c>
      <c r="S193" t="s">
        <v>791</v>
      </c>
      <c r="T193">
        <v>50848.102761</v>
      </c>
      <c r="U193" s="2">
        <v>44439</v>
      </c>
      <c r="V193" t="s">
        <v>802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65.81</v>
      </c>
      <c r="D194">
        <v>67</v>
      </c>
      <c r="E194">
        <v>0.9822388059701493</v>
      </c>
      <c r="F194">
        <v>0.04269867801246011</v>
      </c>
      <c r="G194">
        <v>0.003590594178881856</v>
      </c>
      <c r="H194">
        <v>0.05</v>
      </c>
      <c r="I194">
        <v>0.09140021772572449</v>
      </c>
      <c r="J194" t="s">
        <v>777</v>
      </c>
      <c r="K194" t="s">
        <v>776</v>
      </c>
      <c r="L194">
        <v>5.93</v>
      </c>
      <c r="M194">
        <v>2.81</v>
      </c>
      <c r="N194">
        <v>0.4738617200674536</v>
      </c>
      <c r="O194">
        <v>9</v>
      </c>
      <c r="P194">
        <v>0.05196296413233981</v>
      </c>
      <c r="Q194">
        <v>0.400457309825245</v>
      </c>
      <c r="R194" t="s">
        <v>780</v>
      </c>
      <c r="S194" t="s">
        <v>790</v>
      </c>
      <c r="T194">
        <v>78753.87149</v>
      </c>
      <c r="U194" s="2">
        <v>44436</v>
      </c>
      <c r="V194" t="s">
        <v>804</v>
      </c>
    </row>
    <row r="195" spans="1:22">
      <c r="A195" s="1" t="s">
        <v>215</v>
      </c>
      <c r="B195">
        <f>HYPERLINK("https://www.suredividend.com/sure-analysis-GILD/","Gilead Sciences, Inc.")</f>
        <v>0</v>
      </c>
      <c r="C195">
        <v>70.63</v>
      </c>
      <c r="D195">
        <v>80</v>
      </c>
      <c r="E195">
        <v>0.882875</v>
      </c>
      <c r="F195">
        <v>0.04020954268724338</v>
      </c>
      <c r="G195">
        <v>0.02522728579745115</v>
      </c>
      <c r="H195">
        <v>0.03</v>
      </c>
      <c r="I195">
        <v>0.09106767584825759</v>
      </c>
      <c r="J195" t="s">
        <v>777</v>
      </c>
      <c r="K195" t="s">
        <v>776</v>
      </c>
      <c r="L195">
        <v>8</v>
      </c>
      <c r="M195">
        <v>2.84</v>
      </c>
      <c r="N195">
        <v>0.355</v>
      </c>
      <c r="O195">
        <v>6</v>
      </c>
      <c r="P195">
        <v>0.049731056540673</v>
      </c>
      <c r="Q195">
        <v>0.215151446737048</v>
      </c>
      <c r="R195" t="s">
        <v>780</v>
      </c>
      <c r="S195" t="s">
        <v>785</v>
      </c>
      <c r="T195">
        <v>87769.21503399999</v>
      </c>
      <c r="U195" s="2">
        <v>44509</v>
      </c>
      <c r="V195" t="s">
        <v>800</v>
      </c>
    </row>
    <row r="196" spans="1:22">
      <c r="A196" s="1" t="s">
        <v>216</v>
      </c>
      <c r="B196">
        <f>HYPERLINK("https://www.suredividend.com/sure-analysis-CDUAF/","Canadian Utilities Ltd.")</f>
        <v>0</v>
      </c>
      <c r="C196">
        <v>28.13</v>
      </c>
      <c r="D196">
        <v>29</v>
      </c>
      <c r="E196">
        <v>0.97</v>
      </c>
      <c r="F196">
        <v>0.05012442232492002</v>
      </c>
      <c r="G196">
        <v>0.006110434499387196</v>
      </c>
      <c r="H196">
        <v>0.04</v>
      </c>
      <c r="I196">
        <v>0.08803785362939065</v>
      </c>
      <c r="J196" t="s">
        <v>777</v>
      </c>
      <c r="K196" t="s">
        <v>776</v>
      </c>
      <c r="L196">
        <v>1.8</v>
      </c>
      <c r="M196">
        <v>1.41</v>
      </c>
      <c r="N196">
        <v>0.7833333333333332</v>
      </c>
      <c r="O196">
        <v>49</v>
      </c>
      <c r="P196">
        <v>0.02560510523091319</v>
      </c>
      <c r="Q196">
        <v>0.164593698175787</v>
      </c>
      <c r="R196" t="s">
        <v>780</v>
      </c>
      <c r="S196" t="s">
        <v>792</v>
      </c>
      <c r="T196">
        <v>5520.62874</v>
      </c>
      <c r="U196" s="2">
        <v>44502</v>
      </c>
      <c r="V196" t="s">
        <v>795</v>
      </c>
    </row>
    <row r="197" spans="1:22">
      <c r="A197" s="1" t="s">
        <v>217</v>
      </c>
      <c r="B197">
        <f>HYPERLINK("https://www.suredividend.com/sure-analysis-HRB/","H&amp;R Block Inc.")</f>
        <v>0</v>
      </c>
      <c r="C197">
        <v>25.25</v>
      </c>
      <c r="D197">
        <v>26.6</v>
      </c>
      <c r="E197">
        <v>0.9492481203007518</v>
      </c>
      <c r="F197">
        <v>0.04277227722772278</v>
      </c>
      <c r="G197">
        <v>0.01047145797340998</v>
      </c>
      <c r="H197">
        <v>0.037</v>
      </c>
      <c r="I197">
        <v>0.08647268730672786</v>
      </c>
      <c r="J197" t="s">
        <v>777</v>
      </c>
      <c r="K197" t="s">
        <v>776</v>
      </c>
      <c r="L197">
        <v>2.84</v>
      </c>
      <c r="M197">
        <v>1.08</v>
      </c>
      <c r="N197">
        <v>0.3802816901408451</v>
      </c>
      <c r="O197">
        <v>1</v>
      </c>
      <c r="P197">
        <v>0.05327276858309027</v>
      </c>
      <c r="Q197">
        <v>0.477276052793304</v>
      </c>
      <c r="R197" t="s">
        <v>780</v>
      </c>
      <c r="S197" t="s">
        <v>789</v>
      </c>
      <c r="T197">
        <v>4432.886637</v>
      </c>
      <c r="U197" s="2">
        <v>44509</v>
      </c>
      <c r="V197" t="s">
        <v>805</v>
      </c>
    </row>
    <row r="198" spans="1:22">
      <c r="A198" s="1" t="s">
        <v>218</v>
      </c>
      <c r="B198">
        <f>HYPERLINK("https://www.suredividend.com/sure-analysis-IMO/","Imperial Oil Ltd.")</f>
        <v>0</v>
      </c>
      <c r="C198">
        <v>34.77</v>
      </c>
      <c r="D198">
        <v>39</v>
      </c>
      <c r="E198">
        <v>0.8915384615384616</v>
      </c>
      <c r="F198">
        <v>0.02387115329306874</v>
      </c>
      <c r="G198">
        <v>0.02322698084995922</v>
      </c>
      <c r="H198">
        <v>0.04</v>
      </c>
      <c r="I198">
        <v>0.08609031075938511</v>
      </c>
      <c r="J198" t="s">
        <v>777</v>
      </c>
      <c r="K198" t="s">
        <v>777</v>
      </c>
      <c r="L198">
        <v>2.8</v>
      </c>
      <c r="M198">
        <v>0.83</v>
      </c>
      <c r="N198">
        <v>0.2964285714285714</v>
      </c>
      <c r="O198">
        <v>6</v>
      </c>
      <c r="P198">
        <v>0.06924192562875131</v>
      </c>
      <c r="Q198">
        <v>1.034397857771867</v>
      </c>
      <c r="R198" t="s">
        <v>780</v>
      </c>
      <c r="S198" t="s">
        <v>793</v>
      </c>
      <c r="T198">
        <v>23526.286903</v>
      </c>
      <c r="U198" s="2">
        <v>44502</v>
      </c>
      <c r="V198" t="s">
        <v>803</v>
      </c>
    </row>
    <row r="199" spans="1:22">
      <c r="A199" s="1" t="s">
        <v>219</v>
      </c>
      <c r="B199">
        <f>HYPERLINK("https://www.suredividend.com/sure-analysis-UNH/","Unitedhealth Group Inc")</f>
        <v>0</v>
      </c>
      <c r="C199">
        <v>447.13</v>
      </c>
      <c r="D199">
        <v>358</v>
      </c>
      <c r="E199">
        <v>1.248966480446927</v>
      </c>
      <c r="F199">
        <v>0.01297161899223939</v>
      </c>
      <c r="G199">
        <v>-0.04348927626678134</v>
      </c>
      <c r="H199">
        <v>0.12</v>
      </c>
      <c r="I199">
        <v>0.08574163207650054</v>
      </c>
      <c r="J199" t="s">
        <v>777</v>
      </c>
      <c r="K199" t="s">
        <v>372</v>
      </c>
      <c r="L199">
        <v>18.65</v>
      </c>
      <c r="M199">
        <v>5.8</v>
      </c>
      <c r="N199">
        <v>0.3109919571045577</v>
      </c>
      <c r="O199">
        <v>12</v>
      </c>
      <c r="P199">
        <v>0.1400529846685179</v>
      </c>
      <c r="Q199">
        <v>0.326084933809407</v>
      </c>
      <c r="R199" t="s">
        <v>780</v>
      </c>
      <c r="S199" t="s">
        <v>785</v>
      </c>
      <c r="T199">
        <v>412097.595925</v>
      </c>
      <c r="U199" s="2">
        <v>44491</v>
      </c>
      <c r="V199" t="s">
        <v>798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61.41</v>
      </c>
      <c r="D200">
        <v>57</v>
      </c>
      <c r="E200">
        <v>1.077368421052632</v>
      </c>
      <c r="F200">
        <v>0.02279758996906041</v>
      </c>
      <c r="G200">
        <v>-0.01479376500965701</v>
      </c>
      <c r="H200">
        <v>0.08</v>
      </c>
      <c r="I200">
        <v>0.08568168341083648</v>
      </c>
      <c r="J200" t="s">
        <v>777</v>
      </c>
      <c r="K200" t="s">
        <v>372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0.09035827846072901</v>
      </c>
      <c r="R200" t="s">
        <v>780</v>
      </c>
      <c r="S200" t="s">
        <v>791</v>
      </c>
      <c r="T200">
        <v>85051.45088800001</v>
      </c>
      <c r="U200" s="2">
        <v>44514</v>
      </c>
      <c r="V200" t="s">
        <v>804</v>
      </c>
    </row>
    <row r="201" spans="1:22">
      <c r="A201" s="1" t="s">
        <v>221</v>
      </c>
      <c r="B201">
        <f>HYPERLINK("https://www.suredividend.com/sure-analysis-IBM/","International Business Machines Corp.")</f>
        <v>0</v>
      </c>
      <c r="C201">
        <v>116.79</v>
      </c>
      <c r="D201">
        <v>114</v>
      </c>
      <c r="E201">
        <v>1.024473684210526</v>
      </c>
      <c r="F201">
        <v>0.05616919256785683</v>
      </c>
      <c r="G201">
        <v>-0.004824126721282407</v>
      </c>
      <c r="H201">
        <v>0.04</v>
      </c>
      <c r="I201">
        <v>0.08504342032788537</v>
      </c>
      <c r="J201" t="s">
        <v>777</v>
      </c>
      <c r="K201" t="s">
        <v>776</v>
      </c>
      <c r="L201">
        <v>10.32</v>
      </c>
      <c r="M201">
        <v>6.56</v>
      </c>
      <c r="N201">
        <v>0.6356589147286821</v>
      </c>
      <c r="O201">
        <v>26</v>
      </c>
      <c r="P201">
        <v>0.03996760299438673</v>
      </c>
      <c r="Q201">
        <v>0.046091997176171</v>
      </c>
      <c r="R201" t="s">
        <v>780</v>
      </c>
      <c r="S201" t="s">
        <v>786</v>
      </c>
      <c r="T201">
        <v>104394.398902</v>
      </c>
      <c r="U201" s="2">
        <v>44494</v>
      </c>
      <c r="V201" t="s">
        <v>802</v>
      </c>
    </row>
    <row r="202" spans="1:22">
      <c r="A202" s="1" t="s">
        <v>222</v>
      </c>
      <c r="B202">
        <f>HYPERLINK("https://www.suredividend.com/sure-analysis-MSM/","MSC Industrial Direct Co., Inc.")</f>
        <v>0</v>
      </c>
      <c r="C202">
        <v>84.98999999999999</v>
      </c>
      <c r="D202">
        <v>86</v>
      </c>
      <c r="E202">
        <v>0.9882558139534883</v>
      </c>
      <c r="F202">
        <v>0.03529827038475115</v>
      </c>
      <c r="G202">
        <v>0.002365532215435895</v>
      </c>
      <c r="H202">
        <v>0.05</v>
      </c>
      <c r="I202">
        <v>0.08393396798063191</v>
      </c>
      <c r="J202" t="s">
        <v>777</v>
      </c>
      <c r="K202" t="s">
        <v>777</v>
      </c>
      <c r="L202">
        <v>5.55</v>
      </c>
      <c r="M202">
        <v>3</v>
      </c>
      <c r="N202">
        <v>0.5405405405405406</v>
      </c>
      <c r="O202">
        <v>16</v>
      </c>
      <c r="P202">
        <v>0.05006335758366887</v>
      </c>
      <c r="Q202">
        <v>0.08130978613175201</v>
      </c>
      <c r="R202" t="s">
        <v>780</v>
      </c>
      <c r="S202" t="s">
        <v>787</v>
      </c>
      <c r="T202">
        <v>3912.769546</v>
      </c>
      <c r="U202" s="2">
        <v>44494</v>
      </c>
      <c r="V202" t="s">
        <v>801</v>
      </c>
    </row>
    <row r="203" spans="1:22">
      <c r="A203" s="1" t="s">
        <v>223</v>
      </c>
      <c r="B203">
        <f>HYPERLINK("https://www.suredividend.com/sure-analysis-MRK/","Merck &amp; Co Inc")</f>
        <v>0</v>
      </c>
      <c r="C203">
        <v>82.8</v>
      </c>
      <c r="D203">
        <v>85</v>
      </c>
      <c r="E203">
        <v>0.9741176470588235</v>
      </c>
      <c r="F203">
        <v>0.03140096618357488</v>
      </c>
      <c r="G203">
        <v>0.005258416213984374</v>
      </c>
      <c r="H203">
        <v>0.05</v>
      </c>
      <c r="I203">
        <v>0.0833756610902765</v>
      </c>
      <c r="J203" t="s">
        <v>777</v>
      </c>
      <c r="K203" t="s">
        <v>777</v>
      </c>
      <c r="L203">
        <v>5.68</v>
      </c>
      <c r="M203">
        <v>2.6</v>
      </c>
      <c r="N203">
        <v>0.4577464788732395</v>
      </c>
      <c r="O203">
        <v>10</v>
      </c>
      <c r="P203">
        <v>0.05010553388446692</v>
      </c>
      <c r="Q203">
        <v>0.049987588951208</v>
      </c>
      <c r="R203" t="s">
        <v>780</v>
      </c>
      <c r="S203" t="s">
        <v>785</v>
      </c>
      <c r="T203">
        <v>206218.062935</v>
      </c>
      <c r="U203" s="2">
        <v>44500</v>
      </c>
      <c r="V203" t="s">
        <v>796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103.91</v>
      </c>
      <c r="D204">
        <v>94.92</v>
      </c>
      <c r="E204">
        <v>1.094711335861778</v>
      </c>
      <c r="F204">
        <v>0.03233567510345491</v>
      </c>
      <c r="G204">
        <v>-0.01793535382538414</v>
      </c>
      <c r="H204">
        <v>0.07000000000000001</v>
      </c>
      <c r="I204">
        <v>0.08272990297918037</v>
      </c>
      <c r="J204" t="s">
        <v>777</v>
      </c>
      <c r="K204" t="s">
        <v>777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0.347750952787757</v>
      </c>
      <c r="R204" t="s">
        <v>780</v>
      </c>
      <c r="S204" t="s">
        <v>790</v>
      </c>
      <c r="T204">
        <v>147589.308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227.84</v>
      </c>
      <c r="D205">
        <v>207</v>
      </c>
      <c r="E205">
        <v>1.100676328502415</v>
      </c>
      <c r="F205">
        <v>0.0254564606741573</v>
      </c>
      <c r="G205">
        <v>-0.01900210676868952</v>
      </c>
      <c r="H205">
        <v>0.08</v>
      </c>
      <c r="I205">
        <v>0.08194376515711133</v>
      </c>
      <c r="J205" t="s">
        <v>777</v>
      </c>
      <c r="K205" t="s">
        <v>777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0.011744364799568</v>
      </c>
      <c r="R205" t="s">
        <v>780</v>
      </c>
      <c r="S205" t="s">
        <v>787</v>
      </c>
      <c r="T205">
        <v>32608.400707</v>
      </c>
      <c r="U205" s="2">
        <v>44502</v>
      </c>
      <c r="V205" t="s">
        <v>796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16.61</v>
      </c>
      <c r="D206">
        <v>18</v>
      </c>
      <c r="E206">
        <v>0.9227777777777777</v>
      </c>
      <c r="F206">
        <v>0.02649006622516556</v>
      </c>
      <c r="G206">
        <v>0.01620323830602</v>
      </c>
      <c r="H206">
        <v>0.04</v>
      </c>
      <c r="I206">
        <v>0.07962374625693469</v>
      </c>
      <c r="J206" t="s">
        <v>777</v>
      </c>
      <c r="K206" t="s">
        <v>777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-0.085808580858085</v>
      </c>
      <c r="R206" t="s">
        <v>780</v>
      </c>
      <c r="S206" t="s">
        <v>791</v>
      </c>
      <c r="T206">
        <v>59359.316148</v>
      </c>
      <c r="U206" s="2">
        <v>44497</v>
      </c>
      <c r="V206" t="s">
        <v>806</v>
      </c>
    </row>
    <row r="207" spans="1:22">
      <c r="A207" s="1" t="s">
        <v>227</v>
      </c>
      <c r="B207">
        <f>HYPERLINK("https://www.suredividend.com/sure-analysis-SNA/","Snap-on, Inc.")</f>
        <v>0</v>
      </c>
      <c r="C207">
        <v>217.11</v>
      </c>
      <c r="D207">
        <v>231</v>
      </c>
      <c r="E207">
        <v>0.93987012987013</v>
      </c>
      <c r="F207">
        <v>0.02616185343834922</v>
      </c>
      <c r="G207">
        <v>0.0124799472276067</v>
      </c>
      <c r="H207">
        <v>0.04</v>
      </c>
      <c r="I207">
        <v>0.07866997441881818</v>
      </c>
      <c r="J207" t="s">
        <v>777</v>
      </c>
      <c r="K207" t="s">
        <v>777</v>
      </c>
      <c r="L207">
        <v>14.45</v>
      </c>
      <c r="M207">
        <v>5.68</v>
      </c>
      <c r="N207">
        <v>0.3930795847750865</v>
      </c>
      <c r="O207">
        <v>12</v>
      </c>
      <c r="P207">
        <v>0.08010910720791475</v>
      </c>
      <c r="Q207">
        <v>0.283710422776684</v>
      </c>
      <c r="R207" t="s">
        <v>780</v>
      </c>
      <c r="S207" t="s">
        <v>787</v>
      </c>
      <c r="T207">
        <v>11649.825277</v>
      </c>
      <c r="U207" s="2">
        <v>44498</v>
      </c>
      <c r="V207" t="s">
        <v>798</v>
      </c>
    </row>
    <row r="208" spans="1:22">
      <c r="A208" s="1" t="s">
        <v>228</v>
      </c>
      <c r="B208">
        <f>HYPERLINK("https://www.suredividend.com/sure-analysis-BMO/","Bank of Montreal")</f>
        <v>0</v>
      </c>
      <c r="C208">
        <v>110.35</v>
      </c>
      <c r="D208">
        <v>110</v>
      </c>
      <c r="E208">
        <v>1.003181818181818</v>
      </c>
      <c r="F208">
        <v>0.02999546896239239</v>
      </c>
      <c r="G208">
        <v>-0.0006351515878448843</v>
      </c>
      <c r="H208">
        <v>0.05</v>
      </c>
      <c r="I208">
        <v>0.07803278466532171</v>
      </c>
      <c r="J208" t="s">
        <v>777</v>
      </c>
      <c r="K208" t="s">
        <v>777</v>
      </c>
      <c r="L208">
        <v>9.779999999999999</v>
      </c>
      <c r="M208">
        <v>3.31</v>
      </c>
      <c r="N208">
        <v>0.3384458077709612</v>
      </c>
      <c r="O208">
        <v>9</v>
      </c>
      <c r="P208">
        <v>0.06850014718252129</v>
      </c>
      <c r="Q208">
        <v>0.585696036413894</v>
      </c>
      <c r="R208" t="s">
        <v>780</v>
      </c>
      <c r="S208" t="s">
        <v>790</v>
      </c>
      <c r="T208">
        <v>70711.498274</v>
      </c>
      <c r="U208" s="2">
        <v>44442</v>
      </c>
      <c r="V208" t="s">
        <v>804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117.66</v>
      </c>
      <c r="D209">
        <v>113</v>
      </c>
      <c r="E209">
        <v>1.041238938053097</v>
      </c>
      <c r="F209">
        <v>0.03935067142614312</v>
      </c>
      <c r="G209">
        <v>-0.008049684511678645</v>
      </c>
      <c r="H209">
        <v>0.05</v>
      </c>
      <c r="I209">
        <v>0.07774645680958581</v>
      </c>
      <c r="J209" t="s">
        <v>777</v>
      </c>
      <c r="K209" t="s">
        <v>776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0.462618364347208</v>
      </c>
      <c r="R209" t="s">
        <v>780</v>
      </c>
      <c r="S209" t="s">
        <v>790</v>
      </c>
      <c r="T209">
        <v>52756.632477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HYPERLINK("https://www.suredividend.com/sure-analysis-EMN/","Eastman Chemical Co")</f>
        <v>0</v>
      </c>
      <c r="C210">
        <v>116.69</v>
      </c>
      <c r="D210">
        <v>120</v>
      </c>
      <c r="E210">
        <v>0.9724166666666666</v>
      </c>
      <c r="F210">
        <v>0.02365241237466792</v>
      </c>
      <c r="G210">
        <v>0.005609856033359062</v>
      </c>
      <c r="H210">
        <v>0.05</v>
      </c>
      <c r="I210">
        <v>0.07709191727844278</v>
      </c>
      <c r="J210" t="s">
        <v>777</v>
      </c>
      <c r="K210" t="s">
        <v>777</v>
      </c>
      <c r="L210">
        <v>8.9</v>
      </c>
      <c r="M210">
        <v>2.76</v>
      </c>
      <c r="N210">
        <v>0.3101123595505618</v>
      </c>
      <c r="O210">
        <v>11</v>
      </c>
      <c r="P210">
        <v>0.04984870359842875</v>
      </c>
      <c r="Q210">
        <v>0.219369820676538</v>
      </c>
      <c r="R210" t="s">
        <v>780</v>
      </c>
      <c r="S210" t="s">
        <v>788</v>
      </c>
      <c r="T210">
        <v>15445.843654</v>
      </c>
      <c r="U210" s="2">
        <v>44502</v>
      </c>
      <c r="V210" t="s">
        <v>795</v>
      </c>
    </row>
    <row r="211" spans="1:22">
      <c r="A211" s="1" t="s">
        <v>231</v>
      </c>
      <c r="B211">
        <f>HYPERLINK("https://www.suredividend.com/sure-analysis-TD/","Toronto Dominion Bank")</f>
        <v>0</v>
      </c>
      <c r="C211">
        <v>75.19</v>
      </c>
      <c r="D211">
        <v>74</v>
      </c>
      <c r="E211">
        <v>1.016081081081081</v>
      </c>
      <c r="F211">
        <v>0.03338209868333555</v>
      </c>
      <c r="G211">
        <v>-0.00318554538632021</v>
      </c>
      <c r="H211">
        <v>0.05</v>
      </c>
      <c r="I211">
        <v>0.07708899171298178</v>
      </c>
      <c r="J211" t="s">
        <v>777</v>
      </c>
      <c r="K211" t="s">
        <v>777</v>
      </c>
      <c r="L211">
        <v>6.08</v>
      </c>
      <c r="M211">
        <v>2.51</v>
      </c>
      <c r="N211">
        <v>0.412828947368421</v>
      </c>
      <c r="O211">
        <v>9</v>
      </c>
      <c r="P211">
        <v>0.04977264413928073</v>
      </c>
      <c r="Q211">
        <v>0.4330730237018761</v>
      </c>
      <c r="R211" t="s">
        <v>780</v>
      </c>
      <c r="S211" t="s">
        <v>790</v>
      </c>
      <c r="T211">
        <v>133456.30421</v>
      </c>
      <c r="U211" s="2">
        <v>44444</v>
      </c>
      <c r="V211" t="s">
        <v>804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48.82</v>
      </c>
      <c r="D212">
        <v>50</v>
      </c>
      <c r="E212">
        <v>0.9764</v>
      </c>
      <c r="F212">
        <v>0.06390823433019255</v>
      </c>
      <c r="G212">
        <v>0.004788014174888833</v>
      </c>
      <c r="H212">
        <v>0.015</v>
      </c>
      <c r="I212">
        <v>0.07455045417320671</v>
      </c>
      <c r="J212" t="s">
        <v>777</v>
      </c>
      <c r="K212" t="s">
        <v>776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0.159024974398331</v>
      </c>
      <c r="R212" t="s">
        <v>780</v>
      </c>
      <c r="S212" t="s">
        <v>791</v>
      </c>
      <c r="T212">
        <v>1200.348192</v>
      </c>
      <c r="U212" s="2">
        <v>44440</v>
      </c>
      <c r="V212" t="s">
        <v>800</v>
      </c>
    </row>
    <row r="213" spans="1:22">
      <c r="A213" s="1" t="s">
        <v>233</v>
      </c>
      <c r="B213">
        <f>HYPERLINK("https://www.suredividend.com/sure-analysis-FOXA/","Fox Corporation")</f>
        <v>0</v>
      </c>
      <c r="C213">
        <v>39.13</v>
      </c>
      <c r="D213">
        <v>42</v>
      </c>
      <c r="E213">
        <v>0.9316666666666668</v>
      </c>
      <c r="F213">
        <v>0.01175568617429082</v>
      </c>
      <c r="G213">
        <v>0.0142567075696054</v>
      </c>
      <c r="H213">
        <v>0.05</v>
      </c>
      <c r="I213">
        <v>0.07395562282972223</v>
      </c>
      <c r="J213" t="s">
        <v>777</v>
      </c>
      <c r="K213" t="s">
        <v>372</v>
      </c>
      <c r="L213">
        <v>2.77</v>
      </c>
      <c r="M213">
        <v>0.46</v>
      </c>
      <c r="N213">
        <v>0.1660649819494585</v>
      </c>
      <c r="O213">
        <v>0</v>
      </c>
      <c r="P213">
        <v>0</v>
      </c>
      <c r="Q213">
        <v>0.408747763603834</v>
      </c>
      <c r="R213" t="s">
        <v>780</v>
      </c>
      <c r="S213" t="s">
        <v>784</v>
      </c>
      <c r="T213">
        <v>21400.297378</v>
      </c>
      <c r="U213" s="2">
        <v>44425</v>
      </c>
      <c r="V213" t="s">
        <v>797</v>
      </c>
    </row>
    <row r="214" spans="1:22">
      <c r="A214" s="1" t="s">
        <v>234</v>
      </c>
      <c r="B214">
        <f>HYPERLINK("https://www.suredividend.com/sure-analysis-TTC/","Toro Co.")</f>
        <v>0</v>
      </c>
      <c r="C214">
        <v>103.49</v>
      </c>
      <c r="D214">
        <v>83</v>
      </c>
      <c r="E214">
        <v>1.246867469879518</v>
      </c>
      <c r="F214">
        <v>0.0101459078171804</v>
      </c>
      <c r="G214">
        <v>-0.04316744967573072</v>
      </c>
      <c r="H214">
        <v>0.11</v>
      </c>
      <c r="I214">
        <v>0.07257997709951058</v>
      </c>
      <c r="J214" t="s">
        <v>777</v>
      </c>
      <c r="K214" t="s">
        <v>513</v>
      </c>
      <c r="L214">
        <v>3.55</v>
      </c>
      <c r="M214">
        <v>1.05</v>
      </c>
      <c r="N214">
        <v>0.295774647887324</v>
      </c>
      <c r="O214">
        <v>11</v>
      </c>
      <c r="P214">
        <v>0.09986525071768737</v>
      </c>
      <c r="Q214">
        <v>0.181495063469675</v>
      </c>
      <c r="R214" t="s">
        <v>780</v>
      </c>
      <c r="S214" t="s">
        <v>787</v>
      </c>
      <c r="T214">
        <v>11145.82171</v>
      </c>
      <c r="U214" s="2">
        <v>44453</v>
      </c>
      <c r="V214" t="s">
        <v>801</v>
      </c>
    </row>
    <row r="215" spans="1:22">
      <c r="A215" s="1" t="s">
        <v>235</v>
      </c>
      <c r="B215">
        <f>HYPERLINK("https://www.suredividend.com/sure-analysis-EQIX/","Equinix Inc")</f>
        <v>0</v>
      </c>
      <c r="C215">
        <v>779.36</v>
      </c>
      <c r="D215">
        <v>638</v>
      </c>
      <c r="E215">
        <v>1.221567398119122</v>
      </c>
      <c r="F215">
        <v>0.01473003490043112</v>
      </c>
      <c r="G215">
        <v>-0.03923646082874066</v>
      </c>
      <c r="H215">
        <v>0.1</v>
      </c>
      <c r="I215">
        <v>0.07224421686322735</v>
      </c>
      <c r="J215" t="s">
        <v>777</v>
      </c>
      <c r="K215" t="s">
        <v>513</v>
      </c>
      <c r="L215">
        <v>27.14</v>
      </c>
      <c r="M215">
        <v>11.48</v>
      </c>
      <c r="N215">
        <v>0.4229918938835667</v>
      </c>
      <c r="O215">
        <v>5</v>
      </c>
      <c r="P215">
        <v>0.1000160063233719</v>
      </c>
      <c r="Q215">
        <v>0.084017228008904</v>
      </c>
      <c r="R215" t="s">
        <v>782</v>
      </c>
      <c r="S215" t="s">
        <v>794</v>
      </c>
      <c r="T215">
        <v>69980.92105200001</v>
      </c>
      <c r="U215" s="2">
        <v>44505</v>
      </c>
      <c r="V215" t="s">
        <v>801</v>
      </c>
    </row>
    <row r="216" spans="1:22">
      <c r="A216" s="1" t="s">
        <v>236</v>
      </c>
      <c r="B216">
        <f>HYPERLINK("https://www.suredividend.com/sure-analysis-NTIOF/","National Bank of Canada")</f>
        <v>0</v>
      </c>
      <c r="C216">
        <v>82.73999999999999</v>
      </c>
      <c r="D216">
        <v>77</v>
      </c>
      <c r="E216">
        <v>1.074545454545454</v>
      </c>
      <c r="F216">
        <v>0.02707275803722505</v>
      </c>
      <c r="G216">
        <v>-0.01427665590814076</v>
      </c>
      <c r="H216">
        <v>0.06</v>
      </c>
      <c r="I216">
        <v>0.07217672445620593</v>
      </c>
      <c r="J216" t="s">
        <v>777</v>
      </c>
      <c r="K216" t="s">
        <v>777</v>
      </c>
      <c r="L216">
        <v>6.73</v>
      </c>
      <c r="M216">
        <v>2.24</v>
      </c>
      <c r="N216">
        <v>0.3328380386329866</v>
      </c>
      <c r="O216">
        <v>9</v>
      </c>
      <c r="P216">
        <v>0.0799150058822331</v>
      </c>
      <c r="Q216">
        <v>0.538048260849427</v>
      </c>
      <c r="R216" t="s">
        <v>780</v>
      </c>
      <c r="S216" t="s">
        <v>790</v>
      </c>
      <c r="T216">
        <v>28044.939958</v>
      </c>
      <c r="U216" s="2">
        <v>44436</v>
      </c>
      <c r="V216" t="s">
        <v>804</v>
      </c>
    </row>
    <row r="217" spans="1:22">
      <c r="A217" s="1" t="s">
        <v>237</v>
      </c>
      <c r="B217">
        <f>HYPERLINK("https://www.suredividend.com/sure-analysis-ORI/","Old Republic International Corp.")</f>
        <v>0</v>
      </c>
      <c r="C217">
        <v>26</v>
      </c>
      <c r="D217">
        <v>35</v>
      </c>
      <c r="E217">
        <v>0.7428571428571429</v>
      </c>
      <c r="F217">
        <v>0.03384615384615385</v>
      </c>
      <c r="G217">
        <v>0.06125302037503699</v>
      </c>
      <c r="H217">
        <v>-0.02</v>
      </c>
      <c r="I217">
        <v>0.07156670325515591</v>
      </c>
      <c r="J217" t="s">
        <v>777</v>
      </c>
      <c r="K217" t="s">
        <v>777</v>
      </c>
      <c r="L217">
        <v>2.9</v>
      </c>
      <c r="M217">
        <v>0.88</v>
      </c>
      <c r="N217">
        <v>0.303448275862069</v>
      </c>
      <c r="O217">
        <v>40</v>
      </c>
      <c r="P217">
        <v>0.04941452284458392</v>
      </c>
      <c r="Q217">
        <v>0.6567887931034481</v>
      </c>
      <c r="R217" t="s">
        <v>780</v>
      </c>
      <c r="S217" t="s">
        <v>790</v>
      </c>
      <c r="T217">
        <v>7930.035599</v>
      </c>
      <c r="U217" s="2">
        <v>44518</v>
      </c>
      <c r="V217" t="s">
        <v>798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76.40000000000001</v>
      </c>
      <c r="D218">
        <v>82</v>
      </c>
      <c r="E218">
        <v>0.9317073170731708</v>
      </c>
      <c r="F218">
        <v>0.02722513089005235</v>
      </c>
      <c r="G218">
        <v>0.01424785700757369</v>
      </c>
      <c r="H218">
        <v>0.03</v>
      </c>
      <c r="I218">
        <v>0.07053606489659736</v>
      </c>
      <c r="J218" t="s">
        <v>777</v>
      </c>
      <c r="K218" t="s">
        <v>777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0.279372970005642</v>
      </c>
      <c r="R218" t="s">
        <v>780</v>
      </c>
      <c r="S218" t="s">
        <v>790</v>
      </c>
      <c r="T218">
        <v>6959.375752</v>
      </c>
      <c r="U218" s="2">
        <v>44498</v>
      </c>
      <c r="V218" t="s">
        <v>803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58.52</v>
      </c>
      <c r="D219">
        <v>58</v>
      </c>
      <c r="E219">
        <v>1.008965517241379</v>
      </c>
      <c r="F219">
        <v>0.0478468899521531</v>
      </c>
      <c r="G219">
        <v>-0.001783520754332524</v>
      </c>
      <c r="H219">
        <v>0.03</v>
      </c>
      <c r="I219">
        <v>0.06874177356557998</v>
      </c>
      <c r="J219" t="s">
        <v>777</v>
      </c>
      <c r="K219" t="s">
        <v>776</v>
      </c>
      <c r="L219">
        <v>3.35</v>
      </c>
      <c r="M219">
        <v>2.8</v>
      </c>
      <c r="N219">
        <v>0.835820895522388</v>
      </c>
      <c r="O219">
        <v>36</v>
      </c>
      <c r="P219">
        <v>0.008428158438618549</v>
      </c>
      <c r="Q219">
        <v>0.012573250723766</v>
      </c>
      <c r="R219" t="s">
        <v>782</v>
      </c>
      <c r="S219" t="s">
        <v>794</v>
      </c>
      <c r="T219">
        <v>798.393143</v>
      </c>
      <c r="U219" s="2">
        <v>44411</v>
      </c>
      <c r="V219" t="s">
        <v>805</v>
      </c>
    </row>
    <row r="220" spans="1:22">
      <c r="A220" s="1" t="s">
        <v>240</v>
      </c>
      <c r="B220">
        <f>HYPERLINK("https://www.suredividend.com/sure-analysis-CSCO/","Cisco Systems, Inc.")</f>
        <v>0</v>
      </c>
      <c r="C220">
        <v>55.3</v>
      </c>
      <c r="D220">
        <v>51</v>
      </c>
      <c r="E220">
        <v>1.084313725490196</v>
      </c>
      <c r="F220">
        <v>0.0267631103074141</v>
      </c>
      <c r="G220">
        <v>-0.01605911028372387</v>
      </c>
      <c r="H220">
        <v>0.06</v>
      </c>
      <c r="I220">
        <v>0.068700804674936</v>
      </c>
      <c r="J220" t="s">
        <v>777</v>
      </c>
      <c r="K220" t="s">
        <v>777</v>
      </c>
      <c r="L220">
        <v>3.42</v>
      </c>
      <c r="M220">
        <v>1.48</v>
      </c>
      <c r="N220">
        <v>0.4327485380116959</v>
      </c>
      <c r="O220">
        <v>11</v>
      </c>
      <c r="P220">
        <v>0.05993856763806171</v>
      </c>
      <c r="Q220">
        <v>0.371759344168389</v>
      </c>
      <c r="R220" t="s">
        <v>780</v>
      </c>
      <c r="S220" t="s">
        <v>786</v>
      </c>
      <c r="T220">
        <v>230282.438131</v>
      </c>
      <c r="U220" s="2">
        <v>44518</v>
      </c>
      <c r="V220" t="s">
        <v>796</v>
      </c>
    </row>
    <row r="221" spans="1:22">
      <c r="A221" s="1" t="s">
        <v>241</v>
      </c>
      <c r="B221">
        <f>HYPERLINK("https://www.suredividend.com/sure-analysis-LNT/","Alliant Energy Corp.")</f>
        <v>0</v>
      </c>
      <c r="C221">
        <v>57.86</v>
      </c>
      <c r="D221">
        <v>53</v>
      </c>
      <c r="E221">
        <v>1.091698113207547</v>
      </c>
      <c r="F221">
        <v>0.02782578638091946</v>
      </c>
      <c r="G221">
        <v>-0.01739382723983796</v>
      </c>
      <c r="H221">
        <v>0.06</v>
      </c>
      <c r="I221">
        <v>0.06836513324537785</v>
      </c>
      <c r="J221" t="s">
        <v>777</v>
      </c>
      <c r="K221" t="s">
        <v>777</v>
      </c>
      <c r="L221">
        <v>2.63</v>
      </c>
      <c r="M221">
        <v>1.61</v>
      </c>
      <c r="N221">
        <v>0.6121673003802282</v>
      </c>
      <c r="O221">
        <v>18</v>
      </c>
      <c r="P221">
        <v>0.05955258842469102</v>
      </c>
      <c r="Q221">
        <v>0.127303257627851</v>
      </c>
      <c r="R221" t="s">
        <v>780</v>
      </c>
      <c r="S221" t="s">
        <v>792</v>
      </c>
      <c r="T221">
        <v>14482.422127</v>
      </c>
      <c r="U221" s="2">
        <v>44513</v>
      </c>
      <c r="V221" t="s">
        <v>797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192.64</v>
      </c>
      <c r="D222">
        <v>162</v>
      </c>
      <c r="E222">
        <v>1.189135802469136</v>
      </c>
      <c r="F222">
        <v>0.02387873754152824</v>
      </c>
      <c r="G222">
        <v>-0.03405208590305908</v>
      </c>
      <c r="H222">
        <v>0.08</v>
      </c>
      <c r="I222">
        <v>0.06829739213026409</v>
      </c>
      <c r="J222" t="s">
        <v>777</v>
      </c>
      <c r="K222" t="s">
        <v>372</v>
      </c>
      <c r="L222">
        <v>8.1</v>
      </c>
      <c r="M222">
        <v>4.6</v>
      </c>
      <c r="N222">
        <v>0.5679012345679012</v>
      </c>
      <c r="O222">
        <v>18</v>
      </c>
      <c r="P222">
        <v>0.09007175117662958</v>
      </c>
      <c r="Q222">
        <v>0.256397838865182</v>
      </c>
      <c r="R222" t="s">
        <v>780</v>
      </c>
      <c r="S222" t="s">
        <v>786</v>
      </c>
      <c r="T222">
        <v>177778.764048</v>
      </c>
      <c r="U222" s="2">
        <v>44504</v>
      </c>
      <c r="V222" t="s">
        <v>800</v>
      </c>
    </row>
    <row r="223" spans="1:22">
      <c r="A223" s="1" t="s">
        <v>243</v>
      </c>
      <c r="B223">
        <f>HYPERLINK("https://www.suredividend.com/sure-analysis-BAH/","Booz Allen Hamilton Holding Corp")</f>
        <v>0</v>
      </c>
      <c r="C223">
        <v>87.97</v>
      </c>
      <c r="D223">
        <v>76</v>
      </c>
      <c r="E223">
        <v>1.1575</v>
      </c>
      <c r="F223">
        <v>0.01682391724451518</v>
      </c>
      <c r="G223">
        <v>-0.02882878858175919</v>
      </c>
      <c r="H223">
        <v>0.08</v>
      </c>
      <c r="I223">
        <v>0.06794802336451178</v>
      </c>
      <c r="J223" t="s">
        <v>777</v>
      </c>
      <c r="K223" t="s">
        <v>372</v>
      </c>
      <c r="L223">
        <v>4.2</v>
      </c>
      <c r="M223">
        <v>1.48</v>
      </c>
      <c r="N223">
        <v>0.3523809523809524</v>
      </c>
      <c r="O223">
        <v>10</v>
      </c>
      <c r="P223">
        <v>0.1201489042708301</v>
      </c>
      <c r="Q223">
        <v>0.032461803464646</v>
      </c>
      <c r="R223" t="s">
        <v>780</v>
      </c>
      <c r="S223" t="s">
        <v>787</v>
      </c>
      <c r="T223">
        <v>11845.837156</v>
      </c>
      <c r="U223" s="2">
        <v>44508</v>
      </c>
      <c r="V223" t="s">
        <v>802</v>
      </c>
    </row>
    <row r="224" spans="1:22">
      <c r="A224" s="1" t="s">
        <v>244</v>
      </c>
      <c r="B224">
        <f>HYPERLINK("https://www.suredividend.com/sure-analysis-AMX/","America Movil S.A.B.DE C.V.")</f>
        <v>0</v>
      </c>
      <c r="C224">
        <v>17.56</v>
      </c>
      <c r="D224">
        <v>18</v>
      </c>
      <c r="E224">
        <v>0.9755555555555555</v>
      </c>
      <c r="F224">
        <v>0.02277904328018223</v>
      </c>
      <c r="G224">
        <v>0.004961903611009122</v>
      </c>
      <c r="H224">
        <v>0.04</v>
      </c>
      <c r="I224">
        <v>0.06616707495841601</v>
      </c>
      <c r="J224" t="s">
        <v>777</v>
      </c>
      <c r="K224" t="s">
        <v>777</v>
      </c>
      <c r="L224">
        <v>1.35</v>
      </c>
      <c r="M224">
        <v>0.4</v>
      </c>
      <c r="N224">
        <v>0.2962962962962963</v>
      </c>
      <c r="O224">
        <v>0</v>
      </c>
      <c r="P224">
        <v>0.04563955259127317</v>
      </c>
      <c r="Q224">
        <v>0.264238145492921</v>
      </c>
      <c r="R224" t="s">
        <v>780</v>
      </c>
      <c r="S224" t="s">
        <v>784</v>
      </c>
      <c r="T224">
        <v>38604.333744</v>
      </c>
      <c r="U224" s="2">
        <v>44494</v>
      </c>
      <c r="V224" t="s">
        <v>803</v>
      </c>
    </row>
    <row r="225" spans="1:22">
      <c r="A225" s="1" t="s">
        <v>245</v>
      </c>
      <c r="B225">
        <f>HYPERLINK("https://www.suredividend.com/sure-analysis-EIX/","Edison International")</f>
        <v>0</v>
      </c>
      <c r="C225">
        <v>65.52</v>
      </c>
      <c r="D225">
        <v>56.6</v>
      </c>
      <c r="E225">
        <v>1.157597173144876</v>
      </c>
      <c r="F225">
        <v>0.04044566544566545</v>
      </c>
      <c r="G225">
        <v>-0.02884509389624113</v>
      </c>
      <c r="H225">
        <v>0.058</v>
      </c>
      <c r="I225">
        <v>0.06460915181778071</v>
      </c>
      <c r="J225" t="s">
        <v>777</v>
      </c>
      <c r="K225" t="s">
        <v>776</v>
      </c>
      <c r="L225">
        <v>4.49</v>
      </c>
      <c r="M225">
        <v>2.65</v>
      </c>
      <c r="N225">
        <v>0.5902004454342984</v>
      </c>
      <c r="O225">
        <v>17</v>
      </c>
      <c r="P225">
        <v>0.03186567045409161</v>
      </c>
      <c r="Q225">
        <v>0.07085216002217901</v>
      </c>
      <c r="R225" t="s">
        <v>780</v>
      </c>
      <c r="S225" t="s">
        <v>792</v>
      </c>
      <c r="T225">
        <v>24639.044407</v>
      </c>
      <c r="U225" s="2">
        <v>44509</v>
      </c>
      <c r="V225" t="s">
        <v>805</v>
      </c>
    </row>
    <row r="226" spans="1:22">
      <c r="A226" s="1" t="s">
        <v>246</v>
      </c>
      <c r="B226">
        <f>HYPERLINK("https://www.suredividend.com/sure-analysis-PBCT/","People`s United Financial Inc")</f>
        <v>0</v>
      </c>
      <c r="C226">
        <v>18.83</v>
      </c>
      <c r="D226">
        <v>18</v>
      </c>
      <c r="E226">
        <v>1.046111111111111</v>
      </c>
      <c r="F226">
        <v>0.03876792352628784</v>
      </c>
      <c r="G226">
        <v>-0.00897539544627235</v>
      </c>
      <c r="H226">
        <v>0.04</v>
      </c>
      <c r="I226">
        <v>0.06417057295614059</v>
      </c>
      <c r="J226" t="s">
        <v>777</v>
      </c>
      <c r="K226" t="s">
        <v>776</v>
      </c>
      <c r="L226">
        <v>1.33</v>
      </c>
      <c r="M226">
        <v>0.73</v>
      </c>
      <c r="N226">
        <v>0.5488721804511277</v>
      </c>
      <c r="O226">
        <v>29</v>
      </c>
      <c r="P226">
        <v>0.01333804570728625</v>
      </c>
      <c r="Q226">
        <v>0.538094964217929</v>
      </c>
      <c r="R226" t="s">
        <v>780</v>
      </c>
      <c r="S226" t="s">
        <v>790</v>
      </c>
      <c r="T226">
        <v>8012.534568</v>
      </c>
      <c r="U226" s="2">
        <v>44495</v>
      </c>
      <c r="V226" t="s">
        <v>803</v>
      </c>
    </row>
    <row r="227" spans="1:22">
      <c r="A227" s="1" t="s">
        <v>247</v>
      </c>
      <c r="B227">
        <f>HYPERLINK("https://www.suredividend.com/sure-analysis-XOM/","Exxon Mobil Corp.")</f>
        <v>0</v>
      </c>
      <c r="C227">
        <v>63.13</v>
      </c>
      <c r="D227">
        <v>65</v>
      </c>
      <c r="E227">
        <v>0.9712307692307692</v>
      </c>
      <c r="F227">
        <v>0.05575795976556312</v>
      </c>
      <c r="G227">
        <v>0.005855311214617354</v>
      </c>
      <c r="H227">
        <v>0.01</v>
      </c>
      <c r="I227">
        <v>0.06416475997905291</v>
      </c>
      <c r="J227" t="s">
        <v>777</v>
      </c>
      <c r="K227" t="s">
        <v>776</v>
      </c>
      <c r="L227">
        <v>5</v>
      </c>
      <c r="M227">
        <v>3.52</v>
      </c>
      <c r="N227">
        <v>0.704</v>
      </c>
      <c r="O227">
        <v>39</v>
      </c>
      <c r="P227">
        <v>0.004504686905032917</v>
      </c>
      <c r="Q227">
        <v>0.767523656541216</v>
      </c>
      <c r="R227" t="s">
        <v>780</v>
      </c>
      <c r="S227" t="s">
        <v>793</v>
      </c>
      <c r="T227">
        <v>260406.696267</v>
      </c>
      <c r="U227" s="2">
        <v>44501</v>
      </c>
      <c r="V227" t="s">
        <v>803</v>
      </c>
    </row>
    <row r="228" spans="1:22">
      <c r="A228" s="1" t="s">
        <v>248</v>
      </c>
      <c r="B228">
        <f>HYPERLINK("https://www.suredividend.com/sure-analysis-RELX/","RELX Plc")</f>
        <v>0</v>
      </c>
      <c r="C228">
        <v>31.27</v>
      </c>
      <c r="D228">
        <v>28.6</v>
      </c>
      <c r="E228">
        <v>1.093356643356643</v>
      </c>
      <c r="F228">
        <v>0.02078669651423089</v>
      </c>
      <c r="G228">
        <v>-0.01769211448385843</v>
      </c>
      <c r="H228">
        <v>0.06</v>
      </c>
      <c r="I228">
        <v>0.06157253137577978</v>
      </c>
      <c r="J228" t="s">
        <v>777</v>
      </c>
      <c r="K228" t="s">
        <v>372</v>
      </c>
      <c r="L228">
        <v>1.19</v>
      </c>
      <c r="M228">
        <v>0.65</v>
      </c>
      <c r="N228">
        <v>0.546218487394958</v>
      </c>
      <c r="O228">
        <v>10</v>
      </c>
      <c r="P228">
        <v>0.06003737798448272</v>
      </c>
      <c r="Q228">
        <v>0.367796308900864</v>
      </c>
      <c r="R228" t="s">
        <v>780</v>
      </c>
      <c r="S228" t="s">
        <v>784</v>
      </c>
      <c r="T228">
        <v>61037.326876</v>
      </c>
      <c r="U228" s="2">
        <v>44411</v>
      </c>
      <c r="V228" t="s">
        <v>795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112.25</v>
      </c>
      <c r="D229">
        <v>102</v>
      </c>
      <c r="E229">
        <v>1.100490196078431</v>
      </c>
      <c r="F229">
        <v>0.03153674832962138</v>
      </c>
      <c r="G229">
        <v>-0.01896892461689759</v>
      </c>
      <c r="H229">
        <v>0.05</v>
      </c>
      <c r="I229">
        <v>0.06071766052643435</v>
      </c>
      <c r="J229" t="s">
        <v>777</v>
      </c>
      <c r="K229" t="s">
        <v>777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0.056963144797586</v>
      </c>
      <c r="R229" t="s">
        <v>780</v>
      </c>
      <c r="S229" t="s">
        <v>792</v>
      </c>
      <c r="T229">
        <v>21879.558777</v>
      </c>
      <c r="U229" s="2">
        <v>44498</v>
      </c>
      <c r="V229" t="s">
        <v>803</v>
      </c>
    </row>
    <row r="230" spans="1:22">
      <c r="A230" s="1" t="s">
        <v>250</v>
      </c>
      <c r="B230">
        <f>HYPERLINK("https://www.suredividend.com/sure-analysis-AXS/","Axis Capital Holdings Ltd")</f>
        <v>0</v>
      </c>
      <c r="C230">
        <v>53.69</v>
      </c>
      <c r="D230">
        <v>54</v>
      </c>
      <c r="E230">
        <v>0.9942592592592592</v>
      </c>
      <c r="F230">
        <v>0.03129074315514994</v>
      </c>
      <c r="G230">
        <v>0.001152119606426361</v>
      </c>
      <c r="H230">
        <v>0.03</v>
      </c>
      <c r="I230">
        <v>0.05983878551139798</v>
      </c>
      <c r="J230" t="s">
        <v>777</v>
      </c>
      <c r="K230" t="s">
        <v>776</v>
      </c>
      <c r="L230">
        <v>4.36</v>
      </c>
      <c r="M230">
        <v>1.68</v>
      </c>
      <c r="N230">
        <v>0.3853211009174312</v>
      </c>
      <c r="O230">
        <v>19</v>
      </c>
      <c r="P230">
        <v>0.03025579475561258</v>
      </c>
      <c r="Q230">
        <v>0.062773663713957</v>
      </c>
      <c r="R230" t="s">
        <v>780</v>
      </c>
      <c r="S230" t="s">
        <v>790</v>
      </c>
      <c r="T230">
        <v>4465.013767</v>
      </c>
      <c r="U230" s="2">
        <v>44512</v>
      </c>
      <c r="V230" t="s">
        <v>798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63.38</v>
      </c>
      <c r="D231">
        <v>62</v>
      </c>
      <c r="E231">
        <v>1.022258064516129</v>
      </c>
      <c r="F231">
        <v>0.03660460713158725</v>
      </c>
      <c r="G231">
        <v>-0.004393115755474186</v>
      </c>
      <c r="H231">
        <v>0.03</v>
      </c>
      <c r="I231">
        <v>0.0593652745694857</v>
      </c>
      <c r="J231" t="s">
        <v>777</v>
      </c>
      <c r="K231" t="s">
        <v>777</v>
      </c>
      <c r="L231">
        <v>4.1</v>
      </c>
      <c r="M231">
        <v>2.32</v>
      </c>
      <c r="N231">
        <v>0.5658536585365854</v>
      </c>
      <c r="O231">
        <v>17</v>
      </c>
      <c r="P231">
        <v>0.03003707999335203</v>
      </c>
      <c r="Q231">
        <v>-0.004067376701657</v>
      </c>
      <c r="R231" t="s">
        <v>780</v>
      </c>
      <c r="S231" t="s">
        <v>791</v>
      </c>
      <c r="T231">
        <v>21282.651679</v>
      </c>
      <c r="U231" s="2">
        <v>44436</v>
      </c>
      <c r="V231" t="s">
        <v>798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48.37</v>
      </c>
      <c r="D232">
        <v>45</v>
      </c>
      <c r="E232">
        <v>1.074888888888889</v>
      </c>
      <c r="F232">
        <v>0.01550547860243953</v>
      </c>
      <c r="G232">
        <v>-0.01433965302840134</v>
      </c>
      <c r="H232">
        <v>0.06</v>
      </c>
      <c r="I232">
        <v>0.05904130971963051</v>
      </c>
      <c r="J232" t="s">
        <v>777</v>
      </c>
      <c r="K232" t="s">
        <v>513</v>
      </c>
      <c r="L232">
        <v>1.29</v>
      </c>
      <c r="M232">
        <v>0.75</v>
      </c>
      <c r="N232">
        <v>0.5813953488372093</v>
      </c>
      <c r="O232">
        <v>24</v>
      </c>
      <c r="P232">
        <v>0.03943186329943948</v>
      </c>
      <c r="Q232">
        <v>0.066581975293938</v>
      </c>
      <c r="R232" t="s">
        <v>780</v>
      </c>
      <c r="S232" t="s">
        <v>792</v>
      </c>
      <c r="T232">
        <v>633.738891</v>
      </c>
      <c r="U232" s="2">
        <v>44507</v>
      </c>
      <c r="V232" t="s">
        <v>795</v>
      </c>
    </row>
    <row r="233" spans="1:22">
      <c r="A233" s="1" t="s">
        <v>253</v>
      </c>
      <c r="B233">
        <f>HYPERLINK("https://www.suredividend.com/sure-analysis-ICE/","Intercontinental Exchange Inc")</f>
        <v>0</v>
      </c>
      <c r="C233">
        <v>132.05</v>
      </c>
      <c r="D233">
        <v>107</v>
      </c>
      <c r="E233">
        <v>1.23411214953271</v>
      </c>
      <c r="F233">
        <v>0.009996213555471412</v>
      </c>
      <c r="G233">
        <v>-0.04119768395284717</v>
      </c>
      <c r="H233">
        <v>0.09</v>
      </c>
      <c r="I233">
        <v>0.05676731936488233</v>
      </c>
      <c r="J233" t="s">
        <v>777</v>
      </c>
      <c r="K233" t="s">
        <v>513</v>
      </c>
      <c r="L233">
        <v>5.1</v>
      </c>
      <c r="M233">
        <v>1.32</v>
      </c>
      <c r="N233">
        <v>0.2588235294117647</v>
      </c>
      <c r="O233">
        <v>9</v>
      </c>
      <c r="P233">
        <v>0.1203569122523565</v>
      </c>
      <c r="Q233">
        <v>0.330832726195527</v>
      </c>
      <c r="R233" t="s">
        <v>780</v>
      </c>
      <c r="S233" t="s">
        <v>790</v>
      </c>
      <c r="T233">
        <v>74921.50860099999</v>
      </c>
      <c r="U233" s="2">
        <v>44522</v>
      </c>
      <c r="V233" t="s">
        <v>802</v>
      </c>
    </row>
    <row r="234" spans="1:22">
      <c r="A234" s="1" t="s">
        <v>254</v>
      </c>
      <c r="B234">
        <f>HYPERLINK("https://www.suredividend.com/sure-analysis-RBA/","Ritchie Bros Auctioneers Inc")</f>
        <v>0</v>
      </c>
      <c r="C234">
        <v>70.11</v>
      </c>
      <c r="D234">
        <v>53</v>
      </c>
      <c r="E234">
        <v>1.322830188679245</v>
      </c>
      <c r="F234">
        <v>0.01426330052774212</v>
      </c>
      <c r="G234">
        <v>-0.05441803469233875</v>
      </c>
      <c r="H234">
        <v>0.1</v>
      </c>
      <c r="I234">
        <v>0.05601198163639154</v>
      </c>
      <c r="J234" t="s">
        <v>777</v>
      </c>
      <c r="K234" t="s">
        <v>513</v>
      </c>
      <c r="L234">
        <v>1.6</v>
      </c>
      <c r="M234">
        <v>1</v>
      </c>
      <c r="N234">
        <v>0.625</v>
      </c>
      <c r="O234">
        <v>17</v>
      </c>
      <c r="P234">
        <v>0.09993032380125255</v>
      </c>
      <c r="Q234">
        <v>0.07713375688735301</v>
      </c>
      <c r="R234" t="s">
        <v>780</v>
      </c>
      <c r="S234" t="s">
        <v>787</v>
      </c>
      <c r="T234">
        <v>7768.790613</v>
      </c>
      <c r="U234" s="2">
        <v>44515</v>
      </c>
      <c r="V234" t="s">
        <v>795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83.23999999999999</v>
      </c>
      <c r="D235">
        <v>81</v>
      </c>
      <c r="E235">
        <v>1.027654320987654</v>
      </c>
      <c r="F235">
        <v>0.02138395002402691</v>
      </c>
      <c r="G235">
        <v>-0.005440913689554683</v>
      </c>
      <c r="H235">
        <v>0.04</v>
      </c>
      <c r="I235">
        <v>0.05575129519187905</v>
      </c>
      <c r="J235" t="s">
        <v>777</v>
      </c>
      <c r="K235" t="s">
        <v>777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0.402884071789592</v>
      </c>
      <c r="R235" t="s">
        <v>780</v>
      </c>
      <c r="S235" t="s">
        <v>791</v>
      </c>
      <c r="T235">
        <v>30270.62568</v>
      </c>
      <c r="U235" s="2">
        <v>44515</v>
      </c>
      <c r="V235" t="s">
        <v>799</v>
      </c>
    </row>
    <row r="236" spans="1:22">
      <c r="A236" s="1" t="s">
        <v>256</v>
      </c>
      <c r="B236">
        <f>HYPERLINK("https://www.suredividend.com/sure-analysis-HD/","Home Depot, Inc.")</f>
        <v>0</v>
      </c>
      <c r="C236">
        <v>408.37</v>
      </c>
      <c r="D236">
        <v>320</v>
      </c>
      <c r="E236">
        <v>1.27615625</v>
      </c>
      <c r="F236">
        <v>0.01616181404118814</v>
      </c>
      <c r="G236">
        <v>-0.04760034449382822</v>
      </c>
      <c r="H236">
        <v>0.09</v>
      </c>
      <c r="I236">
        <v>0.05566222079551286</v>
      </c>
      <c r="J236" t="s">
        <v>777</v>
      </c>
      <c r="K236" t="s">
        <v>372</v>
      </c>
      <c r="L236">
        <v>14.55</v>
      </c>
      <c r="M236">
        <v>6.6</v>
      </c>
      <c r="N236">
        <v>0.4536082474226804</v>
      </c>
      <c r="O236">
        <v>12</v>
      </c>
      <c r="P236">
        <v>0.08989440052011655</v>
      </c>
      <c r="Q236">
        <v>0.548783126034552</v>
      </c>
      <c r="R236" t="s">
        <v>780</v>
      </c>
      <c r="S236" t="s">
        <v>789</v>
      </c>
      <c r="T236">
        <v>431420.081338</v>
      </c>
      <c r="U236" s="2">
        <v>44427</v>
      </c>
      <c r="V236" t="s">
        <v>801</v>
      </c>
    </row>
    <row r="237" spans="1:22">
      <c r="A237" s="1" t="s">
        <v>257</v>
      </c>
      <c r="B237">
        <f>HYPERLINK("https://www.suredividend.com/sure-analysis-CVS/","CVS Health Corp")</f>
        <v>0</v>
      </c>
      <c r="C237">
        <v>93.64</v>
      </c>
      <c r="D237">
        <v>87</v>
      </c>
      <c r="E237">
        <v>1.07632183908046</v>
      </c>
      <c r="F237">
        <v>0.02135839384878257</v>
      </c>
      <c r="G237">
        <v>-0.01460224269034716</v>
      </c>
      <c r="H237">
        <v>0.05</v>
      </c>
      <c r="I237">
        <v>0.0554295806602414</v>
      </c>
      <c r="J237" t="s">
        <v>777</v>
      </c>
      <c r="K237" t="s">
        <v>777</v>
      </c>
      <c r="L237">
        <v>7.95</v>
      </c>
      <c r="M237">
        <v>2</v>
      </c>
      <c r="N237">
        <v>0.2515723270440252</v>
      </c>
      <c r="O237">
        <v>0</v>
      </c>
      <c r="P237">
        <v>0.04978904632428516</v>
      </c>
      <c r="Q237">
        <v>0.436176702708796</v>
      </c>
      <c r="R237" t="s">
        <v>780</v>
      </c>
      <c r="S237" t="s">
        <v>785</v>
      </c>
      <c r="T237">
        <v>122752.254514</v>
      </c>
      <c r="U237" s="2">
        <v>44503</v>
      </c>
      <c r="V237" t="s">
        <v>796</v>
      </c>
    </row>
    <row r="238" spans="1:22">
      <c r="A238" s="1" t="s">
        <v>258</v>
      </c>
      <c r="B238">
        <f>HYPERLINK("https://www.suredividend.com/sure-analysis-SBUX/","Starbucks Corp.")</f>
        <v>0</v>
      </c>
      <c r="C238">
        <v>113.58</v>
      </c>
      <c r="D238">
        <v>92</v>
      </c>
      <c r="E238">
        <v>1.234565217391304</v>
      </c>
      <c r="F238">
        <v>0.01725655925338968</v>
      </c>
      <c r="G238">
        <v>-0.04126806764548419</v>
      </c>
      <c r="H238">
        <v>0.08</v>
      </c>
      <c r="I238">
        <v>0.0537924612527263</v>
      </c>
      <c r="J238" t="s">
        <v>777</v>
      </c>
      <c r="K238" t="s">
        <v>372</v>
      </c>
      <c r="L238">
        <v>4</v>
      </c>
      <c r="M238">
        <v>1.96</v>
      </c>
      <c r="N238">
        <v>0.49</v>
      </c>
      <c r="O238">
        <v>11</v>
      </c>
      <c r="P238">
        <v>0.0800087729241854</v>
      </c>
      <c r="Q238">
        <v>0.167842368000804</v>
      </c>
      <c r="R238" t="s">
        <v>780</v>
      </c>
      <c r="S238" t="s">
        <v>789</v>
      </c>
      <c r="T238">
        <v>130753.14</v>
      </c>
      <c r="U238" s="2">
        <v>44504</v>
      </c>
      <c r="V238" t="s">
        <v>799</v>
      </c>
    </row>
    <row r="239" spans="1:22">
      <c r="A239" s="1" t="s">
        <v>259</v>
      </c>
      <c r="B239">
        <f>HYPERLINK("https://www.suredividend.com/sure-analysis-KMB/","Kimberly-Clark Corp.")</f>
        <v>0</v>
      </c>
      <c r="C239">
        <v>135.79</v>
      </c>
      <c r="D239">
        <v>112</v>
      </c>
      <c r="E239">
        <v>1.212410714285714</v>
      </c>
      <c r="F239">
        <v>0.03358126518889461</v>
      </c>
      <c r="G239">
        <v>-0.03778959949160088</v>
      </c>
      <c r="H239">
        <v>0.06</v>
      </c>
      <c r="I239">
        <v>0.05266461142950329</v>
      </c>
      <c r="J239" t="s">
        <v>777</v>
      </c>
      <c r="K239" t="s">
        <v>776</v>
      </c>
      <c r="L239">
        <v>6.2</v>
      </c>
      <c r="M239">
        <v>4.56</v>
      </c>
      <c r="N239">
        <v>0.7354838709677418</v>
      </c>
      <c r="O239">
        <v>49</v>
      </c>
      <c r="P239">
        <v>0.03932663634209943</v>
      </c>
      <c r="Q239">
        <v>0.001988589285291</v>
      </c>
      <c r="R239" t="s">
        <v>780</v>
      </c>
      <c r="S239" t="s">
        <v>791</v>
      </c>
      <c r="T239">
        <v>45604.912828</v>
      </c>
      <c r="U239" s="2">
        <v>44499</v>
      </c>
      <c r="V239" t="s">
        <v>798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116.3</v>
      </c>
      <c r="D240">
        <v>122</v>
      </c>
      <c r="E240">
        <v>0.9532786885245902</v>
      </c>
      <c r="F240">
        <v>0.04608770421324162</v>
      </c>
      <c r="G240">
        <v>0.009615532045064379</v>
      </c>
      <c r="H240">
        <v>0</v>
      </c>
      <c r="I240">
        <v>0.05152952646833708</v>
      </c>
      <c r="J240" t="s">
        <v>777</v>
      </c>
      <c r="K240" t="s">
        <v>776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0.377894655350939</v>
      </c>
      <c r="R240" t="s">
        <v>780</v>
      </c>
      <c r="S240" t="s">
        <v>793</v>
      </c>
      <c r="T240">
        <v>219582.703033</v>
      </c>
      <c r="U240" s="2">
        <v>44501</v>
      </c>
      <c r="V240" t="s">
        <v>803</v>
      </c>
    </row>
    <row r="241" spans="1:22">
      <c r="A241" s="1" t="s">
        <v>261</v>
      </c>
      <c r="B241">
        <f>HYPERLINK("https://www.suredividend.com/sure-analysis-DPZ/","Dominos Pizza Inc")</f>
        <v>0</v>
      </c>
      <c r="C241">
        <v>531.91</v>
      </c>
      <c r="D241">
        <v>370</v>
      </c>
      <c r="E241">
        <v>1.437594594594594</v>
      </c>
      <c r="F241">
        <v>0.007068865033558309</v>
      </c>
      <c r="G241">
        <v>-0.07002191654685652</v>
      </c>
      <c r="H241">
        <v>0.12</v>
      </c>
      <c r="I241">
        <v>0.05067811431523706</v>
      </c>
      <c r="J241" t="s">
        <v>777</v>
      </c>
      <c r="K241" t="s">
        <v>513</v>
      </c>
      <c r="L241">
        <v>13.9</v>
      </c>
      <c r="M241">
        <v>3.76</v>
      </c>
      <c r="N241">
        <v>0.2705035971223022</v>
      </c>
      <c r="O241">
        <v>8</v>
      </c>
      <c r="P241">
        <v>0.1480866941841668</v>
      </c>
      <c r="Q241">
        <v>0.3809338132528841</v>
      </c>
      <c r="R241" t="s">
        <v>780</v>
      </c>
      <c r="S241" t="s">
        <v>789</v>
      </c>
      <c r="T241">
        <v>19407.251381</v>
      </c>
      <c r="U241" s="2">
        <v>44486</v>
      </c>
      <c r="V241" t="s">
        <v>803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211.81</v>
      </c>
      <c r="D242">
        <v>191</v>
      </c>
      <c r="E242">
        <v>1.108952879581152</v>
      </c>
      <c r="F242">
        <v>0.01926254662197252</v>
      </c>
      <c r="G242">
        <v>-0.02047081249692906</v>
      </c>
      <c r="H242">
        <v>0.05</v>
      </c>
      <c r="I242">
        <v>0.04847471593937169</v>
      </c>
      <c r="J242" t="s">
        <v>777</v>
      </c>
      <c r="K242" t="s">
        <v>372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0.315447210257593</v>
      </c>
      <c r="R242" t="s">
        <v>780</v>
      </c>
      <c r="S242" t="s">
        <v>787</v>
      </c>
      <c r="T242">
        <v>182284.672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HYPERLINK("https://www.suredividend.com/sure-analysis-CTSH/","Cognizant Technology Solutions Corp.")</f>
        <v>0</v>
      </c>
      <c r="C243">
        <v>80.76000000000001</v>
      </c>
      <c r="D243">
        <v>65</v>
      </c>
      <c r="E243">
        <v>1.242461538461539</v>
      </c>
      <c r="F243">
        <v>0.01188707280832095</v>
      </c>
      <c r="G243">
        <v>-0.04248979948987519</v>
      </c>
      <c r="H243">
        <v>0.08</v>
      </c>
      <c r="I243">
        <v>0.04667477677141707</v>
      </c>
      <c r="J243" t="s">
        <v>777</v>
      </c>
      <c r="K243" t="s">
        <v>513</v>
      </c>
      <c r="L243">
        <v>4.05</v>
      </c>
      <c r="M243">
        <v>0.96</v>
      </c>
      <c r="N243">
        <v>0.237037037037037</v>
      </c>
      <c r="O243">
        <v>2</v>
      </c>
      <c r="P243">
        <v>0.07214502590085092</v>
      </c>
      <c r="Q243">
        <v>0.08598190697302001</v>
      </c>
      <c r="R243" t="s">
        <v>780</v>
      </c>
      <c r="S243" t="s">
        <v>786</v>
      </c>
      <c r="T243">
        <v>42750.23863</v>
      </c>
      <c r="U243" s="2">
        <v>44504</v>
      </c>
      <c r="V243" t="s">
        <v>803</v>
      </c>
    </row>
    <row r="244" spans="1:22">
      <c r="A244" s="1" t="s">
        <v>264</v>
      </c>
      <c r="B244">
        <f>HYPERLINK("https://www.suredividend.com/sure-analysis-SIEGY/","Siemens AG")</f>
        <v>0</v>
      </c>
      <c r="C244">
        <v>86.09999999999999</v>
      </c>
      <c r="D244">
        <v>74</v>
      </c>
      <c r="E244">
        <v>1.163513513513514</v>
      </c>
      <c r="F244">
        <v>0.02450638792102207</v>
      </c>
      <c r="G244">
        <v>-0.02983475240230316</v>
      </c>
      <c r="H244">
        <v>0.05</v>
      </c>
      <c r="I244">
        <v>0.04450538811429672</v>
      </c>
      <c r="J244" t="s">
        <v>777</v>
      </c>
      <c r="K244" t="s">
        <v>372</v>
      </c>
      <c r="L244">
        <v>4.6</v>
      </c>
      <c r="M244">
        <v>2.11</v>
      </c>
      <c r="N244">
        <v>0.4586956521739131</v>
      </c>
      <c r="O244">
        <v>0</v>
      </c>
      <c r="P244">
        <v>0.0597253677135221</v>
      </c>
      <c r="Q244">
        <v>0.341403616304014</v>
      </c>
      <c r="R244" t="s">
        <v>780</v>
      </c>
      <c r="S244" t="s">
        <v>787</v>
      </c>
      <c r="T244">
        <v>148818</v>
      </c>
      <c r="U244" s="2">
        <v>44513</v>
      </c>
      <c r="V244" t="s">
        <v>800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58</v>
      </c>
      <c r="D245">
        <v>57</v>
      </c>
      <c r="E245">
        <v>1.017543859649123</v>
      </c>
      <c r="F245">
        <v>0.02896551724137931</v>
      </c>
      <c r="G245">
        <v>-0.003472306096024447</v>
      </c>
      <c r="H245">
        <v>0.02</v>
      </c>
      <c r="I245">
        <v>0.04371732555092289</v>
      </c>
      <c r="J245" t="s">
        <v>777</v>
      </c>
      <c r="K245" t="s">
        <v>777</v>
      </c>
      <c r="L245">
        <v>3.15</v>
      </c>
      <c r="M245">
        <v>1.68</v>
      </c>
      <c r="N245">
        <v>0.5333333333333333</v>
      </c>
      <c r="O245">
        <v>29</v>
      </c>
      <c r="P245">
        <v>0.01946539682289394</v>
      </c>
      <c r="Q245">
        <v>0.029403663774338</v>
      </c>
      <c r="R245" t="s">
        <v>780</v>
      </c>
      <c r="S245" t="s">
        <v>790</v>
      </c>
      <c r="T245">
        <v>1556.353636</v>
      </c>
      <c r="U245" s="2">
        <v>44490</v>
      </c>
      <c r="V245" t="s">
        <v>796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25.28</v>
      </c>
      <c r="D246">
        <v>21</v>
      </c>
      <c r="E246">
        <v>1.203809523809524</v>
      </c>
      <c r="F246">
        <v>0.03164556962025317</v>
      </c>
      <c r="G246">
        <v>-0.03641851835394749</v>
      </c>
      <c r="H246">
        <v>0.05</v>
      </c>
      <c r="I246">
        <v>0.04363870053466679</v>
      </c>
      <c r="J246" t="s">
        <v>777</v>
      </c>
      <c r="K246" t="s">
        <v>777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0.47019052057979</v>
      </c>
      <c r="R246" t="s">
        <v>780</v>
      </c>
      <c r="S246" t="s">
        <v>791</v>
      </c>
      <c r="T246">
        <v>918.378347</v>
      </c>
      <c r="U246" s="2">
        <v>44513</v>
      </c>
      <c r="V246" t="s">
        <v>801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106.3</v>
      </c>
      <c r="D247">
        <v>90</v>
      </c>
      <c r="E247">
        <v>1.181111111111111</v>
      </c>
      <c r="F247">
        <v>0.03800564440263406</v>
      </c>
      <c r="G247">
        <v>-0.0327430721457368</v>
      </c>
      <c r="H247">
        <v>0.04</v>
      </c>
      <c r="I247">
        <v>0.04308949310822197</v>
      </c>
      <c r="J247" t="s">
        <v>777</v>
      </c>
      <c r="K247" t="s">
        <v>777</v>
      </c>
      <c r="L247">
        <v>6</v>
      </c>
      <c r="M247">
        <v>4.04</v>
      </c>
      <c r="N247">
        <v>0.6733333333333333</v>
      </c>
      <c r="O247">
        <v>28</v>
      </c>
      <c r="P247">
        <v>0.02496011802205444</v>
      </c>
      <c r="Q247">
        <v>0.022014750158826</v>
      </c>
      <c r="R247" t="s">
        <v>780</v>
      </c>
      <c r="S247" t="s">
        <v>792</v>
      </c>
      <c r="T247">
        <v>21565.293275</v>
      </c>
      <c r="U247" s="2">
        <v>44510</v>
      </c>
      <c r="V247" t="s">
        <v>800</v>
      </c>
    </row>
    <row r="248" spans="1:22">
      <c r="A248" s="1" t="s">
        <v>268</v>
      </c>
      <c r="B248">
        <f>HYPERLINK("https://www.suredividend.com/sure-analysis-ARTNA/","Artesian Resources Corp.")</f>
        <v>0</v>
      </c>
      <c r="C248">
        <v>45.28</v>
      </c>
      <c r="D248">
        <v>44.6</v>
      </c>
      <c r="E248">
        <v>1.0152466367713</v>
      </c>
      <c r="F248">
        <v>0.02363074204946997</v>
      </c>
      <c r="G248">
        <v>-0.003021740298587816</v>
      </c>
      <c r="H248">
        <v>0.023</v>
      </c>
      <c r="I248">
        <v>0.04285075264537519</v>
      </c>
      <c r="J248" t="s">
        <v>777</v>
      </c>
      <c r="K248" t="s">
        <v>777</v>
      </c>
      <c r="L248">
        <v>2.23</v>
      </c>
      <c r="M248">
        <v>1.07</v>
      </c>
      <c r="N248">
        <v>0.4798206278026906</v>
      </c>
      <c r="O248">
        <v>24</v>
      </c>
      <c r="P248">
        <v>0.03158554278749115</v>
      </c>
      <c r="Q248">
        <v>0.245597102955612</v>
      </c>
      <c r="R248" t="s">
        <v>780</v>
      </c>
      <c r="S248" t="s">
        <v>792</v>
      </c>
      <c r="T248">
        <v>386.175116</v>
      </c>
      <c r="U248" s="2">
        <v>44509</v>
      </c>
      <c r="V248" t="s">
        <v>805</v>
      </c>
    </row>
    <row r="249" spans="1:22">
      <c r="A249" s="1" t="s">
        <v>269</v>
      </c>
      <c r="B249">
        <f>HYPERLINK("https://www.suredividend.com/sure-analysis-CONE/","CyrusOne Inc")</f>
        <v>0</v>
      </c>
      <c r="C249">
        <v>89.34</v>
      </c>
      <c r="D249">
        <v>73</v>
      </c>
      <c r="E249">
        <v>1.223835616438356</v>
      </c>
      <c r="F249">
        <v>0.02328184463845982</v>
      </c>
      <c r="G249">
        <v>-0.03959285490482378</v>
      </c>
      <c r="H249">
        <v>0.06</v>
      </c>
      <c r="I249">
        <v>0.04102729652758819</v>
      </c>
      <c r="J249" t="s">
        <v>777</v>
      </c>
      <c r="K249" t="s">
        <v>372</v>
      </c>
      <c r="L249">
        <v>4.06</v>
      </c>
      <c r="M249">
        <v>2.08</v>
      </c>
      <c r="N249">
        <v>0.5123152709359606</v>
      </c>
      <c r="O249">
        <v>8</v>
      </c>
      <c r="P249">
        <v>0.03496752704080697</v>
      </c>
      <c r="Q249">
        <v>0.289828152805019</v>
      </c>
      <c r="R249" t="s">
        <v>782</v>
      </c>
      <c r="S249" t="s">
        <v>794</v>
      </c>
      <c r="T249">
        <v>11342.149659</v>
      </c>
      <c r="U249" s="2">
        <v>44500</v>
      </c>
      <c r="V249" t="s">
        <v>795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137.88</v>
      </c>
      <c r="D250">
        <v>107</v>
      </c>
      <c r="E250">
        <v>1.288598130841121</v>
      </c>
      <c r="F250">
        <v>0.01334493762692196</v>
      </c>
      <c r="G250">
        <v>-0.04944664159906609</v>
      </c>
      <c r="H250">
        <v>0.08</v>
      </c>
      <c r="I250">
        <v>0.04076836878750689</v>
      </c>
      <c r="J250" t="s">
        <v>777</v>
      </c>
      <c r="K250" t="s">
        <v>513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0.408314577397666</v>
      </c>
      <c r="R250" t="s">
        <v>780</v>
      </c>
      <c r="S250" t="s">
        <v>787</v>
      </c>
      <c r="T250">
        <v>43432.474071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HYPERLINK("https://www.suredividend.com/sure-analysis-WEYS/","Weyco Group, Inc")</f>
        <v>0</v>
      </c>
      <c r="C251">
        <v>24.42</v>
      </c>
      <c r="D251">
        <v>23</v>
      </c>
      <c r="E251">
        <v>1.061739130434783</v>
      </c>
      <c r="F251">
        <v>0.04095004095004095</v>
      </c>
      <c r="G251">
        <v>-0.01191015639990756</v>
      </c>
      <c r="H251">
        <v>0.01</v>
      </c>
      <c r="I251">
        <v>0.04073461380816568</v>
      </c>
      <c r="J251" t="s">
        <v>777</v>
      </c>
      <c r="K251" t="s">
        <v>776</v>
      </c>
      <c r="L251">
        <v>1.5</v>
      </c>
      <c r="M251">
        <v>1</v>
      </c>
      <c r="N251">
        <v>0.6666666666666666</v>
      </c>
      <c r="O251">
        <v>39</v>
      </c>
      <c r="P251">
        <v>0.04057159395880827</v>
      </c>
      <c r="Q251">
        <v>0.4887630003346921</v>
      </c>
      <c r="R251" t="s">
        <v>780</v>
      </c>
      <c r="S251" t="s">
        <v>789</v>
      </c>
      <c r="T251">
        <v>234.204344</v>
      </c>
      <c r="U251" s="2">
        <v>44509</v>
      </c>
      <c r="V251" t="s">
        <v>802</v>
      </c>
    </row>
    <row r="252" spans="1:22">
      <c r="A252" s="1" t="s">
        <v>272</v>
      </c>
      <c r="B252">
        <f>HYPERLINK("https://www.suredividend.com/sure-analysis-SJM/","J.M. Smucker Co.")</f>
        <v>0</v>
      </c>
      <c r="C252">
        <v>133.63</v>
      </c>
      <c r="D252">
        <v>110</v>
      </c>
      <c r="E252">
        <v>1.214818181818182</v>
      </c>
      <c r="F252">
        <v>0.02963406420713912</v>
      </c>
      <c r="G252">
        <v>-0.03817127451143054</v>
      </c>
      <c r="H252">
        <v>0.05</v>
      </c>
      <c r="I252">
        <v>0.04015614176839555</v>
      </c>
      <c r="J252" t="s">
        <v>777</v>
      </c>
      <c r="K252" t="s">
        <v>777</v>
      </c>
      <c r="L252">
        <v>6.9</v>
      </c>
      <c r="M252">
        <v>3.96</v>
      </c>
      <c r="N252">
        <v>0.5739130434782609</v>
      </c>
      <c r="O252">
        <v>24</v>
      </c>
      <c r="P252">
        <v>0.04008868188296377</v>
      </c>
      <c r="Q252">
        <v>0.120748110887052</v>
      </c>
      <c r="R252" t="s">
        <v>780</v>
      </c>
      <c r="S252" t="s">
        <v>791</v>
      </c>
      <c r="T252">
        <v>13700.851395</v>
      </c>
      <c r="U252" s="2">
        <v>44435</v>
      </c>
      <c r="V252" t="s">
        <v>799</v>
      </c>
    </row>
    <row r="253" spans="1:22">
      <c r="A253" s="1" t="s">
        <v>273</v>
      </c>
      <c r="B253">
        <f>HYPERLINK("https://www.suredividend.com/sure-analysis-NEP/","NextEra Energy Partners LP")</f>
        <v>0</v>
      </c>
      <c r="C253">
        <v>86.95999999999999</v>
      </c>
      <c r="D253">
        <v>72.8</v>
      </c>
      <c r="E253">
        <v>1.194505494505494</v>
      </c>
      <c r="F253">
        <v>0.03150873965041399</v>
      </c>
      <c r="G253">
        <v>-0.03492210193922152</v>
      </c>
      <c r="H253">
        <v>0.039</v>
      </c>
      <c r="I253">
        <v>0.0392853206659991</v>
      </c>
      <c r="J253" t="s">
        <v>777</v>
      </c>
      <c r="K253" t="s">
        <v>777</v>
      </c>
      <c r="L253">
        <v>6.62</v>
      </c>
      <c r="M253">
        <v>2.74</v>
      </c>
      <c r="N253">
        <v>0.4138972809667674</v>
      </c>
      <c r="O253">
        <v>7</v>
      </c>
      <c r="P253">
        <v>0.07860365022909654</v>
      </c>
      <c r="Q253">
        <v>0.415369783553564</v>
      </c>
      <c r="R253" t="s">
        <v>781</v>
      </c>
      <c r="S253" t="s">
        <v>792</v>
      </c>
      <c r="T253">
        <v>6704.197763</v>
      </c>
      <c r="U253" s="2">
        <v>44494</v>
      </c>
      <c r="V253" t="s">
        <v>805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235.77</v>
      </c>
      <c r="D254">
        <v>204</v>
      </c>
      <c r="E254">
        <v>1.155735294117647</v>
      </c>
      <c r="F254">
        <v>0.01696568689824829</v>
      </c>
      <c r="G254">
        <v>-0.02853239099515448</v>
      </c>
      <c r="H254">
        <v>0.05</v>
      </c>
      <c r="I254">
        <v>0.03837438763164802</v>
      </c>
      <c r="J254" t="s">
        <v>777</v>
      </c>
      <c r="K254" t="s">
        <v>372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0.627069015855904</v>
      </c>
      <c r="R254" t="s">
        <v>780</v>
      </c>
      <c r="S254" t="s">
        <v>789</v>
      </c>
      <c r="T254">
        <v>14455.800684</v>
      </c>
      <c r="U254" s="2">
        <v>44517</v>
      </c>
      <c r="V254" t="s">
        <v>799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87.31</v>
      </c>
      <c r="D255">
        <v>66</v>
      </c>
      <c r="E255">
        <v>1.322878787878788</v>
      </c>
      <c r="F255">
        <v>0.02336502118886725</v>
      </c>
      <c r="G255">
        <v>-0.05442498244935978</v>
      </c>
      <c r="H255">
        <v>0.07000000000000001</v>
      </c>
      <c r="I255">
        <v>0.03782102329121906</v>
      </c>
      <c r="J255" t="s">
        <v>777</v>
      </c>
      <c r="K255" t="s">
        <v>777</v>
      </c>
      <c r="L255">
        <v>4.15</v>
      </c>
      <c r="M255">
        <v>2.04</v>
      </c>
      <c r="N255">
        <v>0.4915662650602409</v>
      </c>
      <c r="O255">
        <v>27</v>
      </c>
      <c r="P255">
        <v>0.06990981876632385</v>
      </c>
      <c r="Q255">
        <v>0.274452081042231</v>
      </c>
      <c r="R255" t="s">
        <v>780</v>
      </c>
      <c r="S255" t="s">
        <v>787</v>
      </c>
      <c r="T255">
        <v>129920.308006</v>
      </c>
      <c r="U255" s="2">
        <v>44497</v>
      </c>
      <c r="V255" t="s">
        <v>799</v>
      </c>
    </row>
    <row r="256" spans="1:22">
      <c r="A256" s="1" t="s">
        <v>276</v>
      </c>
      <c r="B256">
        <f>HYPERLINK("https://www.suredividend.com/sure-analysis-ED/","Consolidated Edison, Inc.")</f>
        <v>0</v>
      </c>
      <c r="C256">
        <v>79.17</v>
      </c>
      <c r="D256">
        <v>65</v>
      </c>
      <c r="E256">
        <v>1.218</v>
      </c>
      <c r="F256">
        <v>0.03915624605279778</v>
      </c>
      <c r="G256">
        <v>-0.03867432328330711</v>
      </c>
      <c r="H256">
        <v>0.035</v>
      </c>
      <c r="I256">
        <v>0.03581482458807828</v>
      </c>
      <c r="J256" t="s">
        <v>777</v>
      </c>
      <c r="K256" t="s">
        <v>776</v>
      </c>
      <c r="L256">
        <v>4.25</v>
      </c>
      <c r="M256">
        <v>3.1</v>
      </c>
      <c r="N256">
        <v>0.7294117647058824</v>
      </c>
      <c r="O256">
        <v>47</v>
      </c>
      <c r="P256">
        <v>0.03489723107282572</v>
      </c>
      <c r="Q256">
        <v>0.045887533478517</v>
      </c>
      <c r="R256" t="s">
        <v>780</v>
      </c>
      <c r="S256" t="s">
        <v>792</v>
      </c>
      <c r="T256">
        <v>27765.208655</v>
      </c>
      <c r="U256" s="2">
        <v>44507</v>
      </c>
      <c r="V256" t="s">
        <v>796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69.09999999999999</v>
      </c>
      <c r="D257">
        <v>72</v>
      </c>
      <c r="E257">
        <v>0.9597222222222221</v>
      </c>
      <c r="F257">
        <v>0.02257597684515196</v>
      </c>
      <c r="G257">
        <v>0.008256173409781686</v>
      </c>
      <c r="H257">
        <v>0.005</v>
      </c>
      <c r="I257">
        <v>0.03578811975583274</v>
      </c>
      <c r="J257" t="s">
        <v>777</v>
      </c>
      <c r="K257" t="s">
        <v>372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0.8026187680949061</v>
      </c>
      <c r="R257" t="s">
        <v>780</v>
      </c>
      <c r="S257" t="s">
        <v>792</v>
      </c>
      <c r="T257">
        <v>2914.860677</v>
      </c>
      <c r="U257" s="2">
        <v>44506</v>
      </c>
      <c r="V257" t="s">
        <v>805</v>
      </c>
    </row>
    <row r="258" spans="1:22">
      <c r="A258" s="1" t="s">
        <v>278</v>
      </c>
      <c r="B258">
        <f>HYPERLINK("https://www.suredividend.com/sure-analysis-LRLCF/","L'Oréal SA")</f>
        <v>0</v>
      </c>
      <c r="C258">
        <v>465.53</v>
      </c>
      <c r="D258">
        <v>400</v>
      </c>
      <c r="E258">
        <v>1.163825</v>
      </c>
      <c r="F258">
        <v>0.01117006422786931</v>
      </c>
      <c r="G258">
        <v>-0.02988668902870872</v>
      </c>
      <c r="H258">
        <v>0.055</v>
      </c>
      <c r="I258">
        <v>0.03502236387717805</v>
      </c>
      <c r="J258" t="s">
        <v>777</v>
      </c>
      <c r="K258" t="s">
        <v>513</v>
      </c>
      <c r="L258">
        <v>10</v>
      </c>
      <c r="M258">
        <v>5.2</v>
      </c>
      <c r="N258">
        <v>0.52</v>
      </c>
      <c r="O258">
        <v>21</v>
      </c>
      <c r="P258">
        <v>0.05010553388446692</v>
      </c>
      <c r="Q258">
        <v>0.269523989116672</v>
      </c>
      <c r="R258" t="s">
        <v>780</v>
      </c>
      <c r="S258" t="s">
        <v>791</v>
      </c>
      <c r="T258">
        <v>262808.674489</v>
      </c>
      <c r="U258" s="2">
        <v>44505</v>
      </c>
      <c r="V258" t="s">
        <v>795</v>
      </c>
    </row>
    <row r="259" spans="1:22">
      <c r="A259" s="1" t="s">
        <v>279</v>
      </c>
      <c r="B259">
        <f>HYPERLINK("https://www.suredividend.com/sure-analysis-AMT/","American Tower Corp.")</f>
        <v>0</v>
      </c>
      <c r="C259">
        <v>262</v>
      </c>
      <c r="D259">
        <v>209</v>
      </c>
      <c r="E259">
        <v>1.253588516746412</v>
      </c>
      <c r="F259">
        <v>0.02</v>
      </c>
      <c r="G259">
        <v>-0.04419565828888083</v>
      </c>
      <c r="H259">
        <v>0.06</v>
      </c>
      <c r="I259">
        <v>0.03487996326793219</v>
      </c>
      <c r="J259" t="s">
        <v>777</v>
      </c>
      <c r="K259" t="s">
        <v>372</v>
      </c>
      <c r="L259">
        <v>9.5</v>
      </c>
      <c r="M259">
        <v>5.24</v>
      </c>
      <c r="N259">
        <v>0.5515789473684211</v>
      </c>
      <c r="O259">
        <v>9</v>
      </c>
      <c r="P259">
        <v>0.0599303946492904</v>
      </c>
      <c r="Q259">
        <v>0.129899645368608</v>
      </c>
      <c r="R259" t="s">
        <v>782</v>
      </c>
      <c r="S259" t="s">
        <v>794</v>
      </c>
      <c r="T259">
        <v>117328.230758</v>
      </c>
      <c r="U259" s="2">
        <v>44502</v>
      </c>
      <c r="V259" t="s">
        <v>799</v>
      </c>
    </row>
    <row r="260" spans="1:22">
      <c r="A260" s="1" t="s">
        <v>280</v>
      </c>
      <c r="B260">
        <f>HYPERLINK("https://www.suredividend.com/sure-analysis-SBAC/","SBA Communications Corp")</f>
        <v>0</v>
      </c>
      <c r="C260">
        <v>348.95</v>
      </c>
      <c r="D260">
        <v>244</v>
      </c>
      <c r="E260">
        <v>1.430122950819672</v>
      </c>
      <c r="F260">
        <v>0.006648516979509959</v>
      </c>
      <c r="G260">
        <v>-0.06905221118415006</v>
      </c>
      <c r="H260">
        <v>0.1</v>
      </c>
      <c r="I260">
        <v>0.03461598548626021</v>
      </c>
      <c r="J260" t="s">
        <v>777</v>
      </c>
      <c r="K260" t="s">
        <v>513</v>
      </c>
      <c r="L260">
        <v>10.6</v>
      </c>
      <c r="M260">
        <v>2.32</v>
      </c>
      <c r="N260">
        <v>0.2188679245283019</v>
      </c>
      <c r="O260">
        <v>2</v>
      </c>
      <c r="P260">
        <v>0.1998793126786198</v>
      </c>
      <c r="Q260">
        <v>0.194340309523875</v>
      </c>
      <c r="R260" t="s">
        <v>780</v>
      </c>
      <c r="S260" t="s">
        <v>786</v>
      </c>
      <c r="T260">
        <v>37666.667867</v>
      </c>
      <c r="U260" s="2">
        <v>44502</v>
      </c>
      <c r="V260" t="s">
        <v>795</v>
      </c>
    </row>
    <row r="261" spans="1:22">
      <c r="A261" s="1" t="s">
        <v>281</v>
      </c>
      <c r="B261">
        <f>HYPERLINK("https://www.suredividend.com/sure-analysis-DE/","Deere &amp; Co.")</f>
        <v>0</v>
      </c>
      <c r="C261">
        <v>349.28</v>
      </c>
      <c r="D261">
        <v>345</v>
      </c>
      <c r="E261">
        <v>1.012405797101449</v>
      </c>
      <c r="F261">
        <v>0.01202473660100779</v>
      </c>
      <c r="G261">
        <v>-0.002462857332095947</v>
      </c>
      <c r="H261">
        <v>0.02</v>
      </c>
      <c r="I261">
        <v>0.03093363713768515</v>
      </c>
      <c r="J261" t="s">
        <v>777</v>
      </c>
      <c r="K261" t="s">
        <v>513</v>
      </c>
      <c r="L261">
        <v>18.4</v>
      </c>
      <c r="M261">
        <v>4.2</v>
      </c>
      <c r="N261">
        <v>0.2282608695652174</v>
      </c>
      <c r="O261">
        <v>1</v>
      </c>
      <c r="P261">
        <v>0.06997394153840619</v>
      </c>
      <c r="Q261">
        <v>0.3651524849051651</v>
      </c>
      <c r="R261" t="s">
        <v>780</v>
      </c>
      <c r="S261" t="s">
        <v>787</v>
      </c>
      <c r="T261">
        <v>108261.065658</v>
      </c>
      <c r="U261" s="2">
        <v>44428</v>
      </c>
      <c r="V261" t="s">
        <v>799</v>
      </c>
    </row>
    <row r="262" spans="1:22">
      <c r="A262" s="1" t="s">
        <v>282</v>
      </c>
      <c r="B262">
        <f>HYPERLINK("https://www.suredividend.com/sure-analysis-CLX/","Clorox Co.")</f>
        <v>0</v>
      </c>
      <c r="C262">
        <v>168.84</v>
      </c>
      <c r="D262">
        <v>127</v>
      </c>
      <c r="E262">
        <v>1.329448818897638</v>
      </c>
      <c r="F262">
        <v>0.02748163942193793</v>
      </c>
      <c r="G262">
        <v>-0.05536142682191114</v>
      </c>
      <c r="H262">
        <v>0.06</v>
      </c>
      <c r="I262">
        <v>0.03039258707700943</v>
      </c>
      <c r="J262" t="s">
        <v>777</v>
      </c>
      <c r="K262" t="s">
        <v>777</v>
      </c>
      <c r="L262">
        <v>5.5</v>
      </c>
      <c r="M262">
        <v>4.64</v>
      </c>
      <c r="N262">
        <v>0.8436363636363636</v>
      </c>
      <c r="O262">
        <v>44</v>
      </c>
      <c r="P262">
        <v>0.04017423812999366</v>
      </c>
      <c r="Q262">
        <v>-0.153995015127241</v>
      </c>
      <c r="R262" t="s">
        <v>780</v>
      </c>
      <c r="S262" t="s">
        <v>791</v>
      </c>
      <c r="T262">
        <v>20593.028209</v>
      </c>
      <c r="U262" s="2">
        <v>44519</v>
      </c>
      <c r="V262" t="s">
        <v>798</v>
      </c>
    </row>
    <row r="263" spans="1:22">
      <c r="A263" s="1" t="s">
        <v>283</v>
      </c>
      <c r="B263">
        <f>HYPERLINK("https://www.suredividend.com/sure-analysis-NSC/","Norfolk Southern Corp.")</f>
        <v>0</v>
      </c>
      <c r="C263">
        <v>279.73</v>
      </c>
      <c r="D263">
        <v>216</v>
      </c>
      <c r="E263">
        <v>1.295046296296296</v>
      </c>
      <c r="F263">
        <v>0.01558645837057162</v>
      </c>
      <c r="G263">
        <v>-0.05039511260795326</v>
      </c>
      <c r="H263">
        <v>0.065</v>
      </c>
      <c r="I263">
        <v>0.02954843694848419</v>
      </c>
      <c r="J263" t="s">
        <v>777</v>
      </c>
      <c r="K263" t="s">
        <v>372</v>
      </c>
      <c r="L263">
        <v>12</v>
      </c>
      <c r="M263">
        <v>4.36</v>
      </c>
      <c r="N263">
        <v>0.3633333333333333</v>
      </c>
      <c r="O263">
        <v>5</v>
      </c>
      <c r="P263">
        <v>0.0801257210213755</v>
      </c>
      <c r="Q263">
        <v>0.168639989201911</v>
      </c>
      <c r="R263" t="s">
        <v>780</v>
      </c>
      <c r="S263" t="s">
        <v>787</v>
      </c>
      <c r="T263">
        <v>70369.081884</v>
      </c>
      <c r="U263" s="2">
        <v>44503</v>
      </c>
      <c r="V263" t="s">
        <v>800</v>
      </c>
    </row>
    <row r="264" spans="1:22">
      <c r="A264" s="1" t="s">
        <v>284</v>
      </c>
      <c r="B264">
        <f>HYPERLINK("https://www.suredividend.com/sure-analysis-PEG/","Public Service Enterprise Group Inc.")</f>
        <v>0</v>
      </c>
      <c r="C264">
        <v>64.2</v>
      </c>
      <c r="D264">
        <v>54</v>
      </c>
      <c r="E264">
        <v>1.188888888888889</v>
      </c>
      <c r="F264">
        <v>0.03177570093457944</v>
      </c>
      <c r="G264">
        <v>-0.03401196678865825</v>
      </c>
      <c r="H264">
        <v>0.03</v>
      </c>
      <c r="I264">
        <v>0.02906012370493283</v>
      </c>
      <c r="J264" t="s">
        <v>777</v>
      </c>
      <c r="K264" t="s">
        <v>777</v>
      </c>
      <c r="L264">
        <v>3.63</v>
      </c>
      <c r="M264">
        <v>2.04</v>
      </c>
      <c r="N264">
        <v>0.5619834710743802</v>
      </c>
      <c r="O264">
        <v>9</v>
      </c>
      <c r="P264">
        <v>0.0398346919425614</v>
      </c>
      <c r="Q264">
        <v>0.118626614285412</v>
      </c>
      <c r="R264" t="s">
        <v>780</v>
      </c>
      <c r="S264" t="s">
        <v>792</v>
      </c>
      <c r="T264">
        <v>32073.809448</v>
      </c>
      <c r="U264" s="2">
        <v>44513</v>
      </c>
      <c r="V264" t="s">
        <v>797</v>
      </c>
    </row>
    <row r="265" spans="1:22">
      <c r="A265" s="1" t="s">
        <v>285</v>
      </c>
      <c r="B265">
        <f>HYPERLINK("https://www.suredividend.com/sure-analysis-PRGO/","Perrigo Company plc")</f>
        <v>0</v>
      </c>
      <c r="C265">
        <v>39.2</v>
      </c>
      <c r="D265">
        <v>31</v>
      </c>
      <c r="E265">
        <v>1.264516129032258</v>
      </c>
      <c r="F265">
        <v>0.02448979591836735</v>
      </c>
      <c r="G265">
        <v>-0.04585335981675576</v>
      </c>
      <c r="H265">
        <v>0.05</v>
      </c>
      <c r="I265">
        <v>0.02865672988608159</v>
      </c>
      <c r="J265" t="s">
        <v>777</v>
      </c>
      <c r="K265" t="s">
        <v>777</v>
      </c>
      <c r="L265">
        <v>2.05</v>
      </c>
      <c r="M265">
        <v>0.96</v>
      </c>
      <c r="N265">
        <v>0.4682926829268293</v>
      </c>
      <c r="O265">
        <v>19</v>
      </c>
      <c r="P265">
        <v>0.05081623913789235</v>
      </c>
      <c r="Q265">
        <v>-0.166502090646348</v>
      </c>
      <c r="R265" t="s">
        <v>780</v>
      </c>
      <c r="S265" t="s">
        <v>785</v>
      </c>
      <c r="T265">
        <v>5250.624829</v>
      </c>
      <c r="U265" s="2">
        <v>44510</v>
      </c>
      <c r="V265" t="s">
        <v>796</v>
      </c>
    </row>
    <row r="266" spans="1:22">
      <c r="A266" s="1" t="s">
        <v>286</v>
      </c>
      <c r="B266">
        <f>HYPERLINK("https://www.suredividend.com/sure-analysis-RHHBY/","Roche Holding AG")</f>
        <v>0</v>
      </c>
      <c r="C266">
        <v>48.14</v>
      </c>
      <c r="D266">
        <v>42</v>
      </c>
      <c r="E266">
        <v>1.146190476190476</v>
      </c>
      <c r="F266">
        <v>0.02430411300373909</v>
      </c>
      <c r="G266">
        <v>-0.02691978842965459</v>
      </c>
      <c r="H266">
        <v>0.03</v>
      </c>
      <c r="I266">
        <v>0.02715249069157433</v>
      </c>
      <c r="J266" t="s">
        <v>777</v>
      </c>
      <c r="K266" t="s">
        <v>777</v>
      </c>
      <c r="L266">
        <v>2.3</v>
      </c>
      <c r="M266">
        <v>1.17</v>
      </c>
      <c r="N266">
        <v>0.5086956521739131</v>
      </c>
      <c r="O266">
        <v>34</v>
      </c>
      <c r="P266">
        <v>0.0275046295579735</v>
      </c>
      <c r="Q266">
        <v>0.210673177537495</v>
      </c>
      <c r="R266" t="s">
        <v>780</v>
      </c>
      <c r="S266" t="s">
        <v>785</v>
      </c>
      <c r="T266">
        <v>275073.530856</v>
      </c>
      <c r="U266" s="2">
        <v>44490</v>
      </c>
      <c r="V266" t="s">
        <v>806</v>
      </c>
    </row>
    <row r="267" spans="1:22">
      <c r="A267" s="1" t="s">
        <v>287</v>
      </c>
      <c r="B267">
        <f>HYPERLINK("https://www.suredividend.com/sure-analysis-MTB/","M &amp; T Bank Corp")</f>
        <v>0</v>
      </c>
      <c r="C267">
        <v>161.85</v>
      </c>
      <c r="D267">
        <v>120</v>
      </c>
      <c r="E267">
        <v>1.34875</v>
      </c>
      <c r="F267">
        <v>0.02965708989805375</v>
      </c>
      <c r="G267">
        <v>-0.05808067235719072</v>
      </c>
      <c r="H267">
        <v>0.057</v>
      </c>
      <c r="I267">
        <v>0.02677219623645533</v>
      </c>
      <c r="J267" t="s">
        <v>777</v>
      </c>
      <c r="K267" t="s">
        <v>777</v>
      </c>
      <c r="L267">
        <v>12.02</v>
      </c>
      <c r="M267">
        <v>4.8</v>
      </c>
      <c r="N267">
        <v>0.3993344425956739</v>
      </c>
      <c r="O267">
        <v>5</v>
      </c>
      <c r="P267">
        <v>0.03167836877916708</v>
      </c>
      <c r="Q267">
        <v>0.4095419447259001</v>
      </c>
      <c r="R267" t="s">
        <v>780</v>
      </c>
      <c r="S267" t="s">
        <v>790</v>
      </c>
      <c r="T267">
        <v>20765.828577</v>
      </c>
      <c r="U267" s="2">
        <v>44490</v>
      </c>
      <c r="V267" t="s">
        <v>796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65.84</v>
      </c>
      <c r="D268">
        <v>53</v>
      </c>
      <c r="E268">
        <v>1.242264150943396</v>
      </c>
      <c r="F268">
        <v>0.02779465370595383</v>
      </c>
      <c r="G268">
        <v>-0.04245937302209013</v>
      </c>
      <c r="H268">
        <v>0.04</v>
      </c>
      <c r="I268">
        <v>0.02584916939940252</v>
      </c>
      <c r="J268" t="s">
        <v>777</v>
      </c>
      <c r="K268" t="s">
        <v>777</v>
      </c>
      <c r="L268">
        <v>2.96</v>
      </c>
      <c r="M268">
        <v>1.83</v>
      </c>
      <c r="N268">
        <v>0.6182432432432433</v>
      </c>
      <c r="O268">
        <v>18</v>
      </c>
      <c r="P268">
        <v>0.04032911905890546</v>
      </c>
      <c r="Q268">
        <v>-0.016643359339663</v>
      </c>
      <c r="R268" t="s">
        <v>780</v>
      </c>
      <c r="S268" t="s">
        <v>792</v>
      </c>
      <c r="T268">
        <v>35719.577047</v>
      </c>
      <c r="U268" s="2">
        <v>44502</v>
      </c>
      <c r="V268" t="s">
        <v>799</v>
      </c>
    </row>
    <row r="269" spans="1:22">
      <c r="A269" s="1" t="s">
        <v>289</v>
      </c>
      <c r="B269">
        <f>HYPERLINK("https://www.suredividend.com/sure-analysis-PEP/","PepsiCo Inc")</f>
        <v>0</v>
      </c>
      <c r="C269">
        <v>165.25</v>
      </c>
      <c r="D269">
        <v>124</v>
      </c>
      <c r="E269">
        <v>1.332661290322581</v>
      </c>
      <c r="F269">
        <v>0.02602118003025718</v>
      </c>
      <c r="G269">
        <v>-0.05581728980114586</v>
      </c>
      <c r="H269">
        <v>0.055</v>
      </c>
      <c r="I269">
        <v>0.02545643862862401</v>
      </c>
      <c r="J269" t="s">
        <v>777</v>
      </c>
      <c r="K269" t="s">
        <v>777</v>
      </c>
      <c r="L269">
        <v>6.2</v>
      </c>
      <c r="M269">
        <v>4.3</v>
      </c>
      <c r="N269">
        <v>0.6935483870967741</v>
      </c>
      <c r="O269">
        <v>49</v>
      </c>
      <c r="P269">
        <v>0.0550027021888726</v>
      </c>
      <c r="Q269">
        <v>0.178400419242062</v>
      </c>
      <c r="R269" t="s">
        <v>780</v>
      </c>
      <c r="S269" t="s">
        <v>791</v>
      </c>
      <c r="T269">
        <v>226962.480593</v>
      </c>
      <c r="U269" s="2">
        <v>44474</v>
      </c>
      <c r="V269" t="s">
        <v>796</v>
      </c>
    </row>
    <row r="270" spans="1:22">
      <c r="A270" s="1" t="s">
        <v>290</v>
      </c>
      <c r="B270">
        <f>HYPERLINK("https://www.suredividend.com/sure-analysis-AJG/","Arthur J. Gallagher &amp; Co.")</f>
        <v>0</v>
      </c>
      <c r="C270">
        <v>164.78</v>
      </c>
      <c r="D270">
        <v>136</v>
      </c>
      <c r="E270">
        <v>1.211617647058824</v>
      </c>
      <c r="F270">
        <v>0.01165189950236679</v>
      </c>
      <c r="G270">
        <v>-0.03766366903501295</v>
      </c>
      <c r="H270">
        <v>0.05</v>
      </c>
      <c r="I270">
        <v>0.023100828908313</v>
      </c>
      <c r="J270" t="s">
        <v>777</v>
      </c>
      <c r="K270" t="s">
        <v>513</v>
      </c>
      <c r="L270">
        <v>5.45</v>
      </c>
      <c r="M270">
        <v>1.92</v>
      </c>
      <c r="N270">
        <v>0.3522935779816513</v>
      </c>
      <c r="O270">
        <v>11</v>
      </c>
      <c r="P270">
        <v>0.04996052445273014</v>
      </c>
      <c r="Q270">
        <v>0.446940397118411</v>
      </c>
      <c r="R270" t="s">
        <v>780</v>
      </c>
      <c r="S270" t="s">
        <v>790</v>
      </c>
      <c r="T270">
        <v>34159.4144</v>
      </c>
      <c r="U270" s="2">
        <v>44518</v>
      </c>
      <c r="V270" t="s">
        <v>798</v>
      </c>
    </row>
    <row r="271" spans="1:22">
      <c r="A271" s="1" t="s">
        <v>291</v>
      </c>
      <c r="B271">
        <f>HYPERLINK("https://www.suredividend.com/sure-analysis-GEF/","Greif Inc")</f>
        <v>0</v>
      </c>
      <c r="C271">
        <v>69.98999999999999</v>
      </c>
      <c r="D271">
        <v>62</v>
      </c>
      <c r="E271">
        <v>1.128870967741935</v>
      </c>
      <c r="F271">
        <v>0.0262894699242749</v>
      </c>
      <c r="G271">
        <v>-0.02395208245729574</v>
      </c>
      <c r="H271">
        <v>0.02</v>
      </c>
      <c r="I271">
        <v>0.02239548637158917</v>
      </c>
      <c r="J271" t="s">
        <v>777</v>
      </c>
      <c r="K271" t="s">
        <v>777</v>
      </c>
      <c r="L271">
        <v>4.4</v>
      </c>
      <c r="M271">
        <v>1.84</v>
      </c>
      <c r="N271">
        <v>0.4181818181818182</v>
      </c>
      <c r="O271">
        <v>1</v>
      </c>
      <c r="P271">
        <v>0.01884169405651681</v>
      </c>
      <c r="Q271">
        <v>0.522937738401514</v>
      </c>
      <c r="R271" t="s">
        <v>780</v>
      </c>
      <c r="S271" t="s">
        <v>789</v>
      </c>
      <c r="T271">
        <v>3391.874147</v>
      </c>
      <c r="U271" s="2">
        <v>44441</v>
      </c>
      <c r="V271" t="s">
        <v>799</v>
      </c>
    </row>
    <row r="272" spans="1:22">
      <c r="A272" s="1" t="s">
        <v>292</v>
      </c>
      <c r="B272">
        <f>HYPERLINK("https://www.suredividend.com/sure-analysis-SBSI/","Southside Bancshares Inc")</f>
        <v>0</v>
      </c>
      <c r="C272">
        <v>44.41</v>
      </c>
      <c r="D272">
        <v>36</v>
      </c>
      <c r="E272">
        <v>1.233611111111111</v>
      </c>
      <c r="F272">
        <v>0.02972303535239811</v>
      </c>
      <c r="G272">
        <v>-0.04111981196104209</v>
      </c>
      <c r="H272">
        <v>0.03</v>
      </c>
      <c r="I272">
        <v>0.01966378020017778</v>
      </c>
      <c r="J272" t="s">
        <v>777</v>
      </c>
      <c r="K272" t="s">
        <v>777</v>
      </c>
      <c r="L272">
        <v>3.01</v>
      </c>
      <c r="M272">
        <v>1.32</v>
      </c>
      <c r="N272">
        <v>0.4385382059800665</v>
      </c>
      <c r="O272">
        <v>27</v>
      </c>
      <c r="P272">
        <v>0.02996744995959233</v>
      </c>
      <c r="Q272">
        <v>0.4881915237787121</v>
      </c>
      <c r="R272" t="s">
        <v>780</v>
      </c>
      <c r="S272" t="s">
        <v>790</v>
      </c>
      <c r="T272">
        <v>1410.463691</v>
      </c>
      <c r="U272" s="2">
        <v>44495</v>
      </c>
      <c r="V272" t="s">
        <v>796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182.21</v>
      </c>
      <c r="D273">
        <v>141</v>
      </c>
      <c r="E273">
        <v>1.292269503546099</v>
      </c>
      <c r="F273">
        <v>0.0197574227539652</v>
      </c>
      <c r="G273">
        <v>-0.04998736600770604</v>
      </c>
      <c r="H273">
        <v>0.05</v>
      </c>
      <c r="I273">
        <v>0.01964994355238403</v>
      </c>
      <c r="J273" t="s">
        <v>777</v>
      </c>
      <c r="K273" t="s">
        <v>372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0.250666239536932</v>
      </c>
      <c r="R273" t="s">
        <v>780</v>
      </c>
      <c r="S273" t="s">
        <v>791</v>
      </c>
      <c r="T273">
        <v>37704.9233</v>
      </c>
      <c r="U273" s="2">
        <v>44500</v>
      </c>
      <c r="V273" t="s">
        <v>799</v>
      </c>
    </row>
    <row r="274" spans="1:22">
      <c r="A274" s="1" t="s">
        <v>294</v>
      </c>
      <c r="B274">
        <f>HYPERLINK("https://www.suredividend.com/sure-analysis-NEE/","NextEra Energy Inc")</f>
        <v>0</v>
      </c>
      <c r="C274">
        <v>86.925</v>
      </c>
      <c r="D274">
        <v>61</v>
      </c>
      <c r="E274">
        <v>1.425</v>
      </c>
      <c r="F274">
        <v>0.0177164222030486</v>
      </c>
      <c r="G274">
        <v>-0.06838381030228136</v>
      </c>
      <c r="H274">
        <v>0.07000000000000001</v>
      </c>
      <c r="I274">
        <v>0.01881077144550525</v>
      </c>
      <c r="J274" t="s">
        <v>777</v>
      </c>
      <c r="K274" t="s">
        <v>372</v>
      </c>
      <c r="L274">
        <v>2.47</v>
      </c>
      <c r="M274">
        <v>1.54</v>
      </c>
      <c r="N274">
        <v>0.6234817813765182</v>
      </c>
      <c r="O274">
        <v>25</v>
      </c>
      <c r="P274">
        <v>0.08353120449915608</v>
      </c>
      <c r="Q274">
        <v>0.173182782038593</v>
      </c>
      <c r="R274" t="s">
        <v>780</v>
      </c>
      <c r="S274" t="s">
        <v>792</v>
      </c>
      <c r="T274">
        <v>171144.351007</v>
      </c>
      <c r="U274" s="2">
        <v>44498</v>
      </c>
      <c r="V274" t="s">
        <v>804</v>
      </c>
    </row>
    <row r="275" spans="1:22">
      <c r="A275" s="1" t="s">
        <v>295</v>
      </c>
      <c r="B275">
        <f>HYPERLINK("https://www.suredividend.com/sure-analysis-HON/","Honeywell International Inc")</f>
        <v>0</v>
      </c>
      <c r="C275">
        <v>216</v>
      </c>
      <c r="D275">
        <v>137</v>
      </c>
      <c r="E275">
        <v>1.576642335766423</v>
      </c>
      <c r="F275">
        <v>0.01814814814814815</v>
      </c>
      <c r="G275">
        <v>-0.08703660872545504</v>
      </c>
      <c r="H275">
        <v>0.09</v>
      </c>
      <c r="I275">
        <v>0.01817807702511032</v>
      </c>
      <c r="J275" t="s">
        <v>777</v>
      </c>
      <c r="K275" t="s">
        <v>372</v>
      </c>
      <c r="L275">
        <v>8.050000000000001</v>
      </c>
      <c r="M275">
        <v>3.92</v>
      </c>
      <c r="N275">
        <v>0.4869565217391304</v>
      </c>
      <c r="O275">
        <v>12</v>
      </c>
      <c r="P275">
        <v>0.08994918009420316</v>
      </c>
      <c r="Q275">
        <v>0.098354432036864</v>
      </c>
      <c r="R275" t="s">
        <v>780</v>
      </c>
      <c r="S275" t="s">
        <v>787</v>
      </c>
      <c r="T275">
        <v>150172.587767</v>
      </c>
      <c r="U275" s="2">
        <v>44491</v>
      </c>
      <c r="V275" t="s">
        <v>796</v>
      </c>
    </row>
    <row r="276" spans="1:22">
      <c r="A276" s="1" t="s">
        <v>296</v>
      </c>
      <c r="B276">
        <f>HYPERLINK("https://www.suredividend.com/sure-analysis-AWK/","American Water Works Co. Inc.")</f>
        <v>0</v>
      </c>
      <c r="C276">
        <v>173.08</v>
      </c>
      <c r="D276">
        <v>136</v>
      </c>
      <c r="E276">
        <v>1.272647058823529</v>
      </c>
      <c r="F276">
        <v>0.01392419690316616</v>
      </c>
      <c r="G276">
        <v>-0.04707569435190695</v>
      </c>
      <c r="H276">
        <v>0.05</v>
      </c>
      <c r="I276">
        <v>0.0180780136690144</v>
      </c>
      <c r="J276" t="s">
        <v>777</v>
      </c>
      <c r="K276" t="s">
        <v>513</v>
      </c>
      <c r="L276">
        <v>4.25</v>
      </c>
      <c r="M276">
        <v>2.41</v>
      </c>
      <c r="N276">
        <v>0.5670588235294118</v>
      </c>
      <c r="O276">
        <v>13</v>
      </c>
      <c r="P276">
        <v>0.0901126350638779</v>
      </c>
      <c r="Q276">
        <v>0.12282800605891</v>
      </c>
      <c r="R276" t="s">
        <v>780</v>
      </c>
      <c r="S276" t="s">
        <v>792</v>
      </c>
      <c r="T276">
        <v>31691.044668</v>
      </c>
      <c r="U276" s="2">
        <v>44504</v>
      </c>
      <c r="V276" t="s">
        <v>795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254.36</v>
      </c>
      <c r="D277">
        <v>151</v>
      </c>
      <c r="E277">
        <v>1.684503311258278</v>
      </c>
      <c r="F277">
        <v>0.006604812077370655</v>
      </c>
      <c r="G277">
        <v>-0.09903975894003625</v>
      </c>
      <c r="H277">
        <v>0.12</v>
      </c>
      <c r="I277">
        <v>0.01749863667467055</v>
      </c>
      <c r="J277" t="s">
        <v>777</v>
      </c>
      <c r="K277" t="s">
        <v>513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0.227560699158861</v>
      </c>
      <c r="R277" t="s">
        <v>780</v>
      </c>
      <c r="S277" t="s">
        <v>785</v>
      </c>
      <c r="T277">
        <v>37482.906585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98.45999999999999</v>
      </c>
      <c r="D278">
        <v>79</v>
      </c>
      <c r="E278">
        <v>1.246329113924051</v>
      </c>
      <c r="F278">
        <v>0.02640666260410319</v>
      </c>
      <c r="G278">
        <v>-0.04308480256163338</v>
      </c>
      <c r="H278">
        <v>0.03</v>
      </c>
      <c r="I278">
        <v>0.01615131511488177</v>
      </c>
      <c r="J278" t="s">
        <v>777</v>
      </c>
      <c r="K278" t="s">
        <v>777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0.306170192026513</v>
      </c>
      <c r="R278" t="s">
        <v>780</v>
      </c>
      <c r="S278" t="s">
        <v>791</v>
      </c>
      <c r="T278">
        <v>6508.544868</v>
      </c>
      <c r="U278" s="2">
        <v>44509</v>
      </c>
      <c r="V278" t="s">
        <v>806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247.37</v>
      </c>
      <c r="D279">
        <v>169</v>
      </c>
      <c r="E279">
        <v>1.463727810650888</v>
      </c>
      <c r="F279">
        <v>0.01730201722116667</v>
      </c>
      <c r="G279">
        <v>-0.07336663189737458</v>
      </c>
      <c r="H279">
        <v>0.07000000000000001</v>
      </c>
      <c r="I279">
        <v>0.0114472614570027</v>
      </c>
      <c r="J279" t="s">
        <v>777</v>
      </c>
      <c r="K279" t="s">
        <v>372</v>
      </c>
      <c r="L279">
        <v>9.93</v>
      </c>
      <c r="M279">
        <v>4.28</v>
      </c>
      <c r="N279">
        <v>0.4310171198388721</v>
      </c>
      <c r="O279">
        <v>14</v>
      </c>
      <c r="P279">
        <v>0.04990444580451969</v>
      </c>
      <c r="Q279">
        <v>0.216421970901826</v>
      </c>
      <c r="R279" t="s">
        <v>780</v>
      </c>
      <c r="S279" t="s">
        <v>787</v>
      </c>
      <c r="T279">
        <v>156803.811987</v>
      </c>
      <c r="U279" s="2">
        <v>44490</v>
      </c>
      <c r="V279" t="s">
        <v>796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80.34</v>
      </c>
      <c r="D280">
        <v>65</v>
      </c>
      <c r="E280">
        <v>1.236</v>
      </c>
      <c r="F280">
        <v>0.02165795369678865</v>
      </c>
      <c r="G280">
        <v>-0.04149075552068948</v>
      </c>
      <c r="H280">
        <v>0.03</v>
      </c>
      <c r="I280">
        <v>0.01104556248578459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0.272901138011614</v>
      </c>
      <c r="R280" t="s">
        <v>780</v>
      </c>
      <c r="S280" t="s">
        <v>787</v>
      </c>
      <c r="T280">
        <v>1949.424067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HYPERLINK("https://www.suredividend.com/sure-analysis-IFF/","International Flavors &amp; Fragrances Inc.")</f>
        <v>0</v>
      </c>
      <c r="C281">
        <v>147.58</v>
      </c>
      <c r="D281">
        <v>113</v>
      </c>
      <c r="E281">
        <v>1.306017699115044</v>
      </c>
      <c r="F281">
        <v>0.02141211546279984</v>
      </c>
      <c r="G281">
        <v>-0.05199596137532225</v>
      </c>
      <c r="H281">
        <v>0.04</v>
      </c>
      <c r="I281">
        <v>0.01020924363392894</v>
      </c>
      <c r="J281" t="s">
        <v>777</v>
      </c>
      <c r="K281" t="s">
        <v>372</v>
      </c>
      <c r="L281">
        <v>5.63</v>
      </c>
      <c r="M281">
        <v>3.16</v>
      </c>
      <c r="N281">
        <v>0.5612788632326821</v>
      </c>
      <c r="O281">
        <v>19</v>
      </c>
      <c r="P281">
        <v>0.03974975894363819</v>
      </c>
      <c r="Q281">
        <v>0.364264459667926</v>
      </c>
      <c r="R281" t="s">
        <v>780</v>
      </c>
      <c r="S281" t="s">
        <v>788</v>
      </c>
      <c r="T281">
        <v>37998.775264</v>
      </c>
      <c r="U281" s="2">
        <v>44516</v>
      </c>
      <c r="V281" t="s">
        <v>802</v>
      </c>
    </row>
    <row r="282" spans="1:22">
      <c r="A282" s="1" t="s">
        <v>302</v>
      </c>
      <c r="B282">
        <f>HYPERLINK("https://www.suredividend.com/sure-analysis-MWA/","Mueller Water Products Inc")</f>
        <v>0</v>
      </c>
      <c r="C282">
        <v>14.61</v>
      </c>
      <c r="D282">
        <v>11</v>
      </c>
      <c r="E282">
        <v>1.328181818181818</v>
      </c>
      <c r="F282">
        <v>0.01574264202600958</v>
      </c>
      <c r="G282">
        <v>-0.05518127056576083</v>
      </c>
      <c r="H282">
        <v>0.05</v>
      </c>
      <c r="I282">
        <v>0.00973555955380534</v>
      </c>
      <c r="J282" t="s">
        <v>777</v>
      </c>
      <c r="K282" t="s">
        <v>513</v>
      </c>
      <c r="L282">
        <v>0.5</v>
      </c>
      <c r="M282">
        <v>0.23</v>
      </c>
      <c r="N282">
        <v>0.46</v>
      </c>
      <c r="O282">
        <v>8</v>
      </c>
      <c r="P282">
        <v>0.04012620718096094</v>
      </c>
      <c r="Q282">
        <v>0.257543546838568</v>
      </c>
      <c r="R282" t="s">
        <v>780</v>
      </c>
      <c r="S282" t="s">
        <v>787</v>
      </c>
      <c r="T282">
        <v>2317.845873</v>
      </c>
      <c r="U282" s="2">
        <v>44511</v>
      </c>
      <c r="V282" t="s">
        <v>795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54.87</v>
      </c>
      <c r="D283">
        <v>40</v>
      </c>
      <c r="E283">
        <v>1.37175</v>
      </c>
      <c r="F283">
        <v>0.008747949699289229</v>
      </c>
      <c r="G283">
        <v>-0.0612606861881585</v>
      </c>
      <c r="H283">
        <v>0.06</v>
      </c>
      <c r="I283">
        <v>0.00664605507383631</v>
      </c>
      <c r="J283" t="s">
        <v>777</v>
      </c>
      <c r="K283" t="s">
        <v>513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0.479431935902647</v>
      </c>
      <c r="R283" t="s">
        <v>780</v>
      </c>
      <c r="S283" t="s">
        <v>787</v>
      </c>
      <c r="T283">
        <v>48884.056014</v>
      </c>
      <c r="U283" s="2">
        <v>44502</v>
      </c>
      <c r="V283" t="s">
        <v>799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299</v>
      </c>
      <c r="D284">
        <v>200</v>
      </c>
      <c r="E284">
        <v>1.495</v>
      </c>
      <c r="F284">
        <v>0.02006688963210702</v>
      </c>
      <c r="G284">
        <v>-0.07727611741997686</v>
      </c>
      <c r="H284">
        <v>0.06</v>
      </c>
      <c r="I284">
        <v>0.003703410464304335</v>
      </c>
      <c r="J284" t="s">
        <v>777</v>
      </c>
      <c r="K284" t="s">
        <v>777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0.12362266339963</v>
      </c>
      <c r="R284" t="s">
        <v>780</v>
      </c>
      <c r="S284" t="s">
        <v>788</v>
      </c>
      <c r="T284">
        <v>65888.892853</v>
      </c>
      <c r="U284" s="2">
        <v>44506</v>
      </c>
      <c r="V284" t="s">
        <v>800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109.42</v>
      </c>
      <c r="D285">
        <v>75</v>
      </c>
      <c r="E285">
        <v>1.458933333333333</v>
      </c>
      <c r="F285">
        <v>0.01443977335039298</v>
      </c>
      <c r="G285">
        <v>-0.07275839380680382</v>
      </c>
      <c r="H285">
        <v>0.06</v>
      </c>
      <c r="I285">
        <v>0.001239895894738607</v>
      </c>
      <c r="J285" t="s">
        <v>777</v>
      </c>
      <c r="K285" t="s">
        <v>513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0.678249297648972</v>
      </c>
      <c r="R285" t="s">
        <v>780</v>
      </c>
      <c r="S285" t="s">
        <v>785</v>
      </c>
      <c r="T285">
        <v>197162.29372</v>
      </c>
      <c r="U285" s="2">
        <v>44516</v>
      </c>
      <c r="V285" t="s">
        <v>802</v>
      </c>
    </row>
    <row r="286" spans="1:22">
      <c r="A286" s="1" t="s">
        <v>306</v>
      </c>
      <c r="B286">
        <f>HYPERLINK("https://www.suredividend.com/sure-analysis-WTRG/","Essential Utilities Inc")</f>
        <v>0</v>
      </c>
      <c r="C286">
        <v>48.3</v>
      </c>
      <c r="D286">
        <v>30</v>
      </c>
      <c r="E286">
        <v>1.61</v>
      </c>
      <c r="F286">
        <v>0.02215320910973085</v>
      </c>
      <c r="G286">
        <v>-0.09085150362606875</v>
      </c>
      <c r="H286">
        <v>0.07000000000000001</v>
      </c>
      <c r="I286">
        <v>0.0006816803810083538</v>
      </c>
      <c r="J286" t="s">
        <v>777</v>
      </c>
      <c r="K286" t="s">
        <v>372</v>
      </c>
      <c r="L286">
        <v>1.68</v>
      </c>
      <c r="M286">
        <v>1.07</v>
      </c>
      <c r="N286">
        <v>0.636904761904762</v>
      </c>
      <c r="O286">
        <v>30</v>
      </c>
      <c r="P286">
        <v>0.05971834352437777</v>
      </c>
      <c r="Q286">
        <v>0.13925086191784</v>
      </c>
      <c r="R286" t="s">
        <v>780</v>
      </c>
      <c r="S286" t="s">
        <v>792</v>
      </c>
      <c r="T286">
        <v>12318.688069</v>
      </c>
      <c r="U286" s="2">
        <v>44502</v>
      </c>
      <c r="V286" t="s">
        <v>803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130.57</v>
      </c>
      <c r="D287">
        <v>79</v>
      </c>
      <c r="E287">
        <v>1.652784810126582</v>
      </c>
      <c r="F287">
        <v>0.01524086696790993</v>
      </c>
      <c r="G287">
        <v>-0.09560794711985399</v>
      </c>
      <c r="H287">
        <v>0.07000000000000001</v>
      </c>
      <c r="I287">
        <v>-0.01180381171411637</v>
      </c>
      <c r="J287" t="s">
        <v>777</v>
      </c>
      <c r="K287" t="s">
        <v>372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0.205152719770543</v>
      </c>
      <c r="R287" t="s">
        <v>780</v>
      </c>
      <c r="S287" t="s">
        <v>787</v>
      </c>
      <c r="T287">
        <v>91436.517316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83.81</v>
      </c>
      <c r="D288">
        <v>52</v>
      </c>
      <c r="E288">
        <v>1.611730769230769</v>
      </c>
      <c r="F288">
        <v>0.01145448037227061</v>
      </c>
      <c r="G288">
        <v>-0.09104684674500652</v>
      </c>
      <c r="H288">
        <v>0.07000000000000001</v>
      </c>
      <c r="I288">
        <v>-0.01212784474681472</v>
      </c>
      <c r="J288" t="s">
        <v>777</v>
      </c>
      <c r="K288" t="s">
        <v>513</v>
      </c>
      <c r="L288">
        <v>2.95</v>
      </c>
      <c r="M288">
        <v>0.96</v>
      </c>
      <c r="N288">
        <v>0.3254237288135593</v>
      </c>
      <c r="O288">
        <v>1</v>
      </c>
      <c r="P288">
        <v>0.07056368416916192</v>
      </c>
      <c r="Q288">
        <v>0.284458811128111</v>
      </c>
      <c r="R288" t="s">
        <v>780</v>
      </c>
      <c r="S288" t="s">
        <v>787</v>
      </c>
      <c r="T288">
        <v>35765.546853</v>
      </c>
      <c r="U288" s="2">
        <v>44495</v>
      </c>
      <c r="V288" t="s">
        <v>799</v>
      </c>
    </row>
    <row r="289" spans="1:22">
      <c r="A289" s="1" t="s">
        <v>309</v>
      </c>
      <c r="B289">
        <f>HYPERLINK("https://www.suredividend.com/sure-analysis-ROK/","Rockwell Automation Inc")</f>
        <v>0</v>
      </c>
      <c r="C289">
        <v>345.96</v>
      </c>
      <c r="D289">
        <v>216</v>
      </c>
      <c r="E289">
        <v>1.601666666666667</v>
      </c>
      <c r="F289">
        <v>0.01294947392762169</v>
      </c>
      <c r="G289">
        <v>-0.089907422155592</v>
      </c>
      <c r="H289">
        <v>0.065</v>
      </c>
      <c r="I289">
        <v>-0.01333752580353176</v>
      </c>
      <c r="J289" t="s">
        <v>777</v>
      </c>
      <c r="K289" t="s">
        <v>513</v>
      </c>
      <c r="L289">
        <v>10.8</v>
      </c>
      <c r="M289">
        <v>4.48</v>
      </c>
      <c r="N289">
        <v>0.4148148148148148</v>
      </c>
      <c r="O289">
        <v>12</v>
      </c>
      <c r="P289">
        <v>0.06988309640706269</v>
      </c>
      <c r="Q289">
        <v>0.423769592463636</v>
      </c>
      <c r="R289" t="s">
        <v>780</v>
      </c>
      <c r="S289" t="s">
        <v>787</v>
      </c>
      <c r="T289">
        <v>40274.709566</v>
      </c>
      <c r="U289" s="2">
        <v>44503</v>
      </c>
      <c r="V289" t="s">
        <v>800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130.54</v>
      </c>
      <c r="D290">
        <v>78.2</v>
      </c>
      <c r="E290">
        <v>1.669309462915601</v>
      </c>
      <c r="F290">
        <v>0.03278688524590164</v>
      </c>
      <c r="G290">
        <v>-0.09740561193589525</v>
      </c>
      <c r="H290">
        <v>0.05</v>
      </c>
      <c r="I290">
        <v>-0.0136658078160552</v>
      </c>
      <c r="J290" t="s">
        <v>777</v>
      </c>
      <c r="K290" t="s">
        <v>777</v>
      </c>
      <c r="L290">
        <v>5.21</v>
      </c>
      <c r="M290">
        <v>4.28</v>
      </c>
      <c r="N290">
        <v>0.8214971209213052</v>
      </c>
      <c r="O290">
        <v>54</v>
      </c>
      <c r="P290">
        <v>0.0100752948556313</v>
      </c>
      <c r="Q290">
        <v>0.5057341976181911</v>
      </c>
      <c r="R290" t="s">
        <v>782</v>
      </c>
      <c r="S290" t="s">
        <v>794</v>
      </c>
      <c r="T290">
        <v>10100.965406</v>
      </c>
      <c r="U290" s="2">
        <v>44509</v>
      </c>
      <c r="V290" t="s">
        <v>805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199.25</v>
      </c>
      <c r="D291">
        <v>130</v>
      </c>
      <c r="E291">
        <v>1.532692307692308</v>
      </c>
      <c r="F291">
        <v>0.006022584692597239</v>
      </c>
      <c r="G291">
        <v>-0.08185979699936263</v>
      </c>
      <c r="H291">
        <v>0.063</v>
      </c>
      <c r="I291">
        <v>-0.01526776608614788</v>
      </c>
      <c r="J291" t="s">
        <v>777</v>
      </c>
      <c r="K291" t="s">
        <v>513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0.016104383652404</v>
      </c>
      <c r="R291" t="s">
        <v>780</v>
      </c>
      <c r="S291" t="s">
        <v>787</v>
      </c>
      <c r="T291">
        <v>2993.60765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108.36</v>
      </c>
      <c r="D292">
        <v>97</v>
      </c>
      <c r="E292">
        <v>1.117113402061856</v>
      </c>
      <c r="F292">
        <v>0.01365817644887412</v>
      </c>
      <c r="G292">
        <v>-0.02190610631500289</v>
      </c>
      <c r="H292">
        <v>-0.015</v>
      </c>
      <c r="I292">
        <v>-0.01980653191626947</v>
      </c>
      <c r="J292" t="s">
        <v>777</v>
      </c>
      <c r="K292" t="s">
        <v>513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0.5908669431112631</v>
      </c>
      <c r="R292" t="s">
        <v>780</v>
      </c>
      <c r="S292" t="s">
        <v>790</v>
      </c>
      <c r="T292">
        <v>5185.513802</v>
      </c>
      <c r="U292" s="2">
        <v>44512</v>
      </c>
      <c r="V292" t="s">
        <v>798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195.57</v>
      </c>
      <c r="D293">
        <v>121</v>
      </c>
      <c r="E293">
        <v>1.616280991735537</v>
      </c>
      <c r="F293">
        <v>0.0120672904842256</v>
      </c>
      <c r="G293">
        <v>-0.09155920870010348</v>
      </c>
      <c r="H293">
        <v>0.06</v>
      </c>
      <c r="I293">
        <v>-0.02083047577179509</v>
      </c>
      <c r="J293" t="s">
        <v>777</v>
      </c>
      <c r="K293" t="s">
        <v>513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0.378552091483556</v>
      </c>
      <c r="R293" t="s">
        <v>780</v>
      </c>
      <c r="S293" t="s">
        <v>787</v>
      </c>
      <c r="T293">
        <v>46581.628906</v>
      </c>
      <c r="U293" s="2">
        <v>44511</v>
      </c>
      <c r="V293" t="s">
        <v>799</v>
      </c>
    </row>
    <row r="294" spans="1:22">
      <c r="A294" s="1" t="s">
        <v>314</v>
      </c>
      <c r="B294">
        <f>HYPERLINK("https://www.suredividend.com/sure-analysis-ERIE/","Erie Indemnity Co.")</f>
        <v>0</v>
      </c>
      <c r="C294">
        <v>212.9</v>
      </c>
      <c r="D294">
        <v>128</v>
      </c>
      <c r="E294">
        <v>1.66328125</v>
      </c>
      <c r="F294">
        <v>0.01944574917801785</v>
      </c>
      <c r="G294">
        <v>-0.09675230567056059</v>
      </c>
      <c r="H294">
        <v>0.055</v>
      </c>
      <c r="I294">
        <v>-0.02116858647679332</v>
      </c>
      <c r="J294" t="s">
        <v>777</v>
      </c>
      <c r="K294" t="s">
        <v>372</v>
      </c>
      <c r="L294">
        <v>5.8</v>
      </c>
      <c r="M294">
        <v>4.14</v>
      </c>
      <c r="N294">
        <v>0.7137931034482758</v>
      </c>
      <c r="O294">
        <v>31</v>
      </c>
      <c r="P294">
        <v>0.04984870359842875</v>
      </c>
      <c r="Q294">
        <v>-0.07740985290779701</v>
      </c>
      <c r="R294" t="s">
        <v>780</v>
      </c>
      <c r="S294" t="s">
        <v>790</v>
      </c>
      <c r="T294">
        <v>9987.924064000001</v>
      </c>
      <c r="U294" s="2">
        <v>44504</v>
      </c>
      <c r="V294" t="s">
        <v>800</v>
      </c>
    </row>
    <row r="295" spans="1:22">
      <c r="A295" s="1" t="s">
        <v>315</v>
      </c>
      <c r="B295">
        <f>HYPERLINK("https://www.suredividend.com/sure-analysis-ESS/","Essex Property Trust, Inc.")</f>
        <v>0</v>
      </c>
      <c r="C295">
        <v>351.4</v>
      </c>
      <c r="D295">
        <v>224</v>
      </c>
      <c r="E295">
        <v>1.56875</v>
      </c>
      <c r="F295">
        <v>0.02379055207740467</v>
      </c>
      <c r="G295">
        <v>-0.08611983331168749</v>
      </c>
      <c r="H295">
        <v>0.038</v>
      </c>
      <c r="I295">
        <v>-0.02249123532269115</v>
      </c>
      <c r="J295" t="s">
        <v>777</v>
      </c>
      <c r="K295" t="s">
        <v>372</v>
      </c>
      <c r="L295">
        <v>12.44</v>
      </c>
      <c r="M295">
        <v>8.359999999999999</v>
      </c>
      <c r="N295">
        <v>0.6720257234726688</v>
      </c>
      <c r="O295">
        <v>27</v>
      </c>
      <c r="P295">
        <v>0.01486259611873031</v>
      </c>
      <c r="Q295">
        <v>0.399188533083817</v>
      </c>
      <c r="R295" t="s">
        <v>782</v>
      </c>
      <c r="S295" t="s">
        <v>794</v>
      </c>
      <c r="T295">
        <v>22463.763113</v>
      </c>
      <c r="U295" s="2">
        <v>44503</v>
      </c>
      <c r="V295" t="s">
        <v>805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136.83</v>
      </c>
      <c r="D296">
        <v>86</v>
      </c>
      <c r="E296">
        <v>1.591046511627907</v>
      </c>
      <c r="F296">
        <v>0.02192501644376233</v>
      </c>
      <c r="G296">
        <v>-0.08869568876399747</v>
      </c>
      <c r="H296">
        <v>0.03</v>
      </c>
      <c r="I296">
        <v>-0.03149710622046664</v>
      </c>
      <c r="J296" t="s">
        <v>777</v>
      </c>
      <c r="K296" t="s">
        <v>777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0.6335330867977621</v>
      </c>
      <c r="R296" t="s">
        <v>780</v>
      </c>
      <c r="S296" t="s">
        <v>790</v>
      </c>
      <c r="T296">
        <v>8491.299116</v>
      </c>
      <c r="U296" s="2">
        <v>44504</v>
      </c>
      <c r="V296" t="s">
        <v>799</v>
      </c>
    </row>
    <row r="297" spans="1:22">
      <c r="A297" s="1" t="s">
        <v>317</v>
      </c>
      <c r="B297">
        <f>HYPERLINK("https://www.suredividend.com/sure-analysis-WM/","Waste Management, Inc.")</f>
        <v>0</v>
      </c>
      <c r="C297">
        <v>164.84</v>
      </c>
      <c r="D297">
        <v>98</v>
      </c>
      <c r="E297">
        <v>1.682040816326531</v>
      </c>
      <c r="F297">
        <v>0.01395292404756127</v>
      </c>
      <c r="G297">
        <v>-0.0987761134999755</v>
      </c>
      <c r="H297">
        <v>0.05</v>
      </c>
      <c r="I297">
        <v>-0.03431544349464921</v>
      </c>
      <c r="J297" t="s">
        <v>777</v>
      </c>
      <c r="K297" t="s">
        <v>513</v>
      </c>
      <c r="L297">
        <v>4.9</v>
      </c>
      <c r="M297">
        <v>2.3</v>
      </c>
      <c r="N297">
        <v>0.4693877551020407</v>
      </c>
      <c r="O297">
        <v>18</v>
      </c>
      <c r="P297">
        <v>0.05032547432346712</v>
      </c>
      <c r="Q297">
        <v>0.378020813169219</v>
      </c>
      <c r="R297" t="s">
        <v>780</v>
      </c>
      <c r="S297" t="s">
        <v>787</v>
      </c>
      <c r="T297">
        <v>68193.932518</v>
      </c>
      <c r="U297" s="2">
        <v>44496</v>
      </c>
      <c r="V297" t="s">
        <v>799</v>
      </c>
    </row>
    <row r="298" spans="1:22">
      <c r="A298" s="1" t="s">
        <v>318</v>
      </c>
      <c r="B298">
        <f>HYPERLINK("https://www.suredividend.com/sure-analysis-DDS/","Dillard`s Inc.")</f>
        <v>0</v>
      </c>
      <c r="C298">
        <v>410.15</v>
      </c>
      <c r="D298">
        <v>288</v>
      </c>
      <c r="E298">
        <v>1.424131944444444</v>
      </c>
      <c r="F298">
        <v>0.001950505912471047</v>
      </c>
      <c r="G298">
        <v>-0.06827026780168755</v>
      </c>
      <c r="H298">
        <v>0.02</v>
      </c>
      <c r="I298">
        <v>-0.0472565748765672</v>
      </c>
      <c r="J298" t="s">
        <v>777</v>
      </c>
      <c r="K298" t="s">
        <v>513</v>
      </c>
      <c r="L298">
        <v>26.2</v>
      </c>
      <c r="M298">
        <v>0.8</v>
      </c>
      <c r="N298">
        <v>0.03053435114503817</v>
      </c>
      <c r="O298">
        <v>11</v>
      </c>
      <c r="P298">
        <v>0</v>
      </c>
      <c r="Q298">
        <v>7.215732364191481</v>
      </c>
      <c r="R298" t="s">
        <v>780</v>
      </c>
      <c r="S298" t="s">
        <v>789</v>
      </c>
      <c r="T298">
        <v>6299.643443</v>
      </c>
      <c r="U298" s="2">
        <v>44434</v>
      </c>
      <c r="V298" t="s">
        <v>800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75.70999999999999</v>
      </c>
      <c r="D299">
        <v>55</v>
      </c>
      <c r="E299">
        <v>1.376545454545455</v>
      </c>
      <c r="F299">
        <v>0.02271826707172104</v>
      </c>
      <c r="G299">
        <v>-0.06191565443782077</v>
      </c>
      <c r="H299">
        <v>-0.02</v>
      </c>
      <c r="I299">
        <v>-0.04999723339273521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0.208466404253192</v>
      </c>
      <c r="R299" t="s">
        <v>780</v>
      </c>
      <c r="S299" t="s">
        <v>790</v>
      </c>
      <c r="T299">
        <v>4107.928383</v>
      </c>
      <c r="U299" s="2">
        <v>44501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261.96</v>
      </c>
      <c r="D300">
        <v>140</v>
      </c>
      <c r="E300">
        <v>1.871142857142857</v>
      </c>
      <c r="F300">
        <v>0.01297908077569095</v>
      </c>
      <c r="G300">
        <v>-0.117776522790132</v>
      </c>
      <c r="H300">
        <v>0.04</v>
      </c>
      <c r="I300">
        <v>-0.06157565993365366</v>
      </c>
      <c r="J300" t="s">
        <v>777</v>
      </c>
      <c r="K300" t="s">
        <v>513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0.817218923805051</v>
      </c>
      <c r="R300" t="s">
        <v>780</v>
      </c>
      <c r="S300" t="s">
        <v>785</v>
      </c>
      <c r="T300">
        <v>249134.922833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126.57</v>
      </c>
      <c r="D301">
        <v>54</v>
      </c>
      <c r="E301">
        <v>2.343888888888889</v>
      </c>
      <c r="F301">
        <v>0.00884885833925891</v>
      </c>
      <c r="G301">
        <v>-0.1566407824460856</v>
      </c>
      <c r="H301">
        <v>0.09</v>
      </c>
      <c r="I301">
        <v>-0.06490800544405173</v>
      </c>
      <c r="J301" t="s">
        <v>777</v>
      </c>
      <c r="K301" t="s">
        <v>513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0.364989479922</v>
      </c>
      <c r="R301" t="s">
        <v>780</v>
      </c>
      <c r="S301" t="s">
        <v>787</v>
      </c>
      <c r="T301">
        <v>23011.30796</v>
      </c>
      <c r="U301" s="2">
        <v>44507</v>
      </c>
      <c r="V301" t="s">
        <v>800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4.44</v>
      </c>
      <c r="D302">
        <v>12</v>
      </c>
      <c r="E302">
        <v>0.3700000000000001</v>
      </c>
      <c r="F302">
        <v>0.009009009009009009</v>
      </c>
      <c r="G302">
        <v>0.2199995070269016</v>
      </c>
      <c r="H302">
        <v>0</v>
      </c>
      <c r="I302">
        <v>0.2667097645152228</v>
      </c>
      <c r="J302" t="s">
        <v>372</v>
      </c>
      <c r="K302" t="s">
        <v>513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-0.6584725963068461</v>
      </c>
      <c r="R302" t="s">
        <v>781</v>
      </c>
      <c r="S302" t="s">
        <v>793</v>
      </c>
      <c r="T302">
        <v>146.788585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13.16</v>
      </c>
      <c r="D303">
        <v>26.6</v>
      </c>
      <c r="E303">
        <v>0.4947368421052631</v>
      </c>
      <c r="F303">
        <v>0.01671732522796352</v>
      </c>
      <c r="G303">
        <v>0.1511320597776897</v>
      </c>
      <c r="H303">
        <v>0.02</v>
      </c>
      <c r="I303">
        <v>0.1832815025704189</v>
      </c>
      <c r="J303" t="s">
        <v>372</v>
      </c>
      <c r="K303" t="s">
        <v>513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-0.216239142642086</v>
      </c>
      <c r="R303" t="s">
        <v>780</v>
      </c>
      <c r="S303" t="s">
        <v>785</v>
      </c>
      <c r="T303">
        <v>15867.241618</v>
      </c>
      <c r="U303" s="2">
        <v>44515</v>
      </c>
      <c r="V303" t="s">
        <v>806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5.27</v>
      </c>
      <c r="D304">
        <v>9.17</v>
      </c>
      <c r="E304">
        <v>0.574700109051254</v>
      </c>
      <c r="F304">
        <v>0.03415559772296015</v>
      </c>
      <c r="G304">
        <v>0.117150653979424</v>
      </c>
      <c r="H304">
        <v>0.04</v>
      </c>
      <c r="I304">
        <v>0.1822816775597149</v>
      </c>
      <c r="J304" t="s">
        <v>372</v>
      </c>
      <c r="K304" t="s">
        <v>777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0.252016468832013</v>
      </c>
      <c r="R304" t="s">
        <v>780</v>
      </c>
      <c r="S304" t="s">
        <v>786</v>
      </c>
      <c r="T304">
        <v>1745.362632</v>
      </c>
      <c r="U304" s="2">
        <v>44384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93</v>
      </c>
      <c r="D305">
        <v>130</v>
      </c>
      <c r="E305">
        <v>0.7153846153846154</v>
      </c>
      <c r="F305">
        <v>0.01849462365591398</v>
      </c>
      <c r="G305">
        <v>0.06928156829257204</v>
      </c>
      <c r="H305">
        <v>0.09</v>
      </c>
      <c r="I305">
        <v>0.1781692446058603</v>
      </c>
      <c r="J305" t="s">
        <v>372</v>
      </c>
      <c r="K305" t="s">
        <v>513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0.06729970167742301</v>
      </c>
      <c r="R305" t="s">
        <v>780</v>
      </c>
      <c r="S305" t="s">
        <v>789</v>
      </c>
      <c r="T305">
        <v>2076.350918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51.7</v>
      </c>
      <c r="D306">
        <v>86</v>
      </c>
      <c r="E306">
        <v>0.6011627906976744</v>
      </c>
      <c r="F306">
        <v>0.02321083172147002</v>
      </c>
      <c r="G306">
        <v>0.1071375524332212</v>
      </c>
      <c r="H306">
        <v>0.03</v>
      </c>
      <c r="I306">
        <v>0.1608644782969975</v>
      </c>
      <c r="J306" t="s">
        <v>372</v>
      </c>
      <c r="K306" t="s">
        <v>513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0.347434776083097</v>
      </c>
      <c r="R306" t="s">
        <v>780</v>
      </c>
      <c r="S306" t="s">
        <v>789</v>
      </c>
      <c r="T306">
        <v>5405.265846</v>
      </c>
      <c r="U306" s="2">
        <v>44437</v>
      </c>
      <c r="V306" t="s">
        <v>798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51.66</v>
      </c>
      <c r="D307">
        <v>65</v>
      </c>
      <c r="E307">
        <v>0.7947692307692307</v>
      </c>
      <c r="F307">
        <v>0.03871467286101433</v>
      </c>
      <c r="G307">
        <v>0.04701231756383173</v>
      </c>
      <c r="H307">
        <v>0.08</v>
      </c>
      <c r="I307">
        <v>0.1593110905133839</v>
      </c>
      <c r="J307" t="s">
        <v>372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0.201562525753654</v>
      </c>
      <c r="R307" t="s">
        <v>780</v>
      </c>
      <c r="S307" t="s">
        <v>790</v>
      </c>
      <c r="T307">
        <v>3606.76917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60.47</v>
      </c>
      <c r="D308">
        <v>81</v>
      </c>
      <c r="E308">
        <v>0.7465432098765432</v>
      </c>
      <c r="F308">
        <v>0.04299652720357202</v>
      </c>
      <c r="G308">
        <v>0.06020295425766564</v>
      </c>
      <c r="H308">
        <v>0.05</v>
      </c>
      <c r="I308">
        <v>0.1457322484649239</v>
      </c>
      <c r="J308" t="s">
        <v>372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0.4570834139732921</v>
      </c>
      <c r="R308" t="s">
        <v>780</v>
      </c>
      <c r="S308" t="s">
        <v>787</v>
      </c>
      <c r="T308">
        <v>4021.645156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47.15</v>
      </c>
      <c r="D309">
        <v>60</v>
      </c>
      <c r="E309">
        <v>0.7858333333333333</v>
      </c>
      <c r="F309">
        <v>0.08801696712619302</v>
      </c>
      <c r="G309">
        <v>0.04938272529512577</v>
      </c>
      <c r="H309">
        <v>0.03</v>
      </c>
      <c r="I309">
        <v>0.1417736667084424</v>
      </c>
      <c r="J309" t="s">
        <v>372</v>
      </c>
      <c r="K309" t="s">
        <v>776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0.239125877790588</v>
      </c>
      <c r="R309" t="s">
        <v>781</v>
      </c>
      <c r="S309" t="s">
        <v>793</v>
      </c>
      <c r="T309">
        <v>10093.825305</v>
      </c>
      <c r="U309" s="2">
        <v>44504</v>
      </c>
      <c r="V309" t="s">
        <v>803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39.27</v>
      </c>
      <c r="D310">
        <v>135</v>
      </c>
      <c r="E310">
        <v>0.2908888888888889</v>
      </c>
      <c r="F310">
        <v>0.053475935828877</v>
      </c>
      <c r="G310">
        <v>0.2801314679198934</v>
      </c>
      <c r="H310">
        <v>-0.15</v>
      </c>
      <c r="I310">
        <v>0.1338587018913311</v>
      </c>
      <c r="J310" t="s">
        <v>372</v>
      </c>
      <c r="K310" t="s">
        <v>776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0.667696377448463</v>
      </c>
      <c r="R310" t="s">
        <v>780</v>
      </c>
      <c r="S310" t="s">
        <v>788</v>
      </c>
      <c r="T310">
        <v>7684.181606</v>
      </c>
      <c r="U310" s="2">
        <v>44513</v>
      </c>
      <c r="V310" t="s">
        <v>801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93.44</v>
      </c>
      <c r="D311">
        <v>190</v>
      </c>
      <c r="E311">
        <v>0.4917894736842105</v>
      </c>
      <c r="F311">
        <v>0.04837328767123288</v>
      </c>
      <c r="G311">
        <v>0.1525085455050643</v>
      </c>
      <c r="H311">
        <v>-0.05</v>
      </c>
      <c r="I311">
        <v>0.1324482499472945</v>
      </c>
      <c r="J311" t="s">
        <v>372</v>
      </c>
      <c r="K311" t="s">
        <v>777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0.171986010435336</v>
      </c>
      <c r="R311" t="s">
        <v>780</v>
      </c>
      <c r="S311" t="s">
        <v>788</v>
      </c>
      <c r="T311">
        <v>30879.022164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34.89</v>
      </c>
      <c r="D312">
        <v>42</v>
      </c>
      <c r="E312">
        <v>0.8307142857142857</v>
      </c>
      <c r="F312">
        <v>0.08311837202636858</v>
      </c>
      <c r="G312">
        <v>0.03779043636985446</v>
      </c>
      <c r="H312">
        <v>0.03</v>
      </c>
      <c r="I312">
        <v>0.1300992542841808</v>
      </c>
      <c r="J312" t="s">
        <v>372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0.012381347853295</v>
      </c>
      <c r="R312" t="s">
        <v>780</v>
      </c>
      <c r="S312" t="s">
        <v>791</v>
      </c>
      <c r="T312">
        <v>79440.008724</v>
      </c>
      <c r="U312" s="2">
        <v>44462</v>
      </c>
      <c r="V312" t="s">
        <v>800</v>
      </c>
    </row>
    <row r="313" spans="1:22">
      <c r="A313" s="1" t="s">
        <v>333</v>
      </c>
      <c r="B313">
        <f>HYPERLINK("https://www.suredividend.com/sure-analysis-DHI/","D.R. Horton Inc.")</f>
        <v>0</v>
      </c>
      <c r="C313">
        <v>101.75</v>
      </c>
      <c r="D313">
        <v>127</v>
      </c>
      <c r="E313">
        <v>0.8011811023622047</v>
      </c>
      <c r="F313">
        <v>0.008845208845208846</v>
      </c>
      <c r="G313">
        <v>0.045331073959757</v>
      </c>
      <c r="H313">
        <v>0.07000000000000001</v>
      </c>
      <c r="I313">
        <v>0.1259955795387513</v>
      </c>
      <c r="J313" t="s">
        <v>372</v>
      </c>
      <c r="K313" t="s">
        <v>513</v>
      </c>
      <c r="L313">
        <v>13.35</v>
      </c>
      <c r="M313">
        <v>0.9</v>
      </c>
      <c r="N313">
        <v>0.06741573033707865</v>
      </c>
      <c r="O313">
        <v>7</v>
      </c>
      <c r="P313">
        <v>0.100082101138866</v>
      </c>
      <c r="Q313">
        <v>0.344951898870143</v>
      </c>
      <c r="R313" t="s">
        <v>780</v>
      </c>
      <c r="S313" t="s">
        <v>789</v>
      </c>
      <c r="T313">
        <v>35713.560716</v>
      </c>
      <c r="U313" s="2">
        <v>44513</v>
      </c>
      <c r="V313" t="s">
        <v>801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83.31</v>
      </c>
      <c r="D314">
        <v>81</v>
      </c>
      <c r="E314">
        <v>1.028518518518519</v>
      </c>
      <c r="F314">
        <v>0.01116312567518905</v>
      </c>
      <c r="G314">
        <v>-0.005608102613876342</v>
      </c>
      <c r="H314">
        <v>0.12</v>
      </c>
      <c r="I314">
        <v>0.1238618723621854</v>
      </c>
      <c r="J314" t="s">
        <v>372</v>
      </c>
      <c r="K314" t="s">
        <v>513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1.553602806523437</v>
      </c>
      <c r="R314" t="s">
        <v>780</v>
      </c>
      <c r="S314" t="s">
        <v>786</v>
      </c>
      <c r="T314">
        <v>45882.259175</v>
      </c>
      <c r="U314" s="2">
        <v>44513</v>
      </c>
      <c r="V314" t="s">
        <v>795</v>
      </c>
    </row>
    <row r="315" spans="1:22">
      <c r="A315" s="1" t="s">
        <v>335</v>
      </c>
      <c r="B315">
        <f>HYPERLINK("https://www.suredividend.com/sure-analysis-TTE/","TotalEnergies SE")</f>
        <v>0</v>
      </c>
      <c r="C315">
        <v>48.54</v>
      </c>
      <c r="D315">
        <v>71</v>
      </c>
      <c r="E315">
        <v>0.6836619718309859</v>
      </c>
      <c r="F315">
        <v>0.06345282241450351</v>
      </c>
      <c r="G315">
        <v>0.07902551765104104</v>
      </c>
      <c r="H315">
        <v>0</v>
      </c>
      <c r="I315">
        <v>0.1236211032483576</v>
      </c>
      <c r="J315" t="s">
        <v>372</v>
      </c>
      <c r="K315" t="s">
        <v>776</v>
      </c>
      <c r="L315">
        <v>5.9</v>
      </c>
      <c r="M315">
        <v>3.08</v>
      </c>
      <c r="N315">
        <v>0.5220338983050847</v>
      </c>
      <c r="O315">
        <v>3</v>
      </c>
      <c r="P315">
        <v>0.01142428402057938</v>
      </c>
      <c r="Q315">
        <v>0.19355081367067</v>
      </c>
      <c r="R315" t="s">
        <v>780</v>
      </c>
      <c r="S315" t="s">
        <v>793</v>
      </c>
      <c r="T315">
        <v>125684.43606</v>
      </c>
      <c r="U315" s="2">
        <v>44501</v>
      </c>
      <c r="V315" t="s">
        <v>803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50.05</v>
      </c>
      <c r="D316">
        <v>68</v>
      </c>
      <c r="E316">
        <v>0.7360294117647058</v>
      </c>
      <c r="F316">
        <v>0.01998001998001998</v>
      </c>
      <c r="G316">
        <v>0.06321468445213974</v>
      </c>
      <c r="H316">
        <v>0.04</v>
      </c>
      <c r="I316">
        <v>0.1231351005443853</v>
      </c>
      <c r="J316" t="s">
        <v>372</v>
      </c>
      <c r="K316" t="s">
        <v>513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0.7231437793138361</v>
      </c>
      <c r="R316" t="s">
        <v>780</v>
      </c>
      <c r="S316" t="s">
        <v>790</v>
      </c>
      <c r="T316">
        <v>16979.22044</v>
      </c>
      <c r="U316" s="2">
        <v>44498</v>
      </c>
      <c r="V316" t="s">
        <v>800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134.55</v>
      </c>
      <c r="D317">
        <v>158.96</v>
      </c>
      <c r="E317">
        <v>0.8464393558127831</v>
      </c>
      <c r="F317">
        <v>0.01300631735414344</v>
      </c>
      <c r="G317">
        <v>0.03390546376611847</v>
      </c>
      <c r="H317">
        <v>0.075</v>
      </c>
      <c r="I317">
        <v>0.122345589196053</v>
      </c>
      <c r="J317" t="s">
        <v>372</v>
      </c>
      <c r="K317" t="s">
        <v>513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1.535264722626352</v>
      </c>
      <c r="R317" t="s">
        <v>780</v>
      </c>
      <c r="S317" t="s">
        <v>789</v>
      </c>
      <c r="T317">
        <v>9103.085951999999</v>
      </c>
      <c r="U317" s="2">
        <v>44439</v>
      </c>
      <c r="V317" t="s">
        <v>801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109.04</v>
      </c>
      <c r="D318">
        <v>144</v>
      </c>
      <c r="E318">
        <v>0.7572222222222222</v>
      </c>
      <c r="F318">
        <v>0.01577402787967718</v>
      </c>
      <c r="G318">
        <v>0.0571955583839201</v>
      </c>
      <c r="H318">
        <v>0.05</v>
      </c>
      <c r="I318">
        <v>0.1213454081957601</v>
      </c>
      <c r="J318" t="s">
        <v>372</v>
      </c>
      <c r="K318" t="s">
        <v>513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0.224653749563206</v>
      </c>
      <c r="R318" t="s">
        <v>780</v>
      </c>
      <c r="S318" t="s">
        <v>789</v>
      </c>
      <c r="T318">
        <v>6228.702113</v>
      </c>
      <c r="U318" s="2">
        <v>44491</v>
      </c>
      <c r="V318" t="s">
        <v>801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67.97</v>
      </c>
      <c r="D319">
        <v>77</v>
      </c>
      <c r="E319">
        <v>0.8827272727272727</v>
      </c>
      <c r="F319">
        <v>0.03413270560541415</v>
      </c>
      <c r="G319">
        <v>0.02526159852302867</v>
      </c>
      <c r="H319">
        <v>0.06</v>
      </c>
      <c r="I319">
        <v>0.1149595603541151</v>
      </c>
      <c r="J319" t="s">
        <v>372</v>
      </c>
      <c r="K319" t="s">
        <v>777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-0.08601152274005401</v>
      </c>
      <c r="R319" t="s">
        <v>780</v>
      </c>
      <c r="S319" t="s">
        <v>792</v>
      </c>
      <c r="T319">
        <v>3640.199418</v>
      </c>
      <c r="U319" s="2">
        <v>44502</v>
      </c>
      <c r="V319" t="s">
        <v>795</v>
      </c>
    </row>
    <row r="320" spans="1:22">
      <c r="A320" s="1" t="s">
        <v>340</v>
      </c>
      <c r="B320">
        <f>HYPERLINK("https://www.suredividend.com/sure-analysis-PNW/","Pinnacle West Capital Corp.")</f>
        <v>0</v>
      </c>
      <c r="C320">
        <v>67.11</v>
      </c>
      <c r="D320">
        <v>88</v>
      </c>
      <c r="E320">
        <v>0.7626136363636363</v>
      </c>
      <c r="F320">
        <v>0.05096110862762628</v>
      </c>
      <c r="G320">
        <v>0.05569651202374093</v>
      </c>
      <c r="H320">
        <v>0.02</v>
      </c>
      <c r="I320">
        <v>0.1143638620678373</v>
      </c>
      <c r="J320" t="s">
        <v>372</v>
      </c>
      <c r="K320" t="s">
        <v>776</v>
      </c>
      <c r="L320">
        <v>5.06</v>
      </c>
      <c r="M320">
        <v>3.42</v>
      </c>
      <c r="N320">
        <v>0.6758893280632411</v>
      </c>
      <c r="O320">
        <v>10</v>
      </c>
      <c r="P320">
        <v>0.02021836907521135</v>
      </c>
      <c r="Q320">
        <v>-0.148184952647665</v>
      </c>
      <c r="R320" t="s">
        <v>780</v>
      </c>
      <c r="S320" t="s">
        <v>792</v>
      </c>
      <c r="T320">
        <v>7657.013569</v>
      </c>
      <c r="U320" s="2">
        <v>44513</v>
      </c>
      <c r="V320" t="s">
        <v>797</v>
      </c>
    </row>
    <row r="321" spans="1:22">
      <c r="A321" s="1" t="s">
        <v>341</v>
      </c>
      <c r="B321">
        <f>HYPERLINK("https://www.suredividend.com/sure-analysis-SNY/","Sanofi")</f>
        <v>0</v>
      </c>
      <c r="C321">
        <v>49.91</v>
      </c>
      <c r="D321">
        <v>61</v>
      </c>
      <c r="E321">
        <v>0.8181967213114754</v>
      </c>
      <c r="F321">
        <v>0.03866960528952114</v>
      </c>
      <c r="G321">
        <v>0.04094660484167734</v>
      </c>
      <c r="H321">
        <v>0.04</v>
      </c>
      <c r="I321">
        <v>0.1126050303390487</v>
      </c>
      <c r="J321" t="s">
        <v>372</v>
      </c>
      <c r="K321" t="s">
        <v>777</v>
      </c>
      <c r="L321">
        <v>3.79</v>
      </c>
      <c r="M321">
        <v>1.93</v>
      </c>
      <c r="N321">
        <v>0.5092348284960422</v>
      </c>
      <c r="O321">
        <v>27</v>
      </c>
      <c r="P321">
        <v>0.04016469901021225</v>
      </c>
      <c r="Q321">
        <v>0.026472177201512</v>
      </c>
      <c r="R321" t="s">
        <v>780</v>
      </c>
      <c r="S321" t="s">
        <v>785</v>
      </c>
      <c r="T321">
        <v>126267.495519</v>
      </c>
      <c r="U321" s="2">
        <v>44501</v>
      </c>
      <c r="V321" t="s">
        <v>796</v>
      </c>
    </row>
    <row r="322" spans="1:22">
      <c r="A322" s="1" t="s">
        <v>342</v>
      </c>
      <c r="B322">
        <f>HYPERLINK("https://www.suredividend.com/sure-analysis-EQNR/","Equinor ASA")</f>
        <v>0</v>
      </c>
      <c r="C322">
        <v>25.78</v>
      </c>
      <c r="D322">
        <v>34.8</v>
      </c>
      <c r="E322">
        <v>0.7408045977011495</v>
      </c>
      <c r="F322">
        <v>0.02792862684251357</v>
      </c>
      <c r="G322">
        <v>0.0618404518322011</v>
      </c>
      <c r="H322">
        <v>0.02</v>
      </c>
      <c r="I322">
        <v>0.1113379593427752</v>
      </c>
      <c r="J322" t="s">
        <v>372</v>
      </c>
      <c r="K322" t="s">
        <v>372</v>
      </c>
      <c r="L322">
        <v>2.9</v>
      </c>
      <c r="M322">
        <v>0.72</v>
      </c>
      <c r="N322">
        <v>0.2482758620689655</v>
      </c>
      <c r="O322">
        <v>0</v>
      </c>
      <c r="P322">
        <v>0.1305865872992673</v>
      </c>
      <c r="Q322">
        <v>0.695550032344829</v>
      </c>
      <c r="R322" t="s">
        <v>780</v>
      </c>
      <c r="S322" t="s">
        <v>793</v>
      </c>
      <c r="T322">
        <v>81116.423904</v>
      </c>
      <c r="U322" s="2">
        <v>44502</v>
      </c>
      <c r="V322" t="s">
        <v>795</v>
      </c>
    </row>
    <row r="323" spans="1:22">
      <c r="A323" s="1" t="s">
        <v>343</v>
      </c>
      <c r="B323">
        <f>HYPERLINK("https://www.suredividend.com/sure-analysis-GWLIF/","Great-West Lifeco, Inc.")</f>
        <v>0</v>
      </c>
      <c r="C323">
        <v>30.201</v>
      </c>
      <c r="D323">
        <v>34</v>
      </c>
      <c r="E323">
        <v>0.888264705882353</v>
      </c>
      <c r="F323">
        <v>0.05198503360815867</v>
      </c>
      <c r="G323">
        <v>0.02398010492065628</v>
      </c>
      <c r="H323">
        <v>0.045</v>
      </c>
      <c r="I323">
        <v>0.1102832924114099</v>
      </c>
      <c r="J323" t="s">
        <v>372</v>
      </c>
      <c r="K323" t="s">
        <v>776</v>
      </c>
      <c r="L323">
        <v>2.8</v>
      </c>
      <c r="M323">
        <v>1.57</v>
      </c>
      <c r="N323">
        <v>0.5607142857142857</v>
      </c>
      <c r="O323">
        <v>6</v>
      </c>
      <c r="P323">
        <v>0.02999317534988744</v>
      </c>
      <c r="Q323">
        <v>0.303463203463203</v>
      </c>
      <c r="R323" t="s">
        <v>780</v>
      </c>
      <c r="S323" t="s">
        <v>790</v>
      </c>
      <c r="T323">
        <v>28016.902928</v>
      </c>
      <c r="U323" s="2">
        <v>44514</v>
      </c>
      <c r="V323" t="s">
        <v>801</v>
      </c>
    </row>
    <row r="324" spans="1:22">
      <c r="A324" s="1" t="s">
        <v>344</v>
      </c>
      <c r="B324">
        <f>HYPERLINK("https://www.suredividend.com/sure-analysis-JBL/","Jabil Inc")</f>
        <v>0</v>
      </c>
      <c r="C324">
        <v>61.84</v>
      </c>
      <c r="D324">
        <v>73</v>
      </c>
      <c r="E324">
        <v>0.8471232876712329</v>
      </c>
      <c r="F324">
        <v>0.005174644243208279</v>
      </c>
      <c r="G324">
        <v>0.03373846343306508</v>
      </c>
      <c r="H324">
        <v>0.07000000000000001</v>
      </c>
      <c r="I324">
        <v>0.1100923761439192</v>
      </c>
      <c r="J324" t="s">
        <v>372</v>
      </c>
      <c r="K324" t="s">
        <v>778</v>
      </c>
      <c r="L324">
        <v>6.35</v>
      </c>
      <c r="M324">
        <v>0.32</v>
      </c>
      <c r="N324">
        <v>0.05039370078740158</v>
      </c>
      <c r="O324">
        <v>0</v>
      </c>
      <c r="P324">
        <v>0.05081623913789235</v>
      </c>
      <c r="Q324">
        <v>0.673036298840565</v>
      </c>
      <c r="R324" t="s">
        <v>780</v>
      </c>
      <c r="S324" t="s">
        <v>786</v>
      </c>
      <c r="T324">
        <v>8922.602317999999</v>
      </c>
      <c r="U324" s="2">
        <v>44491</v>
      </c>
      <c r="V324" t="s">
        <v>801</v>
      </c>
    </row>
    <row r="325" spans="1:22">
      <c r="A325" s="1" t="s">
        <v>345</v>
      </c>
      <c r="B325">
        <f>HYPERLINK("https://www.suredividend.com/sure-analysis-DGX/","Quest Diagnostics, Inc.")</f>
        <v>0</v>
      </c>
      <c r="C325">
        <v>151.04</v>
      </c>
      <c r="D325">
        <v>206</v>
      </c>
      <c r="E325">
        <v>0.7332038834951456</v>
      </c>
      <c r="F325">
        <v>0.01641949152542373</v>
      </c>
      <c r="G325">
        <v>0.0640328806180448</v>
      </c>
      <c r="H325">
        <v>0.03</v>
      </c>
      <c r="I325">
        <v>0.1096194641287678</v>
      </c>
      <c r="J325" t="s">
        <v>372</v>
      </c>
      <c r="K325" t="s">
        <v>513</v>
      </c>
      <c r="L325">
        <v>13.7</v>
      </c>
      <c r="M325">
        <v>2.48</v>
      </c>
      <c r="N325">
        <v>0.181021897810219</v>
      </c>
      <c r="O325">
        <v>10</v>
      </c>
      <c r="P325">
        <v>0.07010283006626494</v>
      </c>
      <c r="Q325">
        <v>0.218811121469559</v>
      </c>
      <c r="R325" t="s">
        <v>780</v>
      </c>
      <c r="S325" t="s">
        <v>785</v>
      </c>
      <c r="T325">
        <v>18491.994981</v>
      </c>
      <c r="U325" s="2">
        <v>44490</v>
      </c>
      <c r="V325" t="s">
        <v>797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52.47</v>
      </c>
      <c r="D326">
        <v>75</v>
      </c>
      <c r="E326">
        <v>0.6996</v>
      </c>
      <c r="F326">
        <v>0.03354297693920336</v>
      </c>
      <c r="G326">
        <v>0.07406370198994727</v>
      </c>
      <c r="H326">
        <v>0.01</v>
      </c>
      <c r="I326">
        <v>0.1093558195221058</v>
      </c>
      <c r="J326" t="s">
        <v>372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0.502885195073637</v>
      </c>
      <c r="R326" t="s">
        <v>780</v>
      </c>
      <c r="S326" t="s">
        <v>790</v>
      </c>
      <c r="T326">
        <v>14895.236432</v>
      </c>
      <c r="U326" s="2">
        <v>44511</v>
      </c>
      <c r="V326" t="s">
        <v>799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114.9</v>
      </c>
      <c r="D327">
        <v>143</v>
      </c>
      <c r="E327">
        <v>0.8034965034965036</v>
      </c>
      <c r="F327">
        <v>0.02819843342036554</v>
      </c>
      <c r="G327">
        <v>0.04472792125484859</v>
      </c>
      <c r="H327">
        <v>0.04</v>
      </c>
      <c r="I327">
        <v>0.1090582131999815</v>
      </c>
      <c r="J327" t="s">
        <v>372</v>
      </c>
      <c r="K327" t="s">
        <v>372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0.155371229781003</v>
      </c>
      <c r="R327" t="s">
        <v>780</v>
      </c>
      <c r="S327" t="s">
        <v>790</v>
      </c>
      <c r="T327">
        <v>32552.064456</v>
      </c>
      <c r="U327" s="2">
        <v>44505</v>
      </c>
      <c r="V327" t="s">
        <v>801</v>
      </c>
    </row>
    <row r="328" spans="1:22">
      <c r="A328" s="1" t="s">
        <v>348</v>
      </c>
      <c r="B328">
        <f>HYPERLINK("https://www.suredividend.com/sure-analysis-HPE/","Hewlett Packard Enterprise Co")</f>
        <v>0</v>
      </c>
      <c r="C328">
        <v>14.81</v>
      </c>
      <c r="D328">
        <v>16.49</v>
      </c>
      <c r="E328">
        <v>0.8981200727713767</v>
      </c>
      <c r="F328">
        <v>0.03241053342336259</v>
      </c>
      <c r="G328">
        <v>0.02172288127176736</v>
      </c>
      <c r="H328">
        <v>0.06</v>
      </c>
      <c r="I328">
        <v>0.1090123974484161</v>
      </c>
      <c r="J328" t="s">
        <v>372</v>
      </c>
      <c r="K328" t="s">
        <v>372</v>
      </c>
      <c r="L328">
        <v>1.94</v>
      </c>
      <c r="M328">
        <v>0.48</v>
      </c>
      <c r="N328">
        <v>0.2474226804123711</v>
      </c>
      <c r="O328">
        <v>4</v>
      </c>
      <c r="P328">
        <v>0.04910201101938982</v>
      </c>
      <c r="Q328">
        <v>0.459486166007905</v>
      </c>
      <c r="R328" t="s">
        <v>780</v>
      </c>
      <c r="S328" t="s">
        <v>786</v>
      </c>
      <c r="T328">
        <v>19319.898707</v>
      </c>
      <c r="U328" s="2">
        <v>44443</v>
      </c>
      <c r="V328" t="s">
        <v>795</v>
      </c>
    </row>
    <row r="329" spans="1:22">
      <c r="A329" s="1" t="s">
        <v>349</v>
      </c>
      <c r="B329">
        <f>HYPERLINK("https://www.suredividend.com/sure-analysis-AEG/","Aegon N. V.")</f>
        <v>0</v>
      </c>
      <c r="C329">
        <v>4.78</v>
      </c>
      <c r="D329">
        <v>5.6</v>
      </c>
      <c r="E329">
        <v>0.8535714285714286</v>
      </c>
      <c r="F329">
        <v>0.03556485355648536</v>
      </c>
      <c r="G329">
        <v>0.0321718868830958</v>
      </c>
      <c r="H329">
        <v>0.04</v>
      </c>
      <c r="I329">
        <v>0.1054528999130937</v>
      </c>
      <c r="J329" t="s">
        <v>372</v>
      </c>
      <c r="K329" t="s">
        <v>372</v>
      </c>
      <c r="L329">
        <v>0.7</v>
      </c>
      <c r="M329">
        <v>0.17</v>
      </c>
      <c r="N329">
        <v>0.2428571428571429</v>
      </c>
      <c r="O329">
        <v>0</v>
      </c>
      <c r="P329">
        <v>0.0801851873035635</v>
      </c>
      <c r="Q329">
        <v>0.386812091359545</v>
      </c>
      <c r="R329" t="s">
        <v>780</v>
      </c>
      <c r="S329" t="s">
        <v>790</v>
      </c>
      <c r="T329">
        <v>9957.306925999999</v>
      </c>
      <c r="U329" s="2">
        <v>44517</v>
      </c>
      <c r="V329" t="s">
        <v>803</v>
      </c>
    </row>
    <row r="330" spans="1:22">
      <c r="A330" s="1" t="s">
        <v>350</v>
      </c>
      <c r="B330">
        <f>HYPERLINK("https://www.suredividend.com/sure-analysis-SJI/","South Jersey Industries Inc.")</f>
        <v>0</v>
      </c>
      <c r="C330">
        <v>24.58</v>
      </c>
      <c r="D330">
        <v>29</v>
      </c>
      <c r="E330">
        <v>0.8475862068965516</v>
      </c>
      <c r="F330">
        <v>0.04882017900732303</v>
      </c>
      <c r="G330">
        <v>0.03362552106033734</v>
      </c>
      <c r="H330">
        <v>0.03</v>
      </c>
      <c r="I330">
        <v>0.1034258142421018</v>
      </c>
      <c r="J330" t="s">
        <v>372</v>
      </c>
      <c r="K330" t="s">
        <v>776</v>
      </c>
      <c r="L330">
        <v>1.6</v>
      </c>
      <c r="M330">
        <v>1.2</v>
      </c>
      <c r="N330">
        <v>0.7499999999999999</v>
      </c>
      <c r="O330">
        <v>23</v>
      </c>
      <c r="P330">
        <v>0.03131030647754507</v>
      </c>
      <c r="Q330">
        <v>0.126570521558715</v>
      </c>
      <c r="R330" t="s">
        <v>780</v>
      </c>
      <c r="S330" t="s">
        <v>792</v>
      </c>
      <c r="T330">
        <v>2741.460274</v>
      </c>
      <c r="U330" s="2">
        <v>44517</v>
      </c>
      <c r="V330" t="s">
        <v>802</v>
      </c>
    </row>
    <row r="331" spans="1:22">
      <c r="A331" s="1" t="s">
        <v>351</v>
      </c>
      <c r="B331">
        <f>HYPERLINK("https://www.suredividend.com/sure-analysis-NHI/","National Health Investors, Inc.")</f>
        <v>0</v>
      </c>
      <c r="C331">
        <v>55.17</v>
      </c>
      <c r="D331">
        <v>61</v>
      </c>
      <c r="E331">
        <v>0.9044262295081967</v>
      </c>
      <c r="F331">
        <v>0.06525285481239804</v>
      </c>
      <c r="G331">
        <v>0.02029408807107691</v>
      </c>
      <c r="H331">
        <v>0.03</v>
      </c>
      <c r="I331">
        <v>0.100989544744422</v>
      </c>
      <c r="J331" t="s">
        <v>372</v>
      </c>
      <c r="K331" t="s">
        <v>777</v>
      </c>
      <c r="L331">
        <v>4.78</v>
      </c>
      <c r="M331">
        <v>3.6</v>
      </c>
      <c r="N331">
        <v>0.7531380753138075</v>
      </c>
      <c r="O331">
        <v>0</v>
      </c>
      <c r="P331">
        <v>0.009805797673485328</v>
      </c>
      <c r="Q331">
        <v>-0.08396821361500401</v>
      </c>
      <c r="R331" t="s">
        <v>782</v>
      </c>
      <c r="S331" t="s">
        <v>794</v>
      </c>
      <c r="T331">
        <v>2560.755954</v>
      </c>
      <c r="U331" s="2">
        <v>44513</v>
      </c>
      <c r="V331" t="s">
        <v>801</v>
      </c>
    </row>
    <row r="332" spans="1:22">
      <c r="A332" s="1" t="s">
        <v>352</v>
      </c>
      <c r="B332">
        <f>HYPERLINK("https://www.suredividend.com/sure-analysis-TYCB/","Calvin b. Taylor Bankshares, Inc.")</f>
        <v>0</v>
      </c>
      <c r="C332">
        <v>36.85</v>
      </c>
      <c r="D332">
        <v>39</v>
      </c>
      <c r="E332">
        <v>0.944871794871795</v>
      </c>
      <c r="F332">
        <v>0.03147896879240163</v>
      </c>
      <c r="G332">
        <v>0.01140576078404121</v>
      </c>
      <c r="H332">
        <v>0.06</v>
      </c>
      <c r="I332">
        <v>0.09996174803478874</v>
      </c>
      <c r="J332" t="s">
        <v>372</v>
      </c>
      <c r="K332" t="s">
        <v>777</v>
      </c>
      <c r="L332">
        <v>3.1</v>
      </c>
      <c r="M332">
        <v>1.16</v>
      </c>
      <c r="N332">
        <v>0.3741935483870967</v>
      </c>
      <c r="O332">
        <v>30</v>
      </c>
      <c r="P332">
        <v>0.07039956279333892</v>
      </c>
      <c r="Q332">
        <v>0.104167785755638</v>
      </c>
      <c r="R332" t="s">
        <v>780</v>
      </c>
      <c r="S332" t="s">
        <v>790</v>
      </c>
      <c r="T332">
        <v>102.155668</v>
      </c>
      <c r="U332" s="2">
        <v>44424</v>
      </c>
      <c r="V332" t="s">
        <v>800</v>
      </c>
    </row>
    <row r="333" spans="1:22">
      <c r="A333" s="1" t="s">
        <v>353</v>
      </c>
      <c r="B333">
        <f>HYPERLINK("https://www.suredividend.com/sure-analysis-PHM/","PulteGroup Inc")</f>
        <v>0</v>
      </c>
      <c r="C333">
        <v>52.9</v>
      </c>
      <c r="D333">
        <v>61</v>
      </c>
      <c r="E333">
        <v>0.8672131147540983</v>
      </c>
      <c r="F333">
        <v>0.01058601134215501</v>
      </c>
      <c r="G333">
        <v>0.02890394549148589</v>
      </c>
      <c r="H333">
        <v>0.06</v>
      </c>
      <c r="I333">
        <v>0.09915055273851459</v>
      </c>
      <c r="J333" t="s">
        <v>372</v>
      </c>
      <c r="K333" t="s">
        <v>513</v>
      </c>
      <c r="L333">
        <v>7.13</v>
      </c>
      <c r="M333">
        <v>0.5600000000000001</v>
      </c>
      <c r="N333">
        <v>0.07854137447405331</v>
      </c>
      <c r="O333">
        <v>4</v>
      </c>
      <c r="P333">
        <v>0.04861016738492974</v>
      </c>
      <c r="Q333">
        <v>0.214392942528309</v>
      </c>
      <c r="R333" t="s">
        <v>780</v>
      </c>
      <c r="S333" t="s">
        <v>789</v>
      </c>
      <c r="T333">
        <v>13271.992664</v>
      </c>
      <c r="U333" s="2">
        <v>44498</v>
      </c>
      <c r="V333" t="s">
        <v>801</v>
      </c>
    </row>
    <row r="334" spans="1:22">
      <c r="A334" s="1" t="s">
        <v>354</v>
      </c>
      <c r="B334">
        <f>HYPERLINK("https://www.suredividend.com/sure-analysis-OGE/","Oge Energy Corp.")</f>
        <v>0</v>
      </c>
      <c r="C334">
        <v>35.45</v>
      </c>
      <c r="D334">
        <v>37</v>
      </c>
      <c r="E334">
        <v>0.9581081081081082</v>
      </c>
      <c r="F334">
        <v>0.04626234132581099</v>
      </c>
      <c r="G334">
        <v>0.008595664312994078</v>
      </c>
      <c r="H334">
        <v>0.05</v>
      </c>
      <c r="I334">
        <v>0.09881258305276552</v>
      </c>
      <c r="J334" t="s">
        <v>372</v>
      </c>
      <c r="K334" t="s">
        <v>777</v>
      </c>
      <c r="L334">
        <v>2.17</v>
      </c>
      <c r="M334">
        <v>1.64</v>
      </c>
      <c r="N334">
        <v>0.7557603686635944</v>
      </c>
      <c r="O334">
        <v>15</v>
      </c>
      <c r="P334">
        <v>0.05168994430952489</v>
      </c>
      <c r="Q334">
        <v>0.103349911090488</v>
      </c>
      <c r="R334" t="s">
        <v>780</v>
      </c>
      <c r="S334" t="s">
        <v>792</v>
      </c>
      <c r="T334">
        <v>7092.17761</v>
      </c>
      <c r="U334" s="2">
        <v>44508</v>
      </c>
      <c r="V334" t="s">
        <v>803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52.25</v>
      </c>
      <c r="D335">
        <v>54</v>
      </c>
      <c r="E335">
        <v>0.9675925925925926</v>
      </c>
      <c r="F335">
        <v>0.03885167464114832</v>
      </c>
      <c r="G335">
        <v>0.006610585243576939</v>
      </c>
      <c r="H335">
        <v>0.06</v>
      </c>
      <c r="I335">
        <v>0.09829606013154324</v>
      </c>
      <c r="J335" t="s">
        <v>372</v>
      </c>
      <c r="K335" t="s">
        <v>777</v>
      </c>
      <c r="L335">
        <v>2.98</v>
      </c>
      <c r="M335">
        <v>2.03</v>
      </c>
      <c r="N335">
        <v>0.6812080536912751</v>
      </c>
      <c r="O335">
        <v>6</v>
      </c>
      <c r="P335">
        <v>0.03405357579605606</v>
      </c>
      <c r="Q335">
        <v>-0.102703440599387</v>
      </c>
      <c r="R335" t="s">
        <v>780</v>
      </c>
      <c r="S335" t="s">
        <v>791</v>
      </c>
      <c r="T335">
        <v>131802.215148</v>
      </c>
      <c r="U335" s="2">
        <v>44516</v>
      </c>
      <c r="V335" t="s">
        <v>803</v>
      </c>
    </row>
    <row r="336" spans="1:22">
      <c r="A336" s="1" t="s">
        <v>356</v>
      </c>
      <c r="B336">
        <f>HYPERLINK("https://www.suredividend.com/sure-analysis-DFS/","Discover Financial Services")</f>
        <v>0</v>
      </c>
      <c r="C336">
        <v>119.37</v>
      </c>
      <c r="D336">
        <v>154</v>
      </c>
      <c r="E336">
        <v>0.7751298701298701</v>
      </c>
      <c r="F336">
        <v>0.01675462846611376</v>
      </c>
      <c r="G336">
        <v>0.05226495172934276</v>
      </c>
      <c r="H336">
        <v>0.03</v>
      </c>
      <c r="I336">
        <v>0.09798097133560657</v>
      </c>
      <c r="J336" t="s">
        <v>372</v>
      </c>
      <c r="K336" t="s">
        <v>513</v>
      </c>
      <c r="L336">
        <v>17.1</v>
      </c>
      <c r="M336">
        <v>2</v>
      </c>
      <c r="N336">
        <v>0.1169590643274854</v>
      </c>
      <c r="O336">
        <v>10</v>
      </c>
      <c r="P336">
        <v>0.0602809527753625</v>
      </c>
      <c r="Q336">
        <v>0.572199244006899</v>
      </c>
      <c r="R336" t="s">
        <v>780</v>
      </c>
      <c r="S336" t="s">
        <v>790</v>
      </c>
      <c r="T336">
        <v>33900.072465</v>
      </c>
      <c r="U336" s="2">
        <v>44499</v>
      </c>
      <c r="V336" t="s">
        <v>800</v>
      </c>
    </row>
    <row r="337" spans="1:22">
      <c r="A337" s="1" t="s">
        <v>357</v>
      </c>
      <c r="B337">
        <f>HYPERLINK("https://www.suredividend.com/sure-analysis-SVC/","Service Properties Trust")</f>
        <v>0</v>
      </c>
      <c r="C337">
        <v>9.82</v>
      </c>
      <c r="D337">
        <v>14</v>
      </c>
      <c r="E337">
        <v>0.7014285714285714</v>
      </c>
      <c r="F337">
        <v>0.004073319755600814</v>
      </c>
      <c r="G337">
        <v>0.07350311649641306</v>
      </c>
      <c r="H337">
        <v>0.02</v>
      </c>
      <c r="I337">
        <v>0.09779220032545477</v>
      </c>
      <c r="J337" t="s">
        <v>372</v>
      </c>
      <c r="K337" t="s">
        <v>778</v>
      </c>
      <c r="L337">
        <v>0.3</v>
      </c>
      <c r="M337">
        <v>0.04</v>
      </c>
      <c r="N337">
        <v>0.1333333333333333</v>
      </c>
      <c r="O337">
        <v>0</v>
      </c>
      <c r="P337">
        <v>0</v>
      </c>
      <c r="Q337">
        <v>-0.144325504143586</v>
      </c>
      <c r="R337" t="s">
        <v>782</v>
      </c>
      <c r="S337" t="s">
        <v>794</v>
      </c>
      <c r="T337">
        <v>1624.508557</v>
      </c>
      <c r="U337" s="2">
        <v>44512</v>
      </c>
      <c r="V337" t="s">
        <v>800</v>
      </c>
    </row>
    <row r="338" spans="1:22">
      <c r="A338" s="1" t="s">
        <v>358</v>
      </c>
      <c r="B338">
        <f>HYPERLINK("https://www.suredividend.com/sure-analysis-SMG/","Scotts Miracle-Gro Company")</f>
        <v>0</v>
      </c>
      <c r="C338">
        <v>164.88</v>
      </c>
      <c r="D338">
        <v>174</v>
      </c>
      <c r="E338">
        <v>0.9475862068965517</v>
      </c>
      <c r="F338">
        <v>0.01601164483260553</v>
      </c>
      <c r="G338">
        <v>0.01082565038075489</v>
      </c>
      <c r="H338">
        <v>0.07000000000000001</v>
      </c>
      <c r="I338">
        <v>0.09521105781261907</v>
      </c>
      <c r="J338" t="s">
        <v>372</v>
      </c>
      <c r="K338" t="s">
        <v>513</v>
      </c>
      <c r="L338">
        <v>8.699999999999999</v>
      </c>
      <c r="M338">
        <v>2.64</v>
      </c>
      <c r="N338">
        <v>0.303448275862069</v>
      </c>
      <c r="O338">
        <v>12</v>
      </c>
      <c r="P338">
        <v>0.05982499004041508</v>
      </c>
      <c r="Q338">
        <v>-0.017200775504922</v>
      </c>
      <c r="R338" t="s">
        <v>780</v>
      </c>
      <c r="S338" t="s">
        <v>788</v>
      </c>
      <c r="T338">
        <v>9196.047318000001</v>
      </c>
      <c r="U338" s="2">
        <v>44503</v>
      </c>
      <c r="V338" t="s">
        <v>795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49.71</v>
      </c>
      <c r="D339">
        <v>63</v>
      </c>
      <c r="E339">
        <v>0.7890476190476191</v>
      </c>
      <c r="F339">
        <v>0.01770267551800443</v>
      </c>
      <c r="G339">
        <v>0.04852636999876458</v>
      </c>
      <c r="H339">
        <v>0.03</v>
      </c>
      <c r="I339">
        <v>0.09512229505340675</v>
      </c>
      <c r="J339" t="s">
        <v>372</v>
      </c>
      <c r="K339" t="s">
        <v>513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0.67550334407596</v>
      </c>
      <c r="R339" t="s">
        <v>780</v>
      </c>
      <c r="S339" t="s">
        <v>790</v>
      </c>
      <c r="T339">
        <v>26459.981208</v>
      </c>
      <c r="U339" s="2">
        <v>44500</v>
      </c>
      <c r="V339" t="s">
        <v>800</v>
      </c>
    </row>
    <row r="340" spans="1:22">
      <c r="A340" s="1" t="s">
        <v>360</v>
      </c>
      <c r="B340">
        <f>HYPERLINK("https://www.suredividend.com/sure-analysis-LNC/","Lincoln National Corp.")</f>
        <v>0</v>
      </c>
      <c r="C340">
        <v>71.59999999999999</v>
      </c>
      <c r="D340">
        <v>76</v>
      </c>
      <c r="E340">
        <v>0.9421052631578947</v>
      </c>
      <c r="F340">
        <v>0.02513966480446927</v>
      </c>
      <c r="G340">
        <v>0.01199907138788259</v>
      </c>
      <c r="H340">
        <v>0.06</v>
      </c>
      <c r="I340">
        <v>0.09510283181986345</v>
      </c>
      <c r="J340" t="s">
        <v>372</v>
      </c>
      <c r="K340" t="s">
        <v>372</v>
      </c>
      <c r="L340">
        <v>8.960000000000001</v>
      </c>
      <c r="M340">
        <v>1.8</v>
      </c>
      <c r="N340">
        <v>0.2008928571428571</v>
      </c>
      <c r="O340">
        <v>11</v>
      </c>
      <c r="P340">
        <v>0.06961037572506878</v>
      </c>
      <c r="Q340">
        <v>0.640092282836183</v>
      </c>
      <c r="R340" t="s">
        <v>780</v>
      </c>
      <c r="S340" t="s">
        <v>790</v>
      </c>
      <c r="T340">
        <v>12730.926999</v>
      </c>
      <c r="U340" s="2">
        <v>44505</v>
      </c>
      <c r="V340" t="s">
        <v>801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17.81</v>
      </c>
      <c r="D341">
        <v>19.6</v>
      </c>
      <c r="E341">
        <v>0.908673469387755</v>
      </c>
      <c r="F341">
        <v>0.0527793374508703</v>
      </c>
      <c r="G341">
        <v>0.01933850641034485</v>
      </c>
      <c r="H341">
        <v>0.03</v>
      </c>
      <c r="I341">
        <v>0.0929522204619917</v>
      </c>
      <c r="J341" t="s">
        <v>372</v>
      </c>
      <c r="K341" t="s">
        <v>777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0.07061909178577701</v>
      </c>
      <c r="R341" t="s">
        <v>780</v>
      </c>
      <c r="S341" t="s">
        <v>788</v>
      </c>
      <c r="T341">
        <v>64036.334546</v>
      </c>
      <c r="U341" s="2">
        <v>44497</v>
      </c>
      <c r="V341" t="s">
        <v>806</v>
      </c>
    </row>
    <row r="342" spans="1:22">
      <c r="A342" s="1" t="s">
        <v>362</v>
      </c>
      <c r="B342">
        <f>HYPERLINK("https://www.suredividend.com/sure-analysis-PM/","Philip Morris International Inc")</f>
        <v>0</v>
      </c>
      <c r="C342">
        <v>89.65000000000001</v>
      </c>
      <c r="D342">
        <v>97</v>
      </c>
      <c r="E342">
        <v>0.9242268041237114</v>
      </c>
      <c r="F342">
        <v>0.05577244841048522</v>
      </c>
      <c r="G342">
        <v>0.01588439241652306</v>
      </c>
      <c r="H342">
        <v>0.03</v>
      </c>
      <c r="I342">
        <v>0.09293085223149555</v>
      </c>
      <c r="J342" t="s">
        <v>372</v>
      </c>
      <c r="K342" t="s">
        <v>777</v>
      </c>
      <c r="L342">
        <v>6.04</v>
      </c>
      <c r="M342">
        <v>5</v>
      </c>
      <c r="N342">
        <v>0.8278145695364238</v>
      </c>
      <c r="O342">
        <v>14</v>
      </c>
      <c r="P342">
        <v>0.03012896281839894</v>
      </c>
      <c r="Q342">
        <v>0.232572985811269</v>
      </c>
      <c r="R342" t="s">
        <v>780</v>
      </c>
      <c r="S342" t="s">
        <v>791</v>
      </c>
      <c r="T342">
        <v>139771.98911</v>
      </c>
      <c r="U342" s="2">
        <v>44488</v>
      </c>
      <c r="V342" t="s">
        <v>795</v>
      </c>
    </row>
    <row r="343" spans="1:22">
      <c r="A343" s="1" t="s">
        <v>363</v>
      </c>
      <c r="B343">
        <f>HYPERLINK("https://www.suredividend.com/sure-analysis-LRCX/","Lam Research Corp.")</f>
        <v>0</v>
      </c>
      <c r="C343">
        <v>661.3200000000001</v>
      </c>
      <c r="D343">
        <v>615</v>
      </c>
      <c r="E343">
        <v>1.075317073170732</v>
      </c>
      <c r="F343">
        <v>0.007863061755277324</v>
      </c>
      <c r="G343">
        <v>-0.014418162245175</v>
      </c>
      <c r="H343">
        <v>0.1</v>
      </c>
      <c r="I343">
        <v>0.0914657626557307</v>
      </c>
      <c r="J343" t="s">
        <v>372</v>
      </c>
      <c r="K343" t="s">
        <v>778</v>
      </c>
      <c r="L343">
        <v>34.16</v>
      </c>
      <c r="M343">
        <v>5.2</v>
      </c>
      <c r="N343">
        <v>0.1522248243559719</v>
      </c>
      <c r="O343">
        <v>7</v>
      </c>
      <c r="P343">
        <v>0.08997698704834534</v>
      </c>
      <c r="Q343">
        <v>0.5054698115706771</v>
      </c>
      <c r="R343" t="s">
        <v>780</v>
      </c>
      <c r="S343" t="s">
        <v>786</v>
      </c>
      <c r="T343">
        <v>91054.51734999999</v>
      </c>
      <c r="U343" s="2">
        <v>44499</v>
      </c>
      <c r="V343" t="s">
        <v>797</v>
      </c>
    </row>
    <row r="344" spans="1:22">
      <c r="A344" s="1" t="s">
        <v>364</v>
      </c>
      <c r="B344">
        <f>HYPERLINK("https://www.suredividend.com/sure-analysis-HPQ/","HP Inc")</f>
        <v>0</v>
      </c>
      <c r="C344">
        <v>32.19</v>
      </c>
      <c r="D344">
        <v>36</v>
      </c>
      <c r="E344">
        <v>0.8941666666666666</v>
      </c>
      <c r="F344">
        <v>0.03106554830692762</v>
      </c>
      <c r="G344">
        <v>0.02262476252334356</v>
      </c>
      <c r="H344">
        <v>0.04</v>
      </c>
      <c r="I344">
        <v>0.09110454551498615</v>
      </c>
      <c r="J344" t="s">
        <v>372</v>
      </c>
      <c r="K344" t="s">
        <v>372</v>
      </c>
      <c r="L344">
        <v>3.59</v>
      </c>
      <c r="M344">
        <v>1</v>
      </c>
      <c r="N344">
        <v>0.2785515320334262</v>
      </c>
      <c r="O344">
        <v>11</v>
      </c>
      <c r="P344">
        <v>0.0602809527753625</v>
      </c>
      <c r="Q344">
        <v>0.5945466803166121</v>
      </c>
      <c r="R344" t="s">
        <v>780</v>
      </c>
      <c r="S344" t="s">
        <v>786</v>
      </c>
      <c r="T344">
        <v>36799.923304</v>
      </c>
      <c r="U344" s="2">
        <v>44440</v>
      </c>
      <c r="V344" t="s">
        <v>800</v>
      </c>
    </row>
    <row r="345" spans="1:22">
      <c r="A345" s="1" t="s">
        <v>365</v>
      </c>
      <c r="B345">
        <f>HYPERLINK("https://www.suredividend.com/sure-analysis-GPS/","Gap, Inc.")</f>
        <v>0</v>
      </c>
      <c r="C345">
        <v>23.51</v>
      </c>
      <c r="D345">
        <v>27.88</v>
      </c>
      <c r="E345">
        <v>0.8432568149210905</v>
      </c>
      <c r="F345">
        <v>0.02041684389621437</v>
      </c>
      <c r="G345">
        <v>0.03468470211425445</v>
      </c>
      <c r="H345">
        <v>0.04</v>
      </c>
      <c r="I345">
        <v>0.09088587569871076</v>
      </c>
      <c r="J345" t="s">
        <v>372</v>
      </c>
      <c r="K345" t="s">
        <v>513</v>
      </c>
      <c r="L345">
        <v>2.15</v>
      </c>
      <c r="M345">
        <v>0.48</v>
      </c>
      <c r="N345">
        <v>0.2232558139534884</v>
      </c>
      <c r="O345">
        <v>0</v>
      </c>
      <c r="P345">
        <v>0</v>
      </c>
      <c r="Q345">
        <v>-0.004710372381336</v>
      </c>
      <c r="R345" t="s">
        <v>780</v>
      </c>
      <c r="S345" t="s">
        <v>789</v>
      </c>
      <c r="T345">
        <v>9003.955255999999</v>
      </c>
      <c r="U345" s="2">
        <v>44460</v>
      </c>
      <c r="V345" t="s">
        <v>797</v>
      </c>
    </row>
    <row r="346" spans="1:22">
      <c r="A346" s="1" t="s">
        <v>366</v>
      </c>
      <c r="B346">
        <f>HYPERLINK("https://www.suredividend.com/sure-analysis-MPLX/","MPLX LP")</f>
        <v>0</v>
      </c>
      <c r="C346">
        <v>30.61</v>
      </c>
      <c r="D346">
        <v>29</v>
      </c>
      <c r="E346">
        <v>1.05551724137931</v>
      </c>
      <c r="F346">
        <v>0.09212675596210389</v>
      </c>
      <c r="G346">
        <v>-0.0107480075273757</v>
      </c>
      <c r="H346">
        <v>0.02</v>
      </c>
      <c r="I346">
        <v>0.08944264725411255</v>
      </c>
      <c r="J346" t="s">
        <v>372</v>
      </c>
      <c r="K346" t="s">
        <v>776</v>
      </c>
      <c r="L346">
        <v>4.1</v>
      </c>
      <c r="M346">
        <v>2.82</v>
      </c>
      <c r="N346">
        <v>0.6878048780487805</v>
      </c>
      <c r="O346">
        <v>9</v>
      </c>
      <c r="P346">
        <v>0.01977005769334617</v>
      </c>
      <c r="Q346">
        <v>0.6003665286856641</v>
      </c>
      <c r="R346" t="s">
        <v>781</v>
      </c>
      <c r="S346" t="s">
        <v>793</v>
      </c>
      <c r="T346">
        <v>30636.703686</v>
      </c>
      <c r="U346" s="2">
        <v>44509</v>
      </c>
      <c r="V346" t="s">
        <v>799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56.38</v>
      </c>
      <c r="D347">
        <v>49</v>
      </c>
      <c r="E347">
        <v>1.150612244897959</v>
      </c>
      <c r="F347">
        <v>0.009400496630010642</v>
      </c>
      <c r="G347">
        <v>-0.02766884443083684</v>
      </c>
      <c r="H347">
        <v>0.11</v>
      </c>
      <c r="I347">
        <v>0.08744792492672748</v>
      </c>
      <c r="J347" t="s">
        <v>372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0.914097080030544</v>
      </c>
      <c r="R347" t="s">
        <v>780</v>
      </c>
      <c r="S347" t="s">
        <v>787</v>
      </c>
      <c r="T347">
        <v>6297.13333</v>
      </c>
      <c r="U347" s="2">
        <v>44511</v>
      </c>
      <c r="V347" t="s">
        <v>795</v>
      </c>
    </row>
    <row r="348" spans="1:22">
      <c r="A348" s="1" t="s">
        <v>368</v>
      </c>
      <c r="B348">
        <f>HYPERLINK("https://www.suredividend.com/sure-analysis-POR/","Portland General Electric Co")</f>
        <v>0</v>
      </c>
      <c r="C348">
        <v>50.49</v>
      </c>
      <c r="D348">
        <v>52</v>
      </c>
      <c r="E348">
        <v>0.9709615384615385</v>
      </c>
      <c r="F348">
        <v>0.03406615171321054</v>
      </c>
      <c r="G348">
        <v>0.005911086270042221</v>
      </c>
      <c r="H348">
        <v>0.05</v>
      </c>
      <c r="I348">
        <v>0.08704934573292888</v>
      </c>
      <c r="J348" t="s">
        <v>372</v>
      </c>
      <c r="K348" t="s">
        <v>777</v>
      </c>
      <c r="L348">
        <v>2.78</v>
      </c>
      <c r="M348">
        <v>1.72</v>
      </c>
      <c r="N348">
        <v>0.6187050359712231</v>
      </c>
      <c r="O348">
        <v>14</v>
      </c>
      <c r="P348">
        <v>0.05983895403096029</v>
      </c>
      <c r="Q348">
        <v>0.242232972735246</v>
      </c>
      <c r="R348" t="s">
        <v>780</v>
      </c>
      <c r="S348" t="s">
        <v>792</v>
      </c>
      <c r="T348">
        <v>4520.550033</v>
      </c>
      <c r="U348" s="2">
        <v>44498</v>
      </c>
      <c r="V348" t="s">
        <v>801</v>
      </c>
    </row>
    <row r="349" spans="1:22">
      <c r="A349" s="1" t="s">
        <v>369</v>
      </c>
      <c r="B349">
        <f>HYPERLINK("https://www.suredividend.com/sure-analysis-CC/","Chemours Company")</f>
        <v>0</v>
      </c>
      <c r="C349">
        <v>33.12</v>
      </c>
      <c r="D349">
        <v>39</v>
      </c>
      <c r="E349">
        <v>0.8492307692307691</v>
      </c>
      <c r="F349">
        <v>0.03019323671497585</v>
      </c>
      <c r="G349">
        <v>0.03322488087450171</v>
      </c>
      <c r="H349">
        <v>0.03</v>
      </c>
      <c r="I349">
        <v>0.08678315990223084</v>
      </c>
      <c r="J349" t="s">
        <v>372</v>
      </c>
      <c r="K349" t="s">
        <v>372</v>
      </c>
      <c r="L349">
        <v>3.93</v>
      </c>
      <c r="M349">
        <v>1</v>
      </c>
      <c r="N349">
        <v>0.2544529262086514</v>
      </c>
      <c r="O349">
        <v>0</v>
      </c>
      <c r="P349">
        <v>0</v>
      </c>
      <c r="Q349">
        <v>0.464784903608726</v>
      </c>
      <c r="R349" t="s">
        <v>780</v>
      </c>
      <c r="S349" t="s">
        <v>788</v>
      </c>
      <c r="T349">
        <v>5268.524151</v>
      </c>
      <c r="U349" s="2">
        <v>44505</v>
      </c>
      <c r="V349" t="s">
        <v>796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115.43</v>
      </c>
      <c r="D350">
        <v>90</v>
      </c>
      <c r="E350">
        <v>1.282555555555556</v>
      </c>
      <c r="F350">
        <v>0.009876115394611451</v>
      </c>
      <c r="G350">
        <v>-0.04855264581244823</v>
      </c>
      <c r="H350">
        <v>0.13</v>
      </c>
      <c r="I350">
        <v>0.08632028591554075</v>
      </c>
      <c r="J350" t="s">
        <v>372</v>
      </c>
      <c r="K350" t="s">
        <v>778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0.027325737203478</v>
      </c>
      <c r="R350" t="s">
        <v>780</v>
      </c>
      <c r="S350" t="s">
        <v>789</v>
      </c>
      <c r="T350">
        <v>39506.033884</v>
      </c>
      <c r="U350" s="2">
        <v>44522</v>
      </c>
      <c r="V350" t="s">
        <v>803</v>
      </c>
    </row>
    <row r="351" spans="1:22">
      <c r="A351" s="1" t="s">
        <v>371</v>
      </c>
      <c r="B351">
        <f>HYPERLINK("https://www.suredividend.com/sure-analysis-IVZ/","Invesco Ltd")</f>
        <v>0</v>
      </c>
      <c r="C351">
        <v>24.46</v>
      </c>
      <c r="D351">
        <v>30</v>
      </c>
      <c r="E351">
        <v>0.8153333333333334</v>
      </c>
      <c r="F351">
        <v>0.02780049059689289</v>
      </c>
      <c r="G351">
        <v>0.04167672479894557</v>
      </c>
      <c r="H351">
        <v>0.02</v>
      </c>
      <c r="I351">
        <v>0.08505019246650014</v>
      </c>
      <c r="J351" t="s">
        <v>372</v>
      </c>
      <c r="K351" t="s">
        <v>372</v>
      </c>
      <c r="L351">
        <v>3</v>
      </c>
      <c r="M351">
        <v>0.68</v>
      </c>
      <c r="N351">
        <v>0.2266666666666667</v>
      </c>
      <c r="O351">
        <v>1</v>
      </c>
      <c r="P351">
        <v>0.02517111829582741</v>
      </c>
      <c r="Q351">
        <v>0.587975266240507</v>
      </c>
      <c r="R351" t="s">
        <v>780</v>
      </c>
      <c r="S351" t="s">
        <v>790</v>
      </c>
      <c r="T351">
        <v>11216.542493</v>
      </c>
      <c r="U351" s="2">
        <v>44505</v>
      </c>
      <c r="V351" t="s">
        <v>800</v>
      </c>
    </row>
    <row r="352" spans="1:22">
      <c r="A352" s="1" t="s">
        <v>372</v>
      </c>
      <c r="B352">
        <f>HYPERLINK("https://www.suredividend.com/sure-analysis-C/","Citigroup Inc")</f>
        <v>0</v>
      </c>
      <c r="C352">
        <v>68.06999999999999</v>
      </c>
      <c r="D352">
        <v>105</v>
      </c>
      <c r="E352">
        <v>0.6482857142857142</v>
      </c>
      <c r="F352">
        <v>0.02996914940502424</v>
      </c>
      <c r="G352">
        <v>0.0905528315118489</v>
      </c>
      <c r="H352">
        <v>-0.03</v>
      </c>
      <c r="I352">
        <v>0.08500607777349334</v>
      </c>
      <c r="J352" t="s">
        <v>372</v>
      </c>
      <c r="K352" t="s">
        <v>372</v>
      </c>
      <c r="L352">
        <v>10.5</v>
      </c>
      <c r="M352">
        <v>2.04</v>
      </c>
      <c r="N352">
        <v>0.1942857142857143</v>
      </c>
      <c r="O352">
        <v>6</v>
      </c>
      <c r="P352">
        <v>0.06000153927394081</v>
      </c>
      <c r="Q352">
        <v>0.33760312852283</v>
      </c>
      <c r="R352" t="s">
        <v>780</v>
      </c>
      <c r="S352" t="s">
        <v>790</v>
      </c>
      <c r="T352">
        <v>135875.678668</v>
      </c>
      <c r="U352" s="2">
        <v>44485</v>
      </c>
      <c r="V352" t="s">
        <v>798</v>
      </c>
    </row>
    <row r="353" spans="1:22">
      <c r="A353" s="1" t="s">
        <v>373</v>
      </c>
      <c r="B353">
        <f>HYPERLINK("https://www.suredividend.com/sure-analysis-FAF/","First American Financial Corp")</f>
        <v>0</v>
      </c>
      <c r="C353">
        <v>77.2</v>
      </c>
      <c r="D353">
        <v>82</v>
      </c>
      <c r="E353">
        <v>0.9414634146341464</v>
      </c>
      <c r="F353">
        <v>0.02512953367875647</v>
      </c>
      <c r="G353">
        <v>0.01213702110284909</v>
      </c>
      <c r="H353">
        <v>0.05</v>
      </c>
      <c r="I353">
        <v>0.08470036956676674</v>
      </c>
      <c r="J353" t="s">
        <v>372</v>
      </c>
      <c r="K353" t="s">
        <v>372</v>
      </c>
      <c r="L353">
        <v>7.48</v>
      </c>
      <c r="M353">
        <v>1.94</v>
      </c>
      <c r="N353">
        <v>0.2593582887700535</v>
      </c>
      <c r="O353">
        <v>10</v>
      </c>
      <c r="P353">
        <v>0.05034020601589084</v>
      </c>
      <c r="Q353">
        <v>0.5645595968226901</v>
      </c>
      <c r="R353" t="s">
        <v>780</v>
      </c>
      <c r="S353" t="s">
        <v>790</v>
      </c>
      <c r="T353">
        <v>8481.695008000001</v>
      </c>
      <c r="U353" s="2">
        <v>44494</v>
      </c>
      <c r="V353" t="s">
        <v>801</v>
      </c>
    </row>
    <row r="354" spans="1:22">
      <c r="A354" s="1" t="s">
        <v>374</v>
      </c>
      <c r="B354">
        <f>HYPERLINK("https://www.suredividend.com/sure-analysis-NAVI/","Navient Corp")</f>
        <v>0</v>
      </c>
      <c r="C354">
        <v>20.49</v>
      </c>
      <c r="D354">
        <v>26</v>
      </c>
      <c r="E354">
        <v>0.788076923076923</v>
      </c>
      <c r="F354">
        <v>0.0312347486578819</v>
      </c>
      <c r="G354">
        <v>0.04878454257100517</v>
      </c>
      <c r="H354">
        <v>0.01</v>
      </c>
      <c r="I354">
        <v>0.08299470135153553</v>
      </c>
      <c r="J354" t="s">
        <v>372</v>
      </c>
      <c r="K354" t="s">
        <v>372</v>
      </c>
      <c r="L354">
        <v>4.35</v>
      </c>
      <c r="M354">
        <v>0.64</v>
      </c>
      <c r="N354">
        <v>0.1471264367816092</v>
      </c>
      <c r="O354">
        <v>0</v>
      </c>
      <c r="P354">
        <v>0</v>
      </c>
      <c r="Q354">
        <v>1.205568623160658</v>
      </c>
      <c r="R354" t="s">
        <v>780</v>
      </c>
      <c r="S354" t="s">
        <v>790</v>
      </c>
      <c r="T354">
        <v>3249.23502</v>
      </c>
      <c r="U354" s="2">
        <v>44505</v>
      </c>
      <c r="V354" t="s">
        <v>800</v>
      </c>
    </row>
    <row r="355" spans="1:22">
      <c r="A355" s="1" t="s">
        <v>375</v>
      </c>
      <c r="B355">
        <f>HYPERLINK("https://www.suredividend.com/sure-analysis-ITUB/","Itau Unibanco Holding S.A.")</f>
        <v>0</v>
      </c>
      <c r="C355">
        <v>3.92</v>
      </c>
      <c r="D355">
        <v>5</v>
      </c>
      <c r="E355">
        <v>0.784</v>
      </c>
      <c r="F355">
        <v>0.02295918367346939</v>
      </c>
      <c r="G355">
        <v>0.04987304960985517</v>
      </c>
      <c r="H355">
        <v>0.015</v>
      </c>
      <c r="I355">
        <v>0.08285945837685582</v>
      </c>
      <c r="J355" t="s">
        <v>372</v>
      </c>
      <c r="K355" t="s">
        <v>513</v>
      </c>
      <c r="L355">
        <v>0.5</v>
      </c>
      <c r="M355">
        <v>0.09</v>
      </c>
      <c r="N355">
        <v>0.18</v>
      </c>
      <c r="O355">
        <v>0</v>
      </c>
      <c r="P355">
        <v>0</v>
      </c>
      <c r="Q355">
        <v>-0.081207152448936</v>
      </c>
      <c r="R355" t="s">
        <v>780</v>
      </c>
      <c r="S355" t="s">
        <v>790</v>
      </c>
      <c r="T355">
        <v>18898.795457</v>
      </c>
      <c r="U355" s="2">
        <v>44425</v>
      </c>
      <c r="V355" t="s">
        <v>797</v>
      </c>
    </row>
    <row r="356" spans="1:22">
      <c r="A356" s="1" t="s">
        <v>376</v>
      </c>
      <c r="B356">
        <f>HYPERLINK("https://www.suredividend.com/sure-analysis-ALE/","Allete, Inc.")</f>
        <v>0</v>
      </c>
      <c r="C356">
        <v>63.59</v>
      </c>
      <c r="D356">
        <v>63</v>
      </c>
      <c r="E356">
        <v>1.009365079365079</v>
      </c>
      <c r="F356">
        <v>0.03962887246422393</v>
      </c>
      <c r="G356">
        <v>-0.001862563050154309</v>
      </c>
      <c r="H356">
        <v>0.05</v>
      </c>
      <c r="I356">
        <v>0.08172278706272929</v>
      </c>
      <c r="J356" t="s">
        <v>372</v>
      </c>
      <c r="K356" t="s">
        <v>777</v>
      </c>
      <c r="L356">
        <v>3.15</v>
      </c>
      <c r="M356">
        <v>2.52</v>
      </c>
      <c r="N356">
        <v>0.8</v>
      </c>
      <c r="O356">
        <v>10</v>
      </c>
      <c r="P356">
        <v>0.02990332946790675</v>
      </c>
      <c r="Q356">
        <v>0.167667436489607</v>
      </c>
      <c r="R356" t="s">
        <v>780</v>
      </c>
      <c r="S356" t="s">
        <v>792</v>
      </c>
      <c r="T356">
        <v>3322.579851</v>
      </c>
      <c r="U356" s="2">
        <v>44513</v>
      </c>
      <c r="V356" t="s">
        <v>801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167.49</v>
      </c>
      <c r="D357">
        <v>197</v>
      </c>
      <c r="E357">
        <v>0.8502030456852793</v>
      </c>
      <c r="F357">
        <v>0.01623977550898561</v>
      </c>
      <c r="G357">
        <v>0.03298845733490596</v>
      </c>
      <c r="H357">
        <v>0.03</v>
      </c>
      <c r="I357">
        <v>0.08047716117632664</v>
      </c>
      <c r="J357" t="s">
        <v>372</v>
      </c>
      <c r="K357" t="s">
        <v>513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0.281898816483056</v>
      </c>
      <c r="R357" t="s">
        <v>780</v>
      </c>
      <c r="S357" t="s">
        <v>787</v>
      </c>
      <c r="T357">
        <v>18072.560768</v>
      </c>
      <c r="U357" s="2">
        <v>44494</v>
      </c>
      <c r="V357" t="s">
        <v>801</v>
      </c>
    </row>
    <row r="358" spans="1:22">
      <c r="A358" s="1" t="s">
        <v>378</v>
      </c>
      <c r="B358">
        <f>HYPERLINK("https://www.suredividend.com/sure-analysis-RCI/","Rogers Communications Inc.")</f>
        <v>0</v>
      </c>
      <c r="C358">
        <v>46.83</v>
      </c>
      <c r="D358">
        <v>47</v>
      </c>
      <c r="E358">
        <v>0.9963829787234042</v>
      </c>
      <c r="F358">
        <v>0.03416613282084134</v>
      </c>
      <c r="G358">
        <v>0.0007249783727965031</v>
      </c>
      <c r="H358">
        <v>0.05</v>
      </c>
      <c r="I358">
        <v>0.07972388661841534</v>
      </c>
      <c r="J358" t="s">
        <v>372</v>
      </c>
      <c r="K358" t="s">
        <v>777</v>
      </c>
      <c r="L358">
        <v>3.1</v>
      </c>
      <c r="M358">
        <v>1.6</v>
      </c>
      <c r="N358">
        <v>0.5161290322580645</v>
      </c>
      <c r="O358">
        <v>0</v>
      </c>
      <c r="P358">
        <v>0.02946206823925857</v>
      </c>
      <c r="Q358">
        <v>0.053093263639569</v>
      </c>
      <c r="R358" t="s">
        <v>780</v>
      </c>
      <c r="S358" t="s">
        <v>784</v>
      </c>
      <c r="T358">
        <v>18341.895428</v>
      </c>
      <c r="U358" s="2">
        <v>44496</v>
      </c>
      <c r="V358" t="s">
        <v>803</v>
      </c>
    </row>
    <row r="359" spans="1:22">
      <c r="A359" s="1" t="s">
        <v>379</v>
      </c>
      <c r="B359">
        <f>HYPERLINK("https://www.suredividend.com/sure-analysis-PFG/","Principal Financial Group Inc")</f>
        <v>0</v>
      </c>
      <c r="C359">
        <v>73.54000000000001</v>
      </c>
      <c r="D359">
        <v>72</v>
      </c>
      <c r="E359">
        <v>1.021388888888889</v>
      </c>
      <c r="F359">
        <v>0.03481098721784063</v>
      </c>
      <c r="G359">
        <v>-0.00422372624299161</v>
      </c>
      <c r="H359">
        <v>0.05</v>
      </c>
      <c r="I359">
        <v>0.07828789574508854</v>
      </c>
      <c r="J359" t="s">
        <v>372</v>
      </c>
      <c r="K359" t="s">
        <v>372</v>
      </c>
      <c r="L359">
        <v>6.55</v>
      </c>
      <c r="M359">
        <v>2.56</v>
      </c>
      <c r="N359">
        <v>0.3908396946564885</v>
      </c>
      <c r="O359">
        <v>15</v>
      </c>
      <c r="P359">
        <v>0.06025622492066018</v>
      </c>
      <c r="Q359">
        <v>0.5355836258203971</v>
      </c>
      <c r="R359" t="s">
        <v>780</v>
      </c>
      <c r="S359" t="s">
        <v>790</v>
      </c>
      <c r="T359">
        <v>19169.820599</v>
      </c>
      <c r="U359" s="2">
        <v>44505</v>
      </c>
      <c r="V359" t="s">
        <v>800</v>
      </c>
    </row>
    <row r="360" spans="1:22">
      <c r="A360" s="1" t="s">
        <v>380</v>
      </c>
      <c r="B360">
        <f>HYPERLINK("https://www.suredividend.com/sure-analysis-PRU/","Prudential Financial Inc.")</f>
        <v>0</v>
      </c>
      <c r="C360">
        <v>110.19</v>
      </c>
      <c r="D360">
        <v>116</v>
      </c>
      <c r="E360">
        <v>0.9499137931034483</v>
      </c>
      <c r="F360">
        <v>0.04174607496143026</v>
      </c>
      <c r="G360">
        <v>0.01032979627747976</v>
      </c>
      <c r="H360">
        <v>0.03</v>
      </c>
      <c r="I360">
        <v>0.07798048541324754</v>
      </c>
      <c r="J360" t="s">
        <v>372</v>
      </c>
      <c r="K360" t="s">
        <v>777</v>
      </c>
      <c r="L360">
        <v>14.5</v>
      </c>
      <c r="M360">
        <v>4.6</v>
      </c>
      <c r="N360">
        <v>0.3172413793103448</v>
      </c>
      <c r="O360">
        <v>13</v>
      </c>
      <c r="P360">
        <v>0.04012620718096094</v>
      </c>
      <c r="Q360">
        <v>0.511084992204162</v>
      </c>
      <c r="R360" t="s">
        <v>780</v>
      </c>
      <c r="S360" t="s">
        <v>790</v>
      </c>
      <c r="T360">
        <v>40627.44</v>
      </c>
      <c r="U360" s="2">
        <v>44509</v>
      </c>
      <c r="V360" t="s">
        <v>799</v>
      </c>
    </row>
    <row r="361" spans="1:22">
      <c r="A361" s="1" t="s">
        <v>381</v>
      </c>
      <c r="B361">
        <f>HYPERLINK("https://www.suredividend.com/sure-analysis-TM/","Toyota Motor Corporation")</f>
        <v>0</v>
      </c>
      <c r="C361">
        <v>185.06</v>
      </c>
      <c r="D361">
        <v>209</v>
      </c>
      <c r="E361">
        <v>0.8854545454545455</v>
      </c>
      <c r="F361">
        <v>0.0264778990597644</v>
      </c>
      <c r="G361">
        <v>0.02462924097030861</v>
      </c>
      <c r="H361">
        <v>0.03</v>
      </c>
      <c r="I361">
        <v>0.07589735132275566</v>
      </c>
      <c r="J361" t="s">
        <v>372</v>
      </c>
      <c r="K361" t="s">
        <v>372</v>
      </c>
      <c r="L361">
        <v>23.25</v>
      </c>
      <c r="M361">
        <v>4.9</v>
      </c>
      <c r="N361">
        <v>0.210752688172043</v>
      </c>
      <c r="O361">
        <v>2</v>
      </c>
      <c r="P361">
        <v>0</v>
      </c>
      <c r="Q361">
        <v>0.323185739991035</v>
      </c>
      <c r="R361" t="s">
        <v>780</v>
      </c>
      <c r="S361" t="s">
        <v>789</v>
      </c>
      <c r="T361">
        <v>301974.102897</v>
      </c>
      <c r="U361" s="2">
        <v>44434</v>
      </c>
      <c r="V361" t="s">
        <v>800</v>
      </c>
    </row>
    <row r="362" spans="1:22">
      <c r="A362" s="1" t="s">
        <v>382</v>
      </c>
      <c r="B362">
        <f>HYPERLINK("https://www.suredividend.com/sure-analysis-CPB/","Campbell Soup Co.")</f>
        <v>0</v>
      </c>
      <c r="C362">
        <v>41.51</v>
      </c>
      <c r="D362">
        <v>46</v>
      </c>
      <c r="E362">
        <v>0.902391304347826</v>
      </c>
      <c r="F362">
        <v>0.03565405926282823</v>
      </c>
      <c r="G362">
        <v>0.0207538336045765</v>
      </c>
      <c r="H362">
        <v>0.025</v>
      </c>
      <c r="I362">
        <v>0.07564376446332854</v>
      </c>
      <c r="J362" t="s">
        <v>372</v>
      </c>
      <c r="K362" t="s">
        <v>777</v>
      </c>
      <c r="L362">
        <v>2.8</v>
      </c>
      <c r="M362">
        <v>1.48</v>
      </c>
      <c r="N362">
        <v>0.5285714285714286</v>
      </c>
      <c r="O362">
        <v>0</v>
      </c>
      <c r="P362">
        <v>0.01444167341264735</v>
      </c>
      <c r="Q362">
        <v>-0.134392609660819</v>
      </c>
      <c r="R362" t="s">
        <v>780</v>
      </c>
      <c r="S362" t="s">
        <v>791</v>
      </c>
      <c r="T362">
        <v>12404.572793</v>
      </c>
      <c r="U362" s="2">
        <v>44453</v>
      </c>
      <c r="V362" t="s">
        <v>801</v>
      </c>
    </row>
    <row r="363" spans="1:22">
      <c r="A363" s="1" t="s">
        <v>383</v>
      </c>
      <c r="B363">
        <f>HYPERLINK("https://www.suredividend.com/sure-analysis-SAXPY/","Sampo Plc")</f>
        <v>0</v>
      </c>
      <c r="C363">
        <v>24.33</v>
      </c>
      <c r="D363">
        <v>26</v>
      </c>
      <c r="E363">
        <v>0.9357692307692307</v>
      </c>
      <c r="F363">
        <v>0.04233456637895602</v>
      </c>
      <c r="G363">
        <v>0.01336581067556386</v>
      </c>
      <c r="H363">
        <v>0.025</v>
      </c>
      <c r="I363">
        <v>0.0753113865654107</v>
      </c>
      <c r="J363" t="s">
        <v>372</v>
      </c>
      <c r="K363" t="s">
        <v>777</v>
      </c>
      <c r="L363">
        <v>23.99</v>
      </c>
      <c r="M363">
        <v>1.03</v>
      </c>
      <c r="N363">
        <v>0.0429345560650271</v>
      </c>
      <c r="O363">
        <v>0</v>
      </c>
      <c r="P363">
        <v>0.02581661126327583</v>
      </c>
      <c r="Q363">
        <v>0.157993878031551</v>
      </c>
      <c r="R363" t="s">
        <v>780</v>
      </c>
      <c r="S363" t="s">
        <v>790</v>
      </c>
      <c r="T363">
        <v>27253.187983</v>
      </c>
      <c r="U363" s="2">
        <v>44507</v>
      </c>
      <c r="V363" t="s">
        <v>796</v>
      </c>
    </row>
    <row r="364" spans="1:22">
      <c r="A364" s="1" t="s">
        <v>384</v>
      </c>
      <c r="B364">
        <f>HYPERLINK("https://www.suredividend.com/sure-analysis-KSS/","Kohl`s Corp.")</f>
        <v>0</v>
      </c>
      <c r="C364">
        <v>56.18</v>
      </c>
      <c r="D364">
        <v>74</v>
      </c>
      <c r="E364">
        <v>0.7591891891891892</v>
      </c>
      <c r="F364">
        <v>0.0177999288002848</v>
      </c>
      <c r="G364">
        <v>0.05664717671907105</v>
      </c>
      <c r="H364">
        <v>0</v>
      </c>
      <c r="I364">
        <v>0.07415657903295969</v>
      </c>
      <c r="J364" t="s">
        <v>372</v>
      </c>
      <c r="K364" t="s">
        <v>513</v>
      </c>
      <c r="L364">
        <v>6.15</v>
      </c>
      <c r="M364">
        <v>1</v>
      </c>
      <c r="N364">
        <v>0.1626016260162602</v>
      </c>
      <c r="O364">
        <v>0</v>
      </c>
      <c r="P364">
        <v>0.08009875865888949</v>
      </c>
      <c r="Q364">
        <v>1.04351885710634</v>
      </c>
      <c r="R364" t="s">
        <v>780</v>
      </c>
      <c r="S364" t="s">
        <v>789</v>
      </c>
      <c r="T364">
        <v>8664.749760999999</v>
      </c>
      <c r="U364" s="2">
        <v>44436</v>
      </c>
      <c r="V364" t="s">
        <v>798</v>
      </c>
    </row>
    <row r="365" spans="1:22">
      <c r="A365" s="1" t="s">
        <v>385</v>
      </c>
      <c r="B365">
        <f>HYPERLINK("https://www.suredividend.com/sure-analysis-COLD/","Americold Realty Trust")</f>
        <v>0</v>
      </c>
      <c r="C365">
        <v>32.12</v>
      </c>
      <c r="D365">
        <v>30</v>
      </c>
      <c r="E365">
        <v>1.070666666666667</v>
      </c>
      <c r="F365">
        <v>0.0273972602739726</v>
      </c>
      <c r="G365">
        <v>-0.01356347722396567</v>
      </c>
      <c r="H365">
        <v>0.06</v>
      </c>
      <c r="I365">
        <v>0.07065087993754293</v>
      </c>
      <c r="J365" t="s">
        <v>372</v>
      </c>
      <c r="K365" t="s">
        <v>372</v>
      </c>
      <c r="L365">
        <v>1.18</v>
      </c>
      <c r="M365">
        <v>0.88</v>
      </c>
      <c r="N365">
        <v>0.7457627118644068</v>
      </c>
      <c r="O365">
        <v>3</v>
      </c>
      <c r="P365">
        <v>0.04563955259127317</v>
      </c>
      <c r="Q365">
        <v>-0.039475644272307</v>
      </c>
      <c r="R365" t="s">
        <v>782</v>
      </c>
      <c r="S365" t="s">
        <v>794</v>
      </c>
      <c r="T365">
        <v>8600.647552</v>
      </c>
      <c r="U365" s="2">
        <v>44513</v>
      </c>
      <c r="V365" t="s">
        <v>795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33.2</v>
      </c>
      <c r="D366">
        <v>33</v>
      </c>
      <c r="E366">
        <v>1.006060606060606</v>
      </c>
      <c r="F366">
        <v>0.02259036144578313</v>
      </c>
      <c r="G366">
        <v>-0.001207732993960375</v>
      </c>
      <c r="H366">
        <v>0.05</v>
      </c>
      <c r="I366">
        <v>0.07010957289204001</v>
      </c>
      <c r="J366" t="s">
        <v>372</v>
      </c>
      <c r="K366" t="s">
        <v>513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0.384374066956269</v>
      </c>
      <c r="R366" t="s">
        <v>780</v>
      </c>
      <c r="S366" t="s">
        <v>788</v>
      </c>
      <c r="T366">
        <v>7177.572422</v>
      </c>
      <c r="U366" s="2">
        <v>44503</v>
      </c>
      <c r="V366" t="s">
        <v>795</v>
      </c>
    </row>
    <row r="367" spans="1:22">
      <c r="A367" s="1" t="s">
        <v>387</v>
      </c>
      <c r="B367">
        <f>HYPERLINK("https://www.suredividend.com/sure-analysis-MA/","Mastercard Incorporated")</f>
        <v>0</v>
      </c>
      <c r="C367">
        <v>329</v>
      </c>
      <c r="D367">
        <v>222</v>
      </c>
      <c r="E367">
        <v>1.481981981981982</v>
      </c>
      <c r="F367">
        <v>0.005349544072948328</v>
      </c>
      <c r="G367">
        <v>-0.07566070630962551</v>
      </c>
      <c r="H367">
        <v>0.15</v>
      </c>
      <c r="I367">
        <v>0.06940961674022605</v>
      </c>
      <c r="J367" t="s">
        <v>372</v>
      </c>
      <c r="K367" t="s">
        <v>778</v>
      </c>
      <c r="L367">
        <v>8.24</v>
      </c>
      <c r="M367">
        <v>1.76</v>
      </c>
      <c r="N367">
        <v>0.2135922330097087</v>
      </c>
      <c r="O367">
        <v>10</v>
      </c>
      <c r="P367">
        <v>0.1500007374307972</v>
      </c>
      <c r="Q367">
        <v>-0.00155996544459</v>
      </c>
      <c r="R367" t="s">
        <v>780</v>
      </c>
      <c r="S367" t="s">
        <v>790</v>
      </c>
      <c r="T367">
        <v>313174.034151</v>
      </c>
      <c r="U367" s="2">
        <v>44499</v>
      </c>
      <c r="V367" t="s">
        <v>796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84.31</v>
      </c>
      <c r="D368">
        <v>79.59999999999999</v>
      </c>
      <c r="E368">
        <v>1.059170854271357</v>
      </c>
      <c r="F368">
        <v>0.03700628632427944</v>
      </c>
      <c r="G368">
        <v>-0.0114314366910635</v>
      </c>
      <c r="H368">
        <v>0.049</v>
      </c>
      <c r="I368">
        <v>0.06881927505312535</v>
      </c>
      <c r="J368" t="s">
        <v>372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0.05863028561669201</v>
      </c>
      <c r="R368" t="s">
        <v>780</v>
      </c>
      <c r="S368" t="s">
        <v>792</v>
      </c>
      <c r="T368">
        <v>42457.836371</v>
      </c>
      <c r="U368" s="2">
        <v>44503</v>
      </c>
      <c r="V368" t="s">
        <v>805</v>
      </c>
    </row>
    <row r="369" spans="1:22">
      <c r="A369" s="1" t="s">
        <v>389</v>
      </c>
      <c r="B369">
        <f>HYPERLINK("https://www.suredividend.com/sure-analysis-APLE/","Apple Hospitality REIT Inc")</f>
        <v>0</v>
      </c>
      <c r="C369">
        <v>15.81</v>
      </c>
      <c r="D369">
        <v>18.3</v>
      </c>
      <c r="E369">
        <v>0.8639344262295082</v>
      </c>
      <c r="F369">
        <v>0.002530044275774826</v>
      </c>
      <c r="G369">
        <v>0.02968371443954254</v>
      </c>
      <c r="H369">
        <v>0.018</v>
      </c>
      <c r="I369">
        <v>0.06795450561190375</v>
      </c>
      <c r="J369" t="s">
        <v>372</v>
      </c>
      <c r="K369" t="s">
        <v>778</v>
      </c>
      <c r="L369">
        <v>0.87</v>
      </c>
      <c r="M369">
        <v>0.04</v>
      </c>
      <c r="N369">
        <v>0.04597701149425287</v>
      </c>
      <c r="O369">
        <v>0</v>
      </c>
      <c r="P369">
        <v>0.888175022589804</v>
      </c>
      <c r="Q369">
        <v>0.227942157255059</v>
      </c>
      <c r="R369" t="s">
        <v>782</v>
      </c>
      <c r="S369" t="s">
        <v>794</v>
      </c>
      <c r="T369">
        <v>3573.743449</v>
      </c>
      <c r="U369" s="2">
        <v>44509</v>
      </c>
      <c r="V369" t="s">
        <v>805</v>
      </c>
    </row>
    <row r="370" spans="1:22">
      <c r="A370" s="1" t="s">
        <v>390</v>
      </c>
      <c r="B370">
        <f>HYPERLINK("https://www.suredividend.com/sure-analysis-GEO/","Geo Group, Inc.")</f>
        <v>0</v>
      </c>
      <c r="C370">
        <v>9.06</v>
      </c>
      <c r="D370">
        <v>11.61</v>
      </c>
      <c r="E370">
        <v>0.7803617571059432</v>
      </c>
      <c r="F370">
        <v>0.02759381898454746</v>
      </c>
      <c r="G370">
        <v>0.05085018352014292</v>
      </c>
      <c r="H370">
        <v>-0.05</v>
      </c>
      <c r="I370">
        <v>0.06704643234538077</v>
      </c>
      <c r="J370" t="s">
        <v>372</v>
      </c>
      <c r="K370" t="s">
        <v>372</v>
      </c>
      <c r="L370">
        <v>2.58</v>
      </c>
      <c r="M370">
        <v>0.25</v>
      </c>
      <c r="N370">
        <v>0.09689922480620154</v>
      </c>
      <c r="O370">
        <v>0</v>
      </c>
      <c r="P370">
        <v>0.3707841442227291</v>
      </c>
      <c r="Q370">
        <v>-0.010559121271889</v>
      </c>
      <c r="R370" t="s">
        <v>782</v>
      </c>
      <c r="S370" t="s">
        <v>794</v>
      </c>
      <c r="T370">
        <v>1112.617083</v>
      </c>
      <c r="U370" s="2">
        <v>44508</v>
      </c>
      <c r="V370" t="s">
        <v>795</v>
      </c>
    </row>
    <row r="371" spans="1:22">
      <c r="A371" s="1" t="s">
        <v>391</v>
      </c>
      <c r="B371">
        <f>HYPERLINK("https://www.suredividend.com/sure-analysis-VIAC/","ViacomCBS Inc")</f>
        <v>0</v>
      </c>
      <c r="C371">
        <v>32.95</v>
      </c>
      <c r="D371">
        <v>36</v>
      </c>
      <c r="E371">
        <v>0.9152777777777779</v>
      </c>
      <c r="F371">
        <v>0.02913505311077389</v>
      </c>
      <c r="G371">
        <v>0.01786320767736682</v>
      </c>
      <c r="H371">
        <v>0.02</v>
      </c>
      <c r="I371">
        <v>0.06587527443386132</v>
      </c>
      <c r="J371" t="s">
        <v>372</v>
      </c>
      <c r="K371" t="s">
        <v>372</v>
      </c>
      <c r="L371">
        <v>3.64</v>
      </c>
      <c r="M371">
        <v>0.96</v>
      </c>
      <c r="N371">
        <v>0.2637362637362637</v>
      </c>
      <c r="O371">
        <v>1</v>
      </c>
      <c r="P371">
        <v>0.05081623913789235</v>
      </c>
      <c r="Q371">
        <v>0.007900327853088</v>
      </c>
      <c r="R371" t="s">
        <v>780</v>
      </c>
      <c r="S371" t="s">
        <v>784</v>
      </c>
      <c r="T371">
        <v>21832.312194</v>
      </c>
      <c r="U371" s="2">
        <v>44513</v>
      </c>
      <c r="V371" t="s">
        <v>797</v>
      </c>
    </row>
    <row r="372" spans="1:22">
      <c r="A372" s="1" t="s">
        <v>392</v>
      </c>
      <c r="B372">
        <f>HYPERLINK("https://www.suredividend.com/sure-analysis-FLO/","Flowers Foods, Inc.")</f>
        <v>0</v>
      </c>
      <c r="C372">
        <v>26.97</v>
      </c>
      <c r="D372">
        <v>25</v>
      </c>
      <c r="E372">
        <v>1.0788</v>
      </c>
      <c r="F372">
        <v>0.03114571746384872</v>
      </c>
      <c r="G372">
        <v>-0.01505537972007265</v>
      </c>
      <c r="H372">
        <v>0.05</v>
      </c>
      <c r="I372">
        <v>0.06414378189651493</v>
      </c>
      <c r="J372" t="s">
        <v>372</v>
      </c>
      <c r="K372" t="s">
        <v>777</v>
      </c>
      <c r="L372">
        <v>1.24</v>
      </c>
      <c r="M372">
        <v>0.84</v>
      </c>
      <c r="N372">
        <v>0.6774193548387096</v>
      </c>
      <c r="O372">
        <v>19</v>
      </c>
      <c r="P372">
        <v>0.05154749679728043</v>
      </c>
      <c r="Q372">
        <v>0.243927948866937</v>
      </c>
      <c r="R372" t="s">
        <v>780</v>
      </c>
      <c r="S372" t="s">
        <v>791</v>
      </c>
      <c r="T372">
        <v>5656.92434</v>
      </c>
      <c r="U372" s="2">
        <v>44513</v>
      </c>
      <c r="V372" t="s">
        <v>799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21.4</v>
      </c>
      <c r="D373">
        <v>24</v>
      </c>
      <c r="E373">
        <v>0.8916666666666666</v>
      </c>
      <c r="F373">
        <v>0.01121495327102804</v>
      </c>
      <c r="G373">
        <v>0.02319755494530495</v>
      </c>
      <c r="H373">
        <v>0.03</v>
      </c>
      <c r="I373">
        <v>0.06410765263097651</v>
      </c>
      <c r="J373" t="s">
        <v>372</v>
      </c>
      <c r="K373" t="s">
        <v>778</v>
      </c>
      <c r="L373">
        <v>1.68</v>
      </c>
      <c r="M373">
        <v>0.24</v>
      </c>
      <c r="N373">
        <v>0.1428571428571428</v>
      </c>
      <c r="O373">
        <v>0</v>
      </c>
      <c r="P373">
        <v>0.04563955259127317</v>
      </c>
      <c r="Q373">
        <v>0.357608249538272</v>
      </c>
      <c r="R373" t="s">
        <v>780</v>
      </c>
      <c r="S373" t="s">
        <v>787</v>
      </c>
      <c r="T373">
        <v>7598.493947</v>
      </c>
      <c r="U373" s="2">
        <v>44504</v>
      </c>
      <c r="V373" t="s">
        <v>800</v>
      </c>
    </row>
    <row r="374" spans="1:22">
      <c r="A374" s="1" t="s">
        <v>394</v>
      </c>
      <c r="B374">
        <f>HYPERLINK("https://www.suredividend.com/sure-analysis-SO/","Southern Company")</f>
        <v>0</v>
      </c>
      <c r="C374">
        <v>63.01</v>
      </c>
      <c r="D374">
        <v>56</v>
      </c>
      <c r="E374">
        <v>1.125178571428571</v>
      </c>
      <c r="F374">
        <v>0.04189811141088717</v>
      </c>
      <c r="G374">
        <v>-0.02331232012847251</v>
      </c>
      <c r="H374">
        <v>0.05</v>
      </c>
      <c r="I374">
        <v>0.0639562949227519</v>
      </c>
      <c r="J374" t="s">
        <v>372</v>
      </c>
      <c r="K374" t="s">
        <v>777</v>
      </c>
      <c r="L374">
        <v>3.38</v>
      </c>
      <c r="M374">
        <v>2.64</v>
      </c>
      <c r="N374">
        <v>0.7810650887573966</v>
      </c>
      <c r="O374">
        <v>20</v>
      </c>
      <c r="P374">
        <v>0.02996744995959233</v>
      </c>
      <c r="Q374">
        <v>0.08040751492578101</v>
      </c>
      <c r="R374" t="s">
        <v>780</v>
      </c>
      <c r="S374" t="s">
        <v>792</v>
      </c>
      <c r="T374">
        <v>66894.824125</v>
      </c>
      <c r="U374" s="2">
        <v>44512</v>
      </c>
      <c r="V374" t="s">
        <v>803</v>
      </c>
    </row>
    <row r="375" spans="1:22">
      <c r="A375" s="1" t="s">
        <v>395</v>
      </c>
      <c r="B375">
        <f>HYPERLINK("https://www.suredividend.com/sure-analysis-GIS/","General Mills, Inc.")</f>
        <v>0</v>
      </c>
      <c r="C375">
        <v>63.44</v>
      </c>
      <c r="D375">
        <v>65</v>
      </c>
      <c r="E375">
        <v>0.976</v>
      </c>
      <c r="F375">
        <v>0.03310214375788147</v>
      </c>
      <c r="G375">
        <v>0.00487036034991517</v>
      </c>
      <c r="H375">
        <v>0.03</v>
      </c>
      <c r="I375">
        <v>0.06383893679388541</v>
      </c>
      <c r="J375" t="s">
        <v>372</v>
      </c>
      <c r="K375" t="s">
        <v>777</v>
      </c>
      <c r="L375">
        <v>3.8</v>
      </c>
      <c r="M375">
        <v>2.1</v>
      </c>
      <c r="N375">
        <v>0.5526315789473685</v>
      </c>
      <c r="O375">
        <v>1</v>
      </c>
      <c r="P375">
        <v>0.0183608813392091</v>
      </c>
      <c r="Q375">
        <v>0.051004120109981</v>
      </c>
      <c r="R375" t="s">
        <v>780</v>
      </c>
      <c r="S375" t="s">
        <v>791</v>
      </c>
      <c r="T375">
        <v>38085.941382</v>
      </c>
      <c r="U375" s="2">
        <v>44461</v>
      </c>
      <c r="V375" t="s">
        <v>803</v>
      </c>
    </row>
    <row r="376" spans="1:22">
      <c r="A376" s="1" t="s">
        <v>396</v>
      </c>
      <c r="B376">
        <f>HYPERLINK("https://www.suredividend.com/sure-analysis-GLOP/","Gaslog Partners LP")</f>
        <v>0</v>
      </c>
      <c r="C376">
        <v>5.12</v>
      </c>
      <c r="D376">
        <v>5.25</v>
      </c>
      <c r="E376">
        <v>0.9752380952380952</v>
      </c>
      <c r="F376">
        <v>0.0078125</v>
      </c>
      <c r="G376">
        <v>0.005027322300771297</v>
      </c>
      <c r="H376">
        <v>0.05</v>
      </c>
      <c r="I376">
        <v>0.06324524930087927</v>
      </c>
      <c r="J376" t="s">
        <v>372</v>
      </c>
      <c r="K376" t="s">
        <v>513</v>
      </c>
      <c r="L376">
        <v>1.25</v>
      </c>
      <c r="M376">
        <v>0.04</v>
      </c>
      <c r="N376">
        <v>0.032</v>
      </c>
      <c r="O376">
        <v>0</v>
      </c>
      <c r="P376">
        <v>0.08447177119769855</v>
      </c>
      <c r="Q376">
        <v>1.013104918291624</v>
      </c>
      <c r="R376" t="s">
        <v>780</v>
      </c>
      <c r="S376" t="s">
        <v>793</v>
      </c>
      <c r="T376">
        <v>242.340902</v>
      </c>
      <c r="U376" s="2">
        <v>44498</v>
      </c>
      <c r="V376" t="s">
        <v>795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69.90000000000001</v>
      </c>
      <c r="D377">
        <v>64</v>
      </c>
      <c r="E377">
        <v>1.0921875</v>
      </c>
      <c r="F377">
        <v>0.04220314735336195</v>
      </c>
      <c r="G377">
        <v>-0.01748190015667739</v>
      </c>
      <c r="H377">
        <v>0.04</v>
      </c>
      <c r="I377">
        <v>0.06155069355637388</v>
      </c>
      <c r="J377" t="s">
        <v>372</v>
      </c>
      <c r="K377" t="s">
        <v>777</v>
      </c>
      <c r="L377">
        <v>3.58</v>
      </c>
      <c r="M377">
        <v>2.95</v>
      </c>
      <c r="N377">
        <v>0.8240223463687151</v>
      </c>
      <c r="O377">
        <v>26</v>
      </c>
      <c r="P377">
        <v>0.03478281035457087</v>
      </c>
      <c r="Q377">
        <v>0.221769586941981</v>
      </c>
      <c r="R377" t="s">
        <v>782</v>
      </c>
      <c r="S377" t="s">
        <v>794</v>
      </c>
      <c r="T377">
        <v>28573.80877</v>
      </c>
      <c r="U377" s="2">
        <v>44507</v>
      </c>
      <c r="V377" t="s">
        <v>800</v>
      </c>
    </row>
    <row r="378" spans="1:22">
      <c r="A378" s="1" t="s">
        <v>398</v>
      </c>
      <c r="B378">
        <f>HYPERLINK("https://www.suredividend.com/sure-analysis-OKE/","Oneok Inc.")</f>
        <v>0</v>
      </c>
      <c r="C378">
        <v>64.01000000000001</v>
      </c>
      <c r="D378">
        <v>57</v>
      </c>
      <c r="E378">
        <v>1.122982456140351</v>
      </c>
      <c r="F378">
        <v>0.05842837056709889</v>
      </c>
      <c r="G378">
        <v>-0.02293061463513824</v>
      </c>
      <c r="H378">
        <v>0.03</v>
      </c>
      <c r="I378">
        <v>0.06067560856996446</v>
      </c>
      <c r="J378" t="s">
        <v>372</v>
      </c>
      <c r="K378" t="s">
        <v>776</v>
      </c>
      <c r="L378">
        <v>5.15</v>
      </c>
      <c r="M378">
        <v>3.74</v>
      </c>
      <c r="N378">
        <v>0.7262135922330097</v>
      </c>
      <c r="O378">
        <v>18</v>
      </c>
      <c r="P378">
        <v>0.02003644710053942</v>
      </c>
      <c r="Q378">
        <v>1.021263403841509</v>
      </c>
      <c r="R378" t="s">
        <v>780</v>
      </c>
      <c r="S378" t="s">
        <v>793</v>
      </c>
      <c r="T378">
        <v>27621.319384</v>
      </c>
      <c r="U378" s="2">
        <v>44506</v>
      </c>
      <c r="V378" t="s">
        <v>800</v>
      </c>
    </row>
    <row r="379" spans="1:22">
      <c r="A379" s="1" t="s">
        <v>399</v>
      </c>
      <c r="B379">
        <f>HYPERLINK("https://www.suredividend.com/sure-analysis-KLAC/","KLA Corp.")</f>
        <v>0</v>
      </c>
      <c r="C379">
        <v>411.98</v>
      </c>
      <c r="D379">
        <v>357</v>
      </c>
      <c r="E379">
        <v>1.154005602240896</v>
      </c>
      <c r="F379">
        <v>0.01019466964415748</v>
      </c>
      <c r="G379">
        <v>-0.02824134681016433</v>
      </c>
      <c r="H379">
        <v>0.08</v>
      </c>
      <c r="I379">
        <v>0.06054642753538286</v>
      </c>
      <c r="J379" t="s">
        <v>372</v>
      </c>
      <c r="K379" t="s">
        <v>513</v>
      </c>
      <c r="L379">
        <v>21</v>
      </c>
      <c r="M379">
        <v>4.2</v>
      </c>
      <c r="N379">
        <v>0.2</v>
      </c>
      <c r="O379">
        <v>12</v>
      </c>
      <c r="P379">
        <v>0.09986525071768737</v>
      </c>
      <c r="Q379">
        <v>0.701050489380423</v>
      </c>
      <c r="R379" t="s">
        <v>780</v>
      </c>
      <c r="S379" t="s">
        <v>786</v>
      </c>
      <c r="T379">
        <v>61846.681104</v>
      </c>
      <c r="U379" s="2">
        <v>44508</v>
      </c>
      <c r="V379" t="s">
        <v>800</v>
      </c>
    </row>
    <row r="380" spans="1:22">
      <c r="A380" s="1" t="s">
        <v>400</v>
      </c>
      <c r="B380">
        <f>HYPERLINK("https://www.suredividend.com/sure-analysis-WRK/","WestRock Co")</f>
        <v>0</v>
      </c>
      <c r="C380">
        <v>47.99</v>
      </c>
      <c r="D380">
        <v>52</v>
      </c>
      <c r="E380">
        <v>0.9228846153846154</v>
      </c>
      <c r="F380">
        <v>0.02083767451552407</v>
      </c>
      <c r="G380">
        <v>0.01617970909165067</v>
      </c>
      <c r="H380">
        <v>0.02</v>
      </c>
      <c r="I380">
        <v>0.05843899262446195</v>
      </c>
      <c r="J380" t="s">
        <v>372</v>
      </c>
      <c r="K380" t="s">
        <v>513</v>
      </c>
      <c r="L380">
        <v>4.7</v>
      </c>
      <c r="M380">
        <v>1</v>
      </c>
      <c r="N380">
        <v>0.2127659574468085</v>
      </c>
      <c r="O380">
        <v>1</v>
      </c>
      <c r="P380">
        <v>0.08009875865888949</v>
      </c>
      <c r="Q380">
        <v>0.161421692095384</v>
      </c>
      <c r="R380" t="s">
        <v>780</v>
      </c>
      <c r="S380" t="s">
        <v>789</v>
      </c>
      <c r="T380">
        <v>12757.17428</v>
      </c>
      <c r="U380" s="2">
        <v>44524</v>
      </c>
      <c r="V380" t="s">
        <v>803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53.87</v>
      </c>
      <c r="D381">
        <v>42</v>
      </c>
      <c r="E381">
        <v>1.282619047619048</v>
      </c>
      <c r="F381">
        <v>0.03192871728234639</v>
      </c>
      <c r="G381">
        <v>-0.04856206568690269</v>
      </c>
      <c r="H381">
        <v>0.075</v>
      </c>
      <c r="I381">
        <v>0.0573741915049486</v>
      </c>
      <c r="J381" t="s">
        <v>372</v>
      </c>
      <c r="K381" t="s">
        <v>372</v>
      </c>
      <c r="L381">
        <v>2.1</v>
      </c>
      <c r="M381">
        <v>1.72</v>
      </c>
      <c r="N381">
        <v>0.819047619047619</v>
      </c>
      <c r="O381">
        <v>12</v>
      </c>
      <c r="P381">
        <v>0.08023542380212056</v>
      </c>
      <c r="Q381">
        <v>0.6733129790018071</v>
      </c>
      <c r="R381" t="s">
        <v>782</v>
      </c>
      <c r="S381" t="s">
        <v>794</v>
      </c>
      <c r="T381">
        <v>11752.323932</v>
      </c>
      <c r="U381" s="2">
        <v>44507</v>
      </c>
      <c r="V381" t="s">
        <v>795</v>
      </c>
    </row>
    <row r="382" spans="1:22">
      <c r="A382" s="1" t="s">
        <v>402</v>
      </c>
      <c r="B382">
        <f>HYPERLINK("https://www.suredividend.com/sure-analysis-BK/","Bank Of New York Mellon Corp")</f>
        <v>0</v>
      </c>
      <c r="C382">
        <v>59.01</v>
      </c>
      <c r="D382">
        <v>52</v>
      </c>
      <c r="E382">
        <v>1.134807692307692</v>
      </c>
      <c r="F382">
        <v>0.02304694119640739</v>
      </c>
      <c r="G382">
        <v>-0.02497546139162288</v>
      </c>
      <c r="H382">
        <v>0.06</v>
      </c>
      <c r="I382">
        <v>0.05661057563233451</v>
      </c>
      <c r="J382" t="s">
        <v>372</v>
      </c>
      <c r="K382" t="s">
        <v>513</v>
      </c>
      <c r="L382">
        <v>4.15</v>
      </c>
      <c r="M382">
        <v>1.36</v>
      </c>
      <c r="N382">
        <v>0.327710843373494</v>
      </c>
      <c r="O382">
        <v>11</v>
      </c>
      <c r="P382">
        <v>0.06000153927394081</v>
      </c>
      <c r="Q382">
        <v>0.5782381537243541</v>
      </c>
      <c r="R382" t="s">
        <v>780</v>
      </c>
      <c r="S382" t="s">
        <v>790</v>
      </c>
      <c r="T382">
        <v>48071.044077</v>
      </c>
      <c r="U382" s="2">
        <v>44491</v>
      </c>
      <c r="V382" t="s">
        <v>798</v>
      </c>
    </row>
    <row r="383" spans="1:22">
      <c r="A383" s="1" t="s">
        <v>403</v>
      </c>
      <c r="B383">
        <f>HYPERLINK("https://www.suredividend.com/sure-analysis-ASML/","ASML Holding NV")</f>
        <v>0</v>
      </c>
      <c r="C383">
        <v>807.48</v>
      </c>
      <c r="D383">
        <v>583</v>
      </c>
      <c r="E383">
        <v>1.385042881646655</v>
      </c>
      <c r="F383">
        <v>0.005176598801208698</v>
      </c>
      <c r="G383">
        <v>-0.06306954472969617</v>
      </c>
      <c r="H383">
        <v>0.12</v>
      </c>
      <c r="I383">
        <v>0.05590179173931498</v>
      </c>
      <c r="J383" t="s">
        <v>372</v>
      </c>
      <c r="K383" t="s">
        <v>778</v>
      </c>
      <c r="L383">
        <v>15.75</v>
      </c>
      <c r="M383">
        <v>4.18</v>
      </c>
      <c r="N383">
        <v>0.2653968253968254</v>
      </c>
      <c r="O383">
        <v>6</v>
      </c>
      <c r="P383">
        <v>0.1500691206588143</v>
      </c>
      <c r="Q383">
        <v>0.9601820150362511</v>
      </c>
      <c r="R383" t="s">
        <v>780</v>
      </c>
      <c r="S383" t="s">
        <v>786</v>
      </c>
      <c r="T383">
        <v>341306.580294</v>
      </c>
      <c r="U383" s="2">
        <v>44494</v>
      </c>
      <c r="V383" t="s">
        <v>798</v>
      </c>
    </row>
    <row r="384" spans="1:22">
      <c r="A384" s="1" t="s">
        <v>404</v>
      </c>
      <c r="B384">
        <f>HYPERLINK("https://www.suredividend.com/sure-analysis-DDAIF/","Daimler AG")</f>
        <v>0</v>
      </c>
      <c r="C384">
        <v>101.61</v>
      </c>
      <c r="D384">
        <v>113</v>
      </c>
      <c r="E384">
        <v>0.8992035398230088</v>
      </c>
      <c r="F384">
        <v>0.01564806613522291</v>
      </c>
      <c r="G384">
        <v>0.02147654394007636</v>
      </c>
      <c r="H384">
        <v>0.02</v>
      </c>
      <c r="I384">
        <v>0.0558415537471324</v>
      </c>
      <c r="J384" t="s">
        <v>372</v>
      </c>
      <c r="K384" t="s">
        <v>513</v>
      </c>
      <c r="L384">
        <v>14.1</v>
      </c>
      <c r="M384">
        <v>1.59</v>
      </c>
      <c r="N384">
        <v>0.1127659574468085</v>
      </c>
      <c r="O384">
        <v>1</v>
      </c>
      <c r="P384">
        <v>0.02512087219852699</v>
      </c>
      <c r="Q384">
        <v>0.547832699619771</v>
      </c>
      <c r="R384" t="s">
        <v>780</v>
      </c>
      <c r="S384" t="s">
        <v>789</v>
      </c>
      <c r="T384">
        <v>108877.356981</v>
      </c>
      <c r="U384" s="2">
        <v>44498</v>
      </c>
      <c r="V384" t="s">
        <v>800</v>
      </c>
    </row>
    <row r="385" spans="1:22">
      <c r="A385" s="1" t="s">
        <v>405</v>
      </c>
      <c r="B385">
        <f>HYPERLINK("https://www.suredividend.com/sure-analysis-AON/","Aon plc.")</f>
        <v>0</v>
      </c>
      <c r="C385">
        <v>297</v>
      </c>
      <c r="D385">
        <v>233</v>
      </c>
      <c r="E385">
        <v>1.274678111587983</v>
      </c>
      <c r="F385">
        <v>0.006868686868686869</v>
      </c>
      <c r="G385">
        <v>-0.04737956311192359</v>
      </c>
      <c r="H385">
        <v>0.1</v>
      </c>
      <c r="I385">
        <v>0.05564632461393471</v>
      </c>
      <c r="J385" t="s">
        <v>372</v>
      </c>
      <c r="K385" t="s">
        <v>778</v>
      </c>
      <c r="L385">
        <v>11.65</v>
      </c>
      <c r="M385">
        <v>2.04</v>
      </c>
      <c r="N385">
        <v>0.1751072961373391</v>
      </c>
      <c r="O385">
        <v>10</v>
      </c>
      <c r="P385">
        <v>0.1101602038533911</v>
      </c>
      <c r="Q385">
        <v>0.5145427149445231</v>
      </c>
      <c r="R385" t="s">
        <v>780</v>
      </c>
      <c r="S385" t="s">
        <v>790</v>
      </c>
      <c r="T385">
        <v>65775.833163</v>
      </c>
      <c r="U385" s="2">
        <v>44519</v>
      </c>
      <c r="V385" t="s">
        <v>798</v>
      </c>
    </row>
    <row r="386" spans="1:22">
      <c r="A386" s="1" t="s">
        <v>406</v>
      </c>
      <c r="B386">
        <f>HYPERLINK("https://www.suredividend.com/sure-analysis-PKX/","Posco")</f>
        <v>0</v>
      </c>
      <c r="C386">
        <v>59.9</v>
      </c>
      <c r="D386">
        <v>90</v>
      </c>
      <c r="E386">
        <v>0.6655555555555556</v>
      </c>
      <c r="F386">
        <v>0.02921535893155259</v>
      </c>
      <c r="G386">
        <v>0.08483362372110004</v>
      </c>
      <c r="H386">
        <v>-0.05</v>
      </c>
      <c r="I386">
        <v>0.05527848419159276</v>
      </c>
      <c r="J386" t="s">
        <v>372</v>
      </c>
      <c r="K386" t="s">
        <v>372</v>
      </c>
      <c r="L386">
        <v>9</v>
      </c>
      <c r="M386">
        <v>1.75</v>
      </c>
      <c r="N386">
        <v>0.1944444444444444</v>
      </c>
      <c r="O386">
        <v>0</v>
      </c>
      <c r="P386">
        <v>0</v>
      </c>
      <c r="Q386">
        <v>0.14499968980706</v>
      </c>
      <c r="R386" t="s">
        <v>780</v>
      </c>
      <c r="S386" t="s">
        <v>788</v>
      </c>
      <c r="T386">
        <v>20597.0179</v>
      </c>
      <c r="U386" s="2">
        <v>44509</v>
      </c>
      <c r="V386" t="s">
        <v>795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51.4</v>
      </c>
      <c r="D387">
        <v>50</v>
      </c>
      <c r="E387">
        <v>1.028</v>
      </c>
      <c r="F387">
        <v>0.01556420233463035</v>
      </c>
      <c r="G387">
        <v>-0.005507809497869887</v>
      </c>
      <c r="H387">
        <v>0.04</v>
      </c>
      <c r="I387">
        <v>0.05456053772632297</v>
      </c>
      <c r="J387" t="s">
        <v>372</v>
      </c>
      <c r="K387" t="s">
        <v>513</v>
      </c>
      <c r="L387">
        <v>4.35</v>
      </c>
      <c r="M387">
        <v>0.8</v>
      </c>
      <c r="N387">
        <v>0.1839080459770115</v>
      </c>
      <c r="O387">
        <v>0</v>
      </c>
      <c r="P387">
        <v>0.1501306516611158</v>
      </c>
      <c r="Q387">
        <v>1.002593744778696</v>
      </c>
      <c r="R387" t="s">
        <v>780</v>
      </c>
      <c r="S387" t="s">
        <v>790</v>
      </c>
      <c r="T387">
        <v>206716.705224</v>
      </c>
      <c r="U387" s="2">
        <v>44485</v>
      </c>
      <c r="V387" t="s">
        <v>798</v>
      </c>
    </row>
    <row r="388" spans="1:22">
      <c r="A388" s="1" t="s">
        <v>408</v>
      </c>
      <c r="B388">
        <f>HYPERLINK("https://www.suredividend.com/sure-analysis-R/","Ryder System, Inc.")</f>
        <v>0</v>
      </c>
      <c r="C388">
        <v>87.08</v>
      </c>
      <c r="D388">
        <v>101</v>
      </c>
      <c r="E388">
        <v>0.8621782178217822</v>
      </c>
      <c r="F388">
        <v>0.0266421681212678</v>
      </c>
      <c r="G388">
        <v>0.03010285460417017</v>
      </c>
      <c r="H388">
        <v>0</v>
      </c>
      <c r="I388">
        <v>0.05341474100702537</v>
      </c>
      <c r="J388" t="s">
        <v>372</v>
      </c>
      <c r="K388" t="s">
        <v>372</v>
      </c>
      <c r="L388">
        <v>8.449999999999999</v>
      </c>
      <c r="M388">
        <v>2.32</v>
      </c>
      <c r="N388">
        <v>0.2745562130177515</v>
      </c>
      <c r="O388">
        <v>17</v>
      </c>
      <c r="P388">
        <v>0.01013720758985226</v>
      </c>
      <c r="Q388">
        <v>0.579792487846688</v>
      </c>
      <c r="R388" t="s">
        <v>780</v>
      </c>
      <c r="S388" t="s">
        <v>787</v>
      </c>
      <c r="T388">
        <v>4611.714359</v>
      </c>
      <c r="U388" s="2">
        <v>44497</v>
      </c>
      <c r="V388" t="s">
        <v>799</v>
      </c>
    </row>
    <row r="389" spans="1:22">
      <c r="A389" s="1" t="s">
        <v>409</v>
      </c>
      <c r="B389">
        <f>HYPERLINK("https://www.suredividend.com/sure-analysis-HAL/","Halliburton Co.")</f>
        <v>0</v>
      </c>
      <c r="C389">
        <v>22.97</v>
      </c>
      <c r="D389">
        <v>14</v>
      </c>
      <c r="E389">
        <v>1.640714285714286</v>
      </c>
      <c r="F389">
        <v>0.00783630822812364</v>
      </c>
      <c r="G389">
        <v>-0.09428114658584719</v>
      </c>
      <c r="H389">
        <v>0.149</v>
      </c>
      <c r="I389">
        <v>0.05237494706219392</v>
      </c>
      <c r="J389" t="s">
        <v>372</v>
      </c>
      <c r="K389" t="s">
        <v>778</v>
      </c>
      <c r="L389">
        <v>1.1</v>
      </c>
      <c r="M389">
        <v>0.18</v>
      </c>
      <c r="N389">
        <v>0.1636363636363636</v>
      </c>
      <c r="O389">
        <v>0</v>
      </c>
      <c r="P389">
        <v>0.2011244339814313</v>
      </c>
      <c r="Q389">
        <v>0.411492040172747</v>
      </c>
      <c r="R389" t="s">
        <v>780</v>
      </c>
      <c r="S389" t="s">
        <v>793</v>
      </c>
      <c r="T389">
        <v>19849.230779</v>
      </c>
      <c r="U389" s="2">
        <v>44491</v>
      </c>
      <c r="V389" t="s">
        <v>803</v>
      </c>
    </row>
    <row r="390" spans="1:22">
      <c r="A390" s="1" t="s">
        <v>410</v>
      </c>
      <c r="B390">
        <f>HYPERLINK("https://www.suredividend.com/sure-analysis-BMWYY/","Bayerische Motoren Werke AG")</f>
        <v>0</v>
      </c>
      <c r="C390">
        <v>35.57</v>
      </c>
      <c r="D390">
        <v>35</v>
      </c>
      <c r="E390">
        <v>1.016285714285714</v>
      </c>
      <c r="F390">
        <v>0.0216474557211133</v>
      </c>
      <c r="G390">
        <v>-0.003225691137534459</v>
      </c>
      <c r="H390">
        <v>0.03</v>
      </c>
      <c r="I390">
        <v>0.05160501296783493</v>
      </c>
      <c r="J390" t="s">
        <v>372</v>
      </c>
      <c r="K390" t="s">
        <v>513</v>
      </c>
      <c r="L390">
        <v>4</v>
      </c>
      <c r="M390">
        <v>0.77</v>
      </c>
      <c r="N390">
        <v>0.1925</v>
      </c>
      <c r="O390">
        <v>0</v>
      </c>
      <c r="P390">
        <v>0.09998355396348346</v>
      </c>
      <c r="Q390">
        <v>0.213967819239986</v>
      </c>
      <c r="R390" t="s">
        <v>780</v>
      </c>
      <c r="S390" t="s">
        <v>789</v>
      </c>
      <c r="T390">
        <v>64040.24895</v>
      </c>
      <c r="U390" s="2">
        <v>44518</v>
      </c>
      <c r="V390" t="s">
        <v>803</v>
      </c>
    </row>
    <row r="391" spans="1:22">
      <c r="A391" s="1" t="s">
        <v>411</v>
      </c>
      <c r="B391">
        <f>HYPERLINK("https://www.suredividend.com/sure-analysis-MGA/","Magna International Inc.")</f>
        <v>0</v>
      </c>
      <c r="C391">
        <v>83.75</v>
      </c>
      <c r="D391">
        <v>69</v>
      </c>
      <c r="E391">
        <v>1.213768115942029</v>
      </c>
      <c r="F391">
        <v>0.02053731343283582</v>
      </c>
      <c r="G391">
        <v>-0.03800491090622204</v>
      </c>
      <c r="H391">
        <v>0.07000000000000001</v>
      </c>
      <c r="I391">
        <v>0.05123319898340828</v>
      </c>
      <c r="J391" t="s">
        <v>372</v>
      </c>
      <c r="K391" t="s">
        <v>513</v>
      </c>
      <c r="L391">
        <v>6.87</v>
      </c>
      <c r="M391">
        <v>1.72</v>
      </c>
      <c r="N391">
        <v>0.2503639010189229</v>
      </c>
      <c r="O391">
        <v>11</v>
      </c>
      <c r="P391">
        <v>0.0750624704770988</v>
      </c>
      <c r="Q391">
        <v>0.437193762780314</v>
      </c>
      <c r="R391" t="s">
        <v>780</v>
      </c>
      <c r="S391" t="s">
        <v>789</v>
      </c>
      <c r="T391">
        <v>25344.453288</v>
      </c>
      <c r="U391" s="2">
        <v>44428</v>
      </c>
      <c r="V391" t="s">
        <v>804</v>
      </c>
    </row>
    <row r="392" spans="1:22">
      <c r="A392" s="1" t="s">
        <v>412</v>
      </c>
      <c r="B392">
        <f>HYPERLINK("https://www.suredividend.com/sure-analysis-PDCO/","Patterson Companies Inc.")</f>
        <v>0</v>
      </c>
      <c r="C392">
        <v>32.61</v>
      </c>
      <c r="D392">
        <v>30</v>
      </c>
      <c r="E392">
        <v>1.087</v>
      </c>
      <c r="F392">
        <v>0.0318920576510273</v>
      </c>
      <c r="G392">
        <v>-0.01654590917541776</v>
      </c>
      <c r="H392">
        <v>0.04</v>
      </c>
      <c r="I392">
        <v>0.05040357484755686</v>
      </c>
      <c r="J392" t="s">
        <v>372</v>
      </c>
      <c r="K392" t="s">
        <v>777</v>
      </c>
      <c r="L392">
        <v>2</v>
      </c>
      <c r="M392">
        <v>1.04</v>
      </c>
      <c r="N392">
        <v>0.52</v>
      </c>
      <c r="O392">
        <v>0</v>
      </c>
      <c r="P392">
        <v>0</v>
      </c>
      <c r="Q392">
        <v>0.228310264553412</v>
      </c>
      <c r="R392" t="s">
        <v>780</v>
      </c>
      <c r="S392" t="s">
        <v>785</v>
      </c>
      <c r="T392">
        <v>3214.54566</v>
      </c>
      <c r="U392" s="2">
        <v>44446</v>
      </c>
      <c r="V392" t="s">
        <v>802</v>
      </c>
    </row>
    <row r="393" spans="1:22">
      <c r="A393" s="1" t="s">
        <v>413</v>
      </c>
      <c r="B393">
        <f>HYPERLINK("https://www.suredividend.com/sure-analysis-KEY/","Keycorp")</f>
        <v>0</v>
      </c>
      <c r="C393">
        <v>23.97</v>
      </c>
      <c r="D393">
        <v>26</v>
      </c>
      <c r="E393">
        <v>0.9219230769230768</v>
      </c>
      <c r="F393">
        <v>0.03254067584480601</v>
      </c>
      <c r="G393">
        <v>0.01639158978336042</v>
      </c>
      <c r="H393">
        <v>0</v>
      </c>
      <c r="I393">
        <v>0.04943323824157253</v>
      </c>
      <c r="J393" t="s">
        <v>372</v>
      </c>
      <c r="K393" t="s">
        <v>372</v>
      </c>
      <c r="L393">
        <v>2.4</v>
      </c>
      <c r="M393">
        <v>0.78</v>
      </c>
      <c r="N393">
        <v>0.325</v>
      </c>
      <c r="O393">
        <v>11</v>
      </c>
      <c r="P393">
        <v>0.0488372867840543</v>
      </c>
      <c r="Q393">
        <v>0.600319657587126</v>
      </c>
      <c r="R393" t="s">
        <v>780</v>
      </c>
      <c r="S393" t="s">
        <v>790</v>
      </c>
      <c r="T393">
        <v>22000.907275</v>
      </c>
      <c r="U393" s="2">
        <v>44490</v>
      </c>
      <c r="V393" t="s">
        <v>799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58.9</v>
      </c>
      <c r="D394">
        <v>62</v>
      </c>
      <c r="E394">
        <v>0.95</v>
      </c>
      <c r="F394">
        <v>0.009677419354838708</v>
      </c>
      <c r="G394">
        <v>0.01031145931793609</v>
      </c>
      <c r="H394">
        <v>0.03</v>
      </c>
      <c r="I394">
        <v>0.04874551651410797</v>
      </c>
      <c r="J394" t="s">
        <v>372</v>
      </c>
      <c r="K394" t="s">
        <v>778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-0.09300216284099601</v>
      </c>
      <c r="R394" t="s">
        <v>780</v>
      </c>
      <c r="S394" t="s">
        <v>791</v>
      </c>
      <c r="T394">
        <v>101574.252351</v>
      </c>
      <c r="U394" s="2">
        <v>44439</v>
      </c>
      <c r="V394" t="s">
        <v>802</v>
      </c>
    </row>
    <row r="395" spans="1:22">
      <c r="A395" s="1" t="s">
        <v>415</v>
      </c>
      <c r="B395">
        <f>HYPERLINK("https://www.suredividend.com/sure-analysis-WEC/","WEC Energy Group Inc")</f>
        <v>0</v>
      </c>
      <c r="C395">
        <v>91</v>
      </c>
      <c r="D395">
        <v>77</v>
      </c>
      <c r="E395">
        <v>1.181818181818182</v>
      </c>
      <c r="F395">
        <v>0.02978021978021978</v>
      </c>
      <c r="G395">
        <v>-0.03285883999939365</v>
      </c>
      <c r="H395">
        <v>0.052</v>
      </c>
      <c r="I395">
        <v>0.04797201508837823</v>
      </c>
      <c r="J395" t="s">
        <v>372</v>
      </c>
      <c r="K395" t="s">
        <v>777</v>
      </c>
      <c r="L395">
        <v>4.06</v>
      </c>
      <c r="M395">
        <v>2.71</v>
      </c>
      <c r="N395">
        <v>0.6674876847290641</v>
      </c>
      <c r="O395">
        <v>18</v>
      </c>
      <c r="P395">
        <v>0.05189218178383381</v>
      </c>
      <c r="Q395">
        <v>-0.018948907519426</v>
      </c>
      <c r="R395" t="s">
        <v>780</v>
      </c>
      <c r="S395" t="s">
        <v>792</v>
      </c>
      <c r="T395">
        <v>28868.568277</v>
      </c>
      <c r="U395" s="2">
        <v>44502</v>
      </c>
      <c r="V395" t="s">
        <v>796</v>
      </c>
    </row>
    <row r="396" spans="1:22">
      <c r="A396" s="1" t="s">
        <v>416</v>
      </c>
      <c r="B396">
        <f>HYPERLINK("https://www.suredividend.com/sure-analysis-JPM/","JPMorgan Chase &amp; Co.")</f>
        <v>0</v>
      </c>
      <c r="C396">
        <v>168.28</v>
      </c>
      <c r="D396">
        <v>188</v>
      </c>
      <c r="E396">
        <v>0.8951063829787234</v>
      </c>
      <c r="F396">
        <v>0.02376990729736154</v>
      </c>
      <c r="G396">
        <v>0.02240995431929171</v>
      </c>
      <c r="H396">
        <v>0</v>
      </c>
      <c r="I396">
        <v>0.04760748755360544</v>
      </c>
      <c r="J396" t="s">
        <v>372</v>
      </c>
      <c r="K396" t="s">
        <v>513</v>
      </c>
      <c r="L396">
        <v>15</v>
      </c>
      <c r="M396">
        <v>4</v>
      </c>
      <c r="N396">
        <v>0.2666666666666667</v>
      </c>
      <c r="O396">
        <v>11</v>
      </c>
      <c r="P396">
        <v>0.06615002518126989</v>
      </c>
      <c r="Q396">
        <v>0.470517181832335</v>
      </c>
      <c r="R396" t="s">
        <v>780</v>
      </c>
      <c r="S396" t="s">
        <v>790</v>
      </c>
      <c r="T396">
        <v>485697.977125</v>
      </c>
      <c r="U396" s="2">
        <v>44485</v>
      </c>
      <c r="V396" t="s">
        <v>798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102.08</v>
      </c>
      <c r="D397">
        <v>72</v>
      </c>
      <c r="E397">
        <v>1.417777777777778</v>
      </c>
      <c r="F397">
        <v>0.003134796238244514</v>
      </c>
      <c r="G397">
        <v>-0.0674365996427273</v>
      </c>
      <c r="H397">
        <v>0.12</v>
      </c>
      <c r="I397">
        <v>0.04709187088290046</v>
      </c>
      <c r="J397" t="s">
        <v>372</v>
      </c>
      <c r="K397" t="s">
        <v>778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0.298199044338431</v>
      </c>
      <c r="R397" t="s">
        <v>780</v>
      </c>
      <c r="S397" t="s">
        <v>787</v>
      </c>
      <c r="T397">
        <v>110955.775413</v>
      </c>
      <c r="U397" s="2">
        <v>44500</v>
      </c>
      <c r="V397" t="s">
        <v>795</v>
      </c>
    </row>
    <row r="398" spans="1:22">
      <c r="A398" s="1" t="s">
        <v>418</v>
      </c>
      <c r="B398">
        <f>HYPERLINK("https://www.suredividend.com/sure-analysis-PSB/","PS Business Parks, Inc.")</f>
        <v>0</v>
      </c>
      <c r="C398">
        <v>179.49</v>
      </c>
      <c r="D398">
        <v>161</v>
      </c>
      <c r="E398">
        <v>1.114844720496895</v>
      </c>
      <c r="F398">
        <v>0.02339963229149256</v>
      </c>
      <c r="G398">
        <v>-0.02150835055295031</v>
      </c>
      <c r="H398">
        <v>0.045</v>
      </c>
      <c r="I398">
        <v>0.04691119938552069</v>
      </c>
      <c r="J398" t="s">
        <v>372</v>
      </c>
      <c r="K398" t="s">
        <v>372</v>
      </c>
      <c r="L398">
        <v>6.98</v>
      </c>
      <c r="M398">
        <v>4.2</v>
      </c>
      <c r="N398">
        <v>0.6017191977077364</v>
      </c>
      <c r="O398">
        <v>0</v>
      </c>
      <c r="P398">
        <v>0.05997935097636264</v>
      </c>
      <c r="Q398">
        <v>0.382440410652486</v>
      </c>
      <c r="R398" t="s">
        <v>782</v>
      </c>
      <c r="S398" t="s">
        <v>794</v>
      </c>
      <c r="T398">
        <v>4929.352457</v>
      </c>
      <c r="U398" s="2">
        <v>44513</v>
      </c>
      <c r="V398" t="s">
        <v>795</v>
      </c>
    </row>
    <row r="399" spans="1:22">
      <c r="A399" s="1" t="s">
        <v>419</v>
      </c>
      <c r="B399">
        <f>HYPERLINK("https://www.suredividend.com/sure-analysis-CFG/","Citizens Financial Group Inc")</f>
        <v>0</v>
      </c>
      <c r="C399">
        <v>50.84</v>
      </c>
      <c r="D399">
        <v>59</v>
      </c>
      <c r="E399">
        <v>0.8616949152542374</v>
      </c>
      <c r="F399">
        <v>0.03068450039339103</v>
      </c>
      <c r="G399">
        <v>0.03021838034081004</v>
      </c>
      <c r="H399">
        <v>-0.02</v>
      </c>
      <c r="I399">
        <v>0.04646523229193544</v>
      </c>
      <c r="J399" t="s">
        <v>372</v>
      </c>
      <c r="K399" t="s">
        <v>372</v>
      </c>
      <c r="L399">
        <v>5.15</v>
      </c>
      <c r="M399">
        <v>1.56</v>
      </c>
      <c r="N399">
        <v>0.3029126213592233</v>
      </c>
      <c r="O399">
        <v>6</v>
      </c>
      <c r="P399">
        <v>0.09979014724923641</v>
      </c>
      <c r="Q399">
        <v>0.6148876774465051</v>
      </c>
      <c r="R399" t="s">
        <v>780</v>
      </c>
      <c r="S399" t="s">
        <v>790</v>
      </c>
      <c r="T399">
        <v>21425.052686</v>
      </c>
      <c r="U399" s="2">
        <v>44492</v>
      </c>
      <c r="V399" t="s">
        <v>798</v>
      </c>
    </row>
    <row r="400" spans="1:22">
      <c r="A400" s="1" t="s">
        <v>420</v>
      </c>
      <c r="B400">
        <f>HYPERLINK("https://www.suredividend.com/sure-analysis-M/","Macy`s Inc")</f>
        <v>0</v>
      </c>
      <c r="C400">
        <v>33.63</v>
      </c>
      <c r="D400">
        <v>37</v>
      </c>
      <c r="E400">
        <v>0.908918918918919</v>
      </c>
      <c r="F400">
        <v>0.01784121320249777</v>
      </c>
      <c r="G400">
        <v>0.01928344689218253</v>
      </c>
      <c r="H400">
        <v>0.01</v>
      </c>
      <c r="I400">
        <v>0.04489162677337566</v>
      </c>
      <c r="J400" t="s">
        <v>372</v>
      </c>
      <c r="K400" t="s">
        <v>513</v>
      </c>
      <c r="L400">
        <v>4.65</v>
      </c>
      <c r="M400">
        <v>0.6</v>
      </c>
      <c r="N400">
        <v>0.1290322580645161</v>
      </c>
      <c r="O400">
        <v>0</v>
      </c>
      <c r="P400">
        <v>0</v>
      </c>
      <c r="Q400">
        <v>2.7582353988604</v>
      </c>
      <c r="R400" t="s">
        <v>780</v>
      </c>
      <c r="S400" t="s">
        <v>789</v>
      </c>
      <c r="T400">
        <v>10458.732616</v>
      </c>
      <c r="U400" s="2">
        <v>44519</v>
      </c>
      <c r="V400" t="s">
        <v>800</v>
      </c>
    </row>
    <row r="401" spans="1:22">
      <c r="A401" s="1" t="s">
        <v>421</v>
      </c>
      <c r="B401">
        <f>HYPERLINK("https://www.suredividend.com/sure-analysis-WY/","Weyerhaeuser Co.")</f>
        <v>0</v>
      </c>
      <c r="C401">
        <v>38.54</v>
      </c>
      <c r="D401">
        <v>55.8</v>
      </c>
      <c r="E401">
        <v>0.6906810035842295</v>
      </c>
      <c r="F401">
        <v>0.01764400622729632</v>
      </c>
      <c r="G401">
        <v>0.07682343290020843</v>
      </c>
      <c r="H401">
        <v>-0.053</v>
      </c>
      <c r="I401">
        <v>0.04379919808267352</v>
      </c>
      <c r="J401" t="s">
        <v>372</v>
      </c>
      <c r="K401" t="s">
        <v>513</v>
      </c>
      <c r="L401">
        <v>3.28</v>
      </c>
      <c r="M401">
        <v>0.68</v>
      </c>
      <c r="N401">
        <v>0.2073170731707317</v>
      </c>
      <c r="O401">
        <v>0</v>
      </c>
      <c r="P401">
        <v>0.1486983549970351</v>
      </c>
      <c r="Q401">
        <v>0.3984075791171131</v>
      </c>
      <c r="R401" t="s">
        <v>782</v>
      </c>
      <c r="S401" t="s">
        <v>794</v>
      </c>
      <c r="T401">
        <v>29100.39825</v>
      </c>
      <c r="U401" s="2">
        <v>44506</v>
      </c>
      <c r="V401" t="s">
        <v>805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209.09</v>
      </c>
      <c r="D402">
        <v>180</v>
      </c>
      <c r="E402">
        <v>1.161611111111111</v>
      </c>
      <c r="F402">
        <v>0.02391314744846717</v>
      </c>
      <c r="G402">
        <v>-0.02951718711704854</v>
      </c>
      <c r="H402">
        <v>0.05</v>
      </c>
      <c r="I402">
        <v>0.04357511245665147</v>
      </c>
      <c r="J402" t="s">
        <v>372</v>
      </c>
      <c r="K402" t="s">
        <v>513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0.6262409895574851</v>
      </c>
      <c r="R402" t="s">
        <v>780</v>
      </c>
      <c r="S402" t="s">
        <v>790</v>
      </c>
      <c r="T402">
        <v>86282.12074899999</v>
      </c>
      <c r="U402" s="2">
        <v>44490</v>
      </c>
      <c r="V402" t="s">
        <v>803</v>
      </c>
    </row>
    <row r="403" spans="1:22">
      <c r="A403" s="1" t="s">
        <v>423</v>
      </c>
      <c r="B403">
        <f>HYPERLINK("https://www.suredividend.com/sure-analysis-WPC/","W. P. Carey Inc")</f>
        <v>0</v>
      </c>
      <c r="C403">
        <v>77.59999999999999</v>
      </c>
      <c r="D403">
        <v>62</v>
      </c>
      <c r="E403">
        <v>1.251612903225806</v>
      </c>
      <c r="F403">
        <v>0.05425257731958763</v>
      </c>
      <c r="G403">
        <v>-0.04389410996421528</v>
      </c>
      <c r="H403">
        <v>0.035</v>
      </c>
      <c r="I403">
        <v>0.04345086246280938</v>
      </c>
      <c r="J403" t="s">
        <v>372</v>
      </c>
      <c r="K403" t="s">
        <v>776</v>
      </c>
      <c r="L403">
        <v>4.98</v>
      </c>
      <c r="M403">
        <v>4.21</v>
      </c>
      <c r="N403">
        <v>0.8453815261044176</v>
      </c>
      <c r="O403">
        <v>23</v>
      </c>
      <c r="P403">
        <v>0.02007985595231565</v>
      </c>
      <c r="Q403">
        <v>0.19206821458148</v>
      </c>
      <c r="R403" t="s">
        <v>782</v>
      </c>
      <c r="S403" t="s">
        <v>794</v>
      </c>
      <c r="T403">
        <v>14479.929552</v>
      </c>
      <c r="U403" s="2">
        <v>44440</v>
      </c>
      <c r="V403" t="s">
        <v>800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9.93</v>
      </c>
      <c r="D404">
        <v>9.75</v>
      </c>
      <c r="E404">
        <v>1.018461538461539</v>
      </c>
      <c r="F404">
        <v>0.01409869083585096</v>
      </c>
      <c r="G404">
        <v>-0.003651953945968622</v>
      </c>
      <c r="H404">
        <v>0.02</v>
      </c>
      <c r="I404">
        <v>0.03892266654892906</v>
      </c>
      <c r="J404" t="s">
        <v>372</v>
      </c>
      <c r="K404" t="s">
        <v>778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0.142929930405178</v>
      </c>
      <c r="R404" t="s">
        <v>782</v>
      </c>
      <c r="S404" t="s">
        <v>794</v>
      </c>
      <c r="T404">
        <v>1701.697527</v>
      </c>
      <c r="U404" s="2">
        <v>44500</v>
      </c>
      <c r="V404" t="s">
        <v>795</v>
      </c>
    </row>
    <row r="405" spans="1:22">
      <c r="A405" s="1" t="s">
        <v>425</v>
      </c>
      <c r="B405">
        <f>HYPERLINK("https://www.suredividend.com/sure-analysis-BWA/","BorgWarner Inc")</f>
        <v>0</v>
      </c>
      <c r="C405">
        <v>47.74</v>
      </c>
      <c r="D405">
        <v>42</v>
      </c>
      <c r="E405">
        <v>1.136666666666667</v>
      </c>
      <c r="F405">
        <v>0.0142438206954336</v>
      </c>
      <c r="G405">
        <v>-0.02529459321346617</v>
      </c>
      <c r="H405">
        <v>0.05</v>
      </c>
      <c r="I405">
        <v>0.03610630769692791</v>
      </c>
      <c r="J405" t="s">
        <v>372</v>
      </c>
      <c r="K405" t="s">
        <v>513</v>
      </c>
      <c r="L405">
        <v>3.8</v>
      </c>
      <c r="M405">
        <v>0.68</v>
      </c>
      <c r="N405">
        <v>0.1789473684210527</v>
      </c>
      <c r="O405">
        <v>0</v>
      </c>
      <c r="P405">
        <v>0</v>
      </c>
      <c r="Q405">
        <v>0.280980228348649</v>
      </c>
      <c r="R405" t="s">
        <v>780</v>
      </c>
      <c r="S405" t="s">
        <v>787</v>
      </c>
      <c r="T405">
        <v>11360.36301</v>
      </c>
      <c r="U405" s="2">
        <v>44506</v>
      </c>
      <c r="V405" t="s">
        <v>796</v>
      </c>
    </row>
    <row r="406" spans="1:22">
      <c r="A406" s="1" t="s">
        <v>426</v>
      </c>
      <c r="B406">
        <f>HYPERLINK("https://www.suredividend.com/sure-analysis-GOLD/","Barrick Gold Corp.")</f>
        <v>0</v>
      </c>
      <c r="C406">
        <v>19.43</v>
      </c>
      <c r="D406">
        <v>23</v>
      </c>
      <c r="E406">
        <v>0.8447826086956521</v>
      </c>
      <c r="F406">
        <v>0.01852804940813176</v>
      </c>
      <c r="G406">
        <v>0.03431067517537656</v>
      </c>
      <c r="H406">
        <v>-0.02</v>
      </c>
      <c r="I406">
        <v>0.0327207028560339</v>
      </c>
      <c r="J406" t="s">
        <v>372</v>
      </c>
      <c r="K406" t="s">
        <v>513</v>
      </c>
      <c r="L406">
        <v>1.25</v>
      </c>
      <c r="M406">
        <v>0.36</v>
      </c>
      <c r="N406">
        <v>0.288</v>
      </c>
      <c r="O406">
        <v>5</v>
      </c>
      <c r="P406">
        <v>0.04095039696925684</v>
      </c>
      <c r="Q406">
        <v>-0.172402833652551</v>
      </c>
      <c r="R406" t="s">
        <v>780</v>
      </c>
      <c r="S406" t="s">
        <v>788</v>
      </c>
      <c r="T406">
        <v>35195.448279</v>
      </c>
      <c r="U406" s="2">
        <v>44428</v>
      </c>
      <c r="V406" t="s">
        <v>798</v>
      </c>
    </row>
    <row r="407" spans="1:22">
      <c r="A407" s="1" t="s">
        <v>427</v>
      </c>
      <c r="B407">
        <f>HYPERLINK("https://www.suredividend.com/sure-analysis-DUK/","Duke Energy Corp.")</f>
        <v>0</v>
      </c>
      <c r="C407">
        <v>100.74</v>
      </c>
      <c r="D407">
        <v>78.3</v>
      </c>
      <c r="E407">
        <v>1.286590038314176</v>
      </c>
      <c r="F407">
        <v>0.03911058169545364</v>
      </c>
      <c r="G407">
        <v>-0.04915010447967505</v>
      </c>
      <c r="H407">
        <v>0.043</v>
      </c>
      <c r="I407">
        <v>0.03212702481532137</v>
      </c>
      <c r="J407" t="s">
        <v>372</v>
      </c>
      <c r="K407" t="s">
        <v>777</v>
      </c>
      <c r="L407">
        <v>5.22</v>
      </c>
      <c r="M407">
        <v>3.94</v>
      </c>
      <c r="N407">
        <v>0.7547892720306514</v>
      </c>
      <c r="O407">
        <v>10</v>
      </c>
      <c r="P407">
        <v>0.02693571566003095</v>
      </c>
      <c r="Q407">
        <v>0.125772038180797</v>
      </c>
      <c r="R407" t="s">
        <v>780</v>
      </c>
      <c r="S407" t="s">
        <v>792</v>
      </c>
      <c r="T407">
        <v>77126.09420000001</v>
      </c>
      <c r="U407" s="2">
        <v>44509</v>
      </c>
      <c r="V407" t="s">
        <v>805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130.19</v>
      </c>
      <c r="D408">
        <v>94</v>
      </c>
      <c r="E408">
        <v>1.385</v>
      </c>
      <c r="F408">
        <v>0.02703740686688686</v>
      </c>
      <c r="G408">
        <v>-0.06306374305126206</v>
      </c>
      <c r="H408">
        <v>0.065</v>
      </c>
      <c r="I408">
        <v>0.03021718879042501</v>
      </c>
      <c r="J408" t="s">
        <v>372</v>
      </c>
      <c r="K408" t="s">
        <v>513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0.9610338630634391</v>
      </c>
      <c r="R408" t="s">
        <v>780</v>
      </c>
      <c r="S408" t="s">
        <v>790</v>
      </c>
      <c r="T408">
        <v>1298.609595</v>
      </c>
      <c r="U408" s="2">
        <v>44513</v>
      </c>
      <c r="V408" t="s">
        <v>801</v>
      </c>
    </row>
    <row r="409" spans="1:22">
      <c r="A409" s="1" t="s">
        <v>429</v>
      </c>
      <c r="B409">
        <f>HYPERLINK("https://www.suredividend.com/sure-analysis-MMC/","Marsh &amp; McLennan Cos., Inc.")</f>
        <v>0</v>
      </c>
      <c r="C409">
        <v>169.05</v>
      </c>
      <c r="D409">
        <v>135</v>
      </c>
      <c r="E409">
        <v>1.252222222222222</v>
      </c>
      <c r="F409">
        <v>0.01265897663413191</v>
      </c>
      <c r="G409">
        <v>-0.04398717442098121</v>
      </c>
      <c r="H409">
        <v>0.062</v>
      </c>
      <c r="I409">
        <v>0.02912875629565992</v>
      </c>
      <c r="J409" t="s">
        <v>372</v>
      </c>
      <c r="K409" t="s">
        <v>778</v>
      </c>
      <c r="L409">
        <v>6.15</v>
      </c>
      <c r="M409">
        <v>2.14</v>
      </c>
      <c r="N409">
        <v>0.3479674796747967</v>
      </c>
      <c r="O409">
        <v>12</v>
      </c>
      <c r="P409">
        <v>0.05971834352437777</v>
      </c>
      <c r="Q409">
        <v>0.521050924249381</v>
      </c>
      <c r="R409" t="s">
        <v>780</v>
      </c>
      <c r="S409" t="s">
        <v>790</v>
      </c>
      <c r="T409">
        <v>85463.63877200001</v>
      </c>
      <c r="U409" s="2">
        <v>44505</v>
      </c>
      <c r="V409" t="s">
        <v>801</v>
      </c>
    </row>
    <row r="410" spans="1:22">
      <c r="A410" s="1" t="s">
        <v>430</v>
      </c>
      <c r="B410">
        <f>HYPERLINK("https://www.suredividend.com/sure-analysis-NNN/","National Retail Properties Inc")</f>
        <v>0</v>
      </c>
      <c r="C410">
        <v>46.52</v>
      </c>
      <c r="D410">
        <v>39.1</v>
      </c>
      <c r="E410">
        <v>1.189769820971867</v>
      </c>
      <c r="F410">
        <v>0.04557179707652623</v>
      </c>
      <c r="G410">
        <v>-0.03415505698611709</v>
      </c>
      <c r="H410">
        <v>0.015</v>
      </c>
      <c r="I410">
        <v>0.02741444166952722</v>
      </c>
      <c r="J410" t="s">
        <v>372</v>
      </c>
      <c r="K410" t="s">
        <v>777</v>
      </c>
      <c r="L410">
        <v>2.79</v>
      </c>
      <c r="M410">
        <v>2.12</v>
      </c>
      <c r="N410">
        <v>0.7598566308243728</v>
      </c>
      <c r="O410">
        <v>21</v>
      </c>
      <c r="P410">
        <v>0.01643215369887963</v>
      </c>
      <c r="Q410">
        <v>0.233322477553689</v>
      </c>
      <c r="R410" t="s">
        <v>782</v>
      </c>
      <c r="S410" t="s">
        <v>794</v>
      </c>
      <c r="T410">
        <v>8180.234829</v>
      </c>
      <c r="U410" s="2">
        <v>44506</v>
      </c>
      <c r="V410" t="s">
        <v>805</v>
      </c>
    </row>
    <row r="411" spans="1:22">
      <c r="A411" s="1" t="s">
        <v>431</v>
      </c>
      <c r="B411">
        <f>HYPERLINK("https://www.suredividend.com/sure-analysis-HOG/","Harley-Davidson, Inc.")</f>
        <v>0</v>
      </c>
      <c r="C411">
        <v>39.31</v>
      </c>
      <c r="D411">
        <v>47</v>
      </c>
      <c r="E411">
        <v>0.8363829787234043</v>
      </c>
      <c r="F411">
        <v>0.01526329178326125</v>
      </c>
      <c r="G411">
        <v>0.03637985542929778</v>
      </c>
      <c r="H411">
        <v>-0.036</v>
      </c>
      <c r="I411">
        <v>0.02512335280550837</v>
      </c>
      <c r="J411" t="s">
        <v>372</v>
      </c>
      <c r="K411" t="s">
        <v>513</v>
      </c>
      <c r="L411">
        <v>3.6</v>
      </c>
      <c r="M411">
        <v>0.6</v>
      </c>
      <c r="N411">
        <v>0.1666666666666667</v>
      </c>
      <c r="O411">
        <v>0</v>
      </c>
      <c r="P411">
        <v>0.2011244339814313</v>
      </c>
      <c r="Q411">
        <v>0.06805552908634001</v>
      </c>
      <c r="R411" t="s">
        <v>780</v>
      </c>
      <c r="S411" t="s">
        <v>789</v>
      </c>
      <c r="T411">
        <v>6035.378305</v>
      </c>
      <c r="U411" s="2">
        <v>44503</v>
      </c>
      <c r="V411" t="s">
        <v>805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47.5</v>
      </c>
      <c r="D412">
        <v>39</v>
      </c>
      <c r="E412">
        <v>1.217948717948718</v>
      </c>
      <c r="F412">
        <v>0.01768421052631579</v>
      </c>
      <c r="G412">
        <v>-0.03866622804552711</v>
      </c>
      <c r="H412">
        <v>0.04</v>
      </c>
      <c r="I412">
        <v>0.02247441767503688</v>
      </c>
      <c r="J412" t="s">
        <v>372</v>
      </c>
      <c r="K412" t="s">
        <v>513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0.761940113833209</v>
      </c>
      <c r="R412" t="s">
        <v>780</v>
      </c>
      <c r="S412" t="s">
        <v>790</v>
      </c>
      <c r="T412">
        <v>378759.409001</v>
      </c>
      <c r="U412" s="2">
        <v>44485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36.68</v>
      </c>
      <c r="D413">
        <v>26</v>
      </c>
      <c r="E413">
        <v>1.410769230769231</v>
      </c>
      <c r="F413">
        <v>0.01308615049073064</v>
      </c>
      <c r="G413">
        <v>-0.06651186085709093</v>
      </c>
      <c r="H413">
        <v>0.075</v>
      </c>
      <c r="I413">
        <v>0.01885588761723578</v>
      </c>
      <c r="J413" t="s">
        <v>372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0.162444302184812</v>
      </c>
      <c r="R413" t="s">
        <v>780</v>
      </c>
      <c r="S413" t="s">
        <v>787</v>
      </c>
      <c r="T413">
        <v>8675.556570999999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406.34</v>
      </c>
      <c r="D414">
        <v>671</v>
      </c>
      <c r="E414">
        <v>0.6055737704918033</v>
      </c>
      <c r="F414">
        <v>0.01968794605502781</v>
      </c>
      <c r="G414">
        <v>0.1055199617129148</v>
      </c>
      <c r="H414">
        <v>-0.1</v>
      </c>
      <c r="I414">
        <v>0.01663167218392392</v>
      </c>
      <c r="J414" t="s">
        <v>372</v>
      </c>
      <c r="K414" t="s">
        <v>513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0.8051671634187541</v>
      </c>
      <c r="R414" t="s">
        <v>780</v>
      </c>
      <c r="S414" t="s">
        <v>790</v>
      </c>
      <c r="T414">
        <v>132631.586957</v>
      </c>
      <c r="U414" s="2">
        <v>44485</v>
      </c>
      <c r="V414" t="s">
        <v>798</v>
      </c>
    </row>
    <row r="415" spans="1:22">
      <c r="A415" s="1" t="s">
        <v>435</v>
      </c>
      <c r="B415">
        <f>HYPERLINK("https://www.suredividend.com/sure-analysis-FITB/","Fifth Third Bancorp")</f>
        <v>0</v>
      </c>
      <c r="C415">
        <v>44.84</v>
      </c>
      <c r="D415">
        <v>36</v>
      </c>
      <c r="E415">
        <v>1.245555555555556</v>
      </c>
      <c r="F415">
        <v>0.02676181980374665</v>
      </c>
      <c r="G415">
        <v>-0.04296597270538394</v>
      </c>
      <c r="H415">
        <v>0.03</v>
      </c>
      <c r="I415">
        <v>0.01494656250501647</v>
      </c>
      <c r="J415" t="s">
        <v>372</v>
      </c>
      <c r="K415" t="s">
        <v>513</v>
      </c>
      <c r="L415">
        <v>3.64</v>
      </c>
      <c r="M415">
        <v>1.2</v>
      </c>
      <c r="N415">
        <v>0.3296703296703297</v>
      </c>
      <c r="O415">
        <v>11</v>
      </c>
      <c r="P415">
        <v>0.02983277847878951</v>
      </c>
      <c r="Q415">
        <v>0.8013902033090751</v>
      </c>
      <c r="R415" t="s">
        <v>780</v>
      </c>
      <c r="S415" t="s">
        <v>790</v>
      </c>
      <c r="T415">
        <v>30194.72175</v>
      </c>
      <c r="U415" s="2">
        <v>44488</v>
      </c>
      <c r="V415" t="s">
        <v>796</v>
      </c>
    </row>
    <row r="416" spans="1:22">
      <c r="A416" s="1" t="s">
        <v>436</v>
      </c>
      <c r="B416">
        <f>HYPERLINK("https://www.suredividend.com/sure-analysis-STZ/","Constellation Brands Inc")</f>
        <v>0</v>
      </c>
      <c r="C416">
        <v>237.06</v>
      </c>
      <c r="D416">
        <v>185</v>
      </c>
      <c r="E416">
        <v>1.281405405405405</v>
      </c>
      <c r="F416">
        <v>0.01282375769847296</v>
      </c>
      <c r="G416">
        <v>-0.04838190911390505</v>
      </c>
      <c r="H416">
        <v>0.05</v>
      </c>
      <c r="I416">
        <v>0.0137004087590773</v>
      </c>
      <c r="J416" t="s">
        <v>372</v>
      </c>
      <c r="K416" t="s">
        <v>778</v>
      </c>
      <c r="L416">
        <v>10.3</v>
      </c>
      <c r="M416">
        <v>3.04</v>
      </c>
      <c r="N416">
        <v>0.2951456310679612</v>
      </c>
      <c r="O416">
        <v>6</v>
      </c>
      <c r="P416">
        <v>0.05000563166277994</v>
      </c>
      <c r="Q416">
        <v>0.183920510071156</v>
      </c>
      <c r="R416" t="s">
        <v>780</v>
      </c>
      <c r="S416" t="s">
        <v>791</v>
      </c>
      <c r="T416">
        <v>43997.800744</v>
      </c>
      <c r="U416" s="2">
        <v>44475</v>
      </c>
      <c r="V416" t="s">
        <v>799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115.67</v>
      </c>
      <c r="D417">
        <v>84</v>
      </c>
      <c r="E417">
        <v>1.37702380952381</v>
      </c>
      <c r="F417">
        <v>0.01279502031641739</v>
      </c>
      <c r="G417">
        <v>-0.06198083844992563</v>
      </c>
      <c r="H417">
        <v>0.06</v>
      </c>
      <c r="I417">
        <v>0.01087853432598762</v>
      </c>
      <c r="J417" t="s">
        <v>372</v>
      </c>
      <c r="K417" t="s">
        <v>513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0.431320966157356</v>
      </c>
      <c r="R417" t="s">
        <v>780</v>
      </c>
      <c r="S417" t="s">
        <v>787</v>
      </c>
      <c r="T417">
        <v>7688.794821</v>
      </c>
      <c r="U417" s="2">
        <v>44502</v>
      </c>
      <c r="V417" t="s">
        <v>799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80.28</v>
      </c>
      <c r="D418">
        <v>67</v>
      </c>
      <c r="E418">
        <v>1.198208955223881</v>
      </c>
      <c r="F418">
        <v>0.01170901843547583</v>
      </c>
      <c r="G418">
        <v>-0.03551941930896019</v>
      </c>
      <c r="H418">
        <v>0.03</v>
      </c>
      <c r="I418">
        <v>0.00903724859670163</v>
      </c>
      <c r="J418" t="s">
        <v>372</v>
      </c>
      <c r="K418" t="s">
        <v>513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-0.022687356454943</v>
      </c>
      <c r="R418" t="s">
        <v>780</v>
      </c>
      <c r="S418" t="s">
        <v>786</v>
      </c>
      <c r="T418">
        <v>14025.098352</v>
      </c>
      <c r="U418" s="2">
        <v>44495</v>
      </c>
      <c r="V418" t="s">
        <v>796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125.47</v>
      </c>
      <c r="D419">
        <v>86</v>
      </c>
      <c r="E419">
        <v>1.458953488372093</v>
      </c>
      <c r="F419">
        <v>0.0210408862676337</v>
      </c>
      <c r="G419">
        <v>-0.07276095573820651</v>
      </c>
      <c r="H419">
        <v>0.06</v>
      </c>
      <c r="I419">
        <v>0.007747336888026979</v>
      </c>
      <c r="J419" t="s">
        <v>372</v>
      </c>
      <c r="K419" t="s">
        <v>513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0.406650773329955</v>
      </c>
      <c r="R419" t="s">
        <v>780</v>
      </c>
      <c r="S419" t="s">
        <v>787</v>
      </c>
      <c r="T419">
        <v>44850.275868</v>
      </c>
      <c r="U419" s="2">
        <v>44472</v>
      </c>
      <c r="V419" t="s">
        <v>796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90.56999999999999</v>
      </c>
      <c r="D420">
        <v>83</v>
      </c>
      <c r="E420">
        <v>1.091204819277108</v>
      </c>
      <c r="F420">
        <v>0.03003201943248317</v>
      </c>
      <c r="G420">
        <v>-0.01730500321199513</v>
      </c>
      <c r="H420">
        <v>-0.01</v>
      </c>
      <c r="I420">
        <v>0.007026408197929657</v>
      </c>
      <c r="J420" t="s">
        <v>372</v>
      </c>
      <c r="K420" t="s">
        <v>372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0.84437659327447</v>
      </c>
      <c r="R420" t="s">
        <v>780</v>
      </c>
      <c r="S420" t="s">
        <v>790</v>
      </c>
      <c r="T420">
        <v>11708.952722</v>
      </c>
      <c r="U420" s="2">
        <v>44490</v>
      </c>
      <c r="V420" t="s">
        <v>799</v>
      </c>
    </row>
    <row r="421" spans="1:22">
      <c r="A421" s="1" t="s">
        <v>441</v>
      </c>
      <c r="B421">
        <f>HYPERLINK("https://www.suredividend.com/sure-analysis-PACW/","Pacwest Bancorp")</f>
        <v>0</v>
      </c>
      <c r="C421">
        <v>49.42</v>
      </c>
      <c r="D421">
        <v>50</v>
      </c>
      <c r="E421">
        <v>0.9884000000000001</v>
      </c>
      <c r="F421">
        <v>0.02023472278429786</v>
      </c>
      <c r="G421">
        <v>0.002336285846084918</v>
      </c>
      <c r="H421">
        <v>-0.02</v>
      </c>
      <c r="I421">
        <v>0.006347164372769498</v>
      </c>
      <c r="J421" t="s">
        <v>372</v>
      </c>
      <c r="K421" t="s">
        <v>513</v>
      </c>
      <c r="L421">
        <v>5</v>
      </c>
      <c r="M421">
        <v>1</v>
      </c>
      <c r="N421">
        <v>0.2</v>
      </c>
      <c r="O421">
        <v>0</v>
      </c>
      <c r="P421">
        <v>0.05061112176150684</v>
      </c>
      <c r="Q421">
        <v>1.048336358391483</v>
      </c>
      <c r="R421" t="s">
        <v>780</v>
      </c>
      <c r="S421" t="s">
        <v>790</v>
      </c>
      <c r="T421">
        <v>5703.420024</v>
      </c>
      <c r="U421" s="2">
        <v>44493</v>
      </c>
      <c r="V421" t="s">
        <v>798</v>
      </c>
    </row>
    <row r="422" spans="1:22">
      <c r="A422" s="1" t="s">
        <v>442</v>
      </c>
      <c r="B422">
        <f>HYPERLINK("https://www.suredividend.com/sure-analysis-PSA/","Public Storage")</f>
        <v>0</v>
      </c>
      <c r="C422">
        <v>330.38</v>
      </c>
      <c r="D422">
        <v>242</v>
      </c>
      <c r="E422">
        <v>1.365206611570248</v>
      </c>
      <c r="F422">
        <v>0.02421454083176948</v>
      </c>
      <c r="G422">
        <v>-0.06036253739807063</v>
      </c>
      <c r="H422">
        <v>0.04</v>
      </c>
      <c r="I422">
        <v>0.00545183355779888</v>
      </c>
      <c r="J422" t="s">
        <v>372</v>
      </c>
      <c r="K422" t="s">
        <v>513</v>
      </c>
      <c r="L422">
        <v>12.1</v>
      </c>
      <c r="M422">
        <v>8</v>
      </c>
      <c r="N422">
        <v>0.6611570247933884</v>
      </c>
      <c r="O422">
        <v>0</v>
      </c>
      <c r="P422">
        <v>0.03993111034207586</v>
      </c>
      <c r="Q422">
        <v>0.517433265710544</v>
      </c>
      <c r="R422" t="s">
        <v>782</v>
      </c>
      <c r="S422" t="s">
        <v>794</v>
      </c>
      <c r="T422">
        <v>57724.967606</v>
      </c>
      <c r="U422" s="2">
        <v>44502</v>
      </c>
      <c r="V422" t="s">
        <v>796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12.82</v>
      </c>
      <c r="D423">
        <v>10</v>
      </c>
      <c r="E423">
        <v>1.282</v>
      </c>
      <c r="F423">
        <v>0.0031201248049922</v>
      </c>
      <c r="G423">
        <v>-0.04847019803355079</v>
      </c>
      <c r="H423">
        <v>0.05</v>
      </c>
      <c r="I423">
        <v>0.002667846048525435</v>
      </c>
      <c r="J423" t="s">
        <v>372</v>
      </c>
      <c r="K423" t="s">
        <v>778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0.672956984930003</v>
      </c>
      <c r="R423" t="s">
        <v>780</v>
      </c>
      <c r="S423" t="s">
        <v>787</v>
      </c>
      <c r="T423">
        <v>3290.2776</v>
      </c>
      <c r="U423" s="2">
        <v>44513</v>
      </c>
      <c r="V423" t="s">
        <v>801</v>
      </c>
    </row>
    <row r="424" spans="1:22">
      <c r="A424" s="1" t="s">
        <v>444</v>
      </c>
      <c r="B424">
        <f>HYPERLINK("https://www.suredividend.com/sure-analysis-DLR/","Digital Realty Trust Inc")</f>
        <v>0</v>
      </c>
      <c r="C424">
        <v>165.11</v>
      </c>
      <c r="D424">
        <v>104</v>
      </c>
      <c r="E424">
        <v>1.587596153846154</v>
      </c>
      <c r="F424">
        <v>0.02810247713645448</v>
      </c>
      <c r="G424">
        <v>-0.08829992110986051</v>
      </c>
      <c r="H424">
        <v>0.06</v>
      </c>
      <c r="I424">
        <v>0.002162152672281925</v>
      </c>
      <c r="J424" t="s">
        <v>372</v>
      </c>
      <c r="K424" t="s">
        <v>372</v>
      </c>
      <c r="L424">
        <v>6.52</v>
      </c>
      <c r="M424">
        <v>4.64</v>
      </c>
      <c r="N424">
        <v>0.7116564417177914</v>
      </c>
      <c r="O424">
        <v>17</v>
      </c>
      <c r="P424">
        <v>0.06002162190703619</v>
      </c>
      <c r="Q424">
        <v>0.180675643409618</v>
      </c>
      <c r="R424" t="s">
        <v>782</v>
      </c>
      <c r="S424" t="s">
        <v>794</v>
      </c>
      <c r="T424">
        <v>46308.43707</v>
      </c>
      <c r="U424" s="2">
        <v>44497</v>
      </c>
      <c r="V424" t="s">
        <v>799</v>
      </c>
    </row>
    <row r="425" spans="1:22">
      <c r="A425" s="1" t="s">
        <v>445</v>
      </c>
      <c r="B425">
        <f>HYPERLINK("https://www.suredividend.com/sure-analysis-NSRGY/","Nestle SA")</f>
        <v>0</v>
      </c>
      <c r="C425">
        <v>131.15</v>
      </c>
      <c r="D425">
        <v>90</v>
      </c>
      <c r="E425">
        <v>1.457222222222222</v>
      </c>
      <c r="F425">
        <v>0.02287457110179184</v>
      </c>
      <c r="G425">
        <v>-0.07254073740586353</v>
      </c>
      <c r="H425">
        <v>0.05</v>
      </c>
      <c r="I425">
        <v>0.0005438577789336208</v>
      </c>
      <c r="J425" t="s">
        <v>372</v>
      </c>
      <c r="K425" t="s">
        <v>372</v>
      </c>
      <c r="L425">
        <v>5</v>
      </c>
      <c r="M425">
        <v>3</v>
      </c>
      <c r="N425">
        <v>0.6</v>
      </c>
      <c r="O425">
        <v>4</v>
      </c>
      <c r="P425">
        <v>0.034822227649</v>
      </c>
      <c r="Q425">
        <v>0.149495835160017</v>
      </c>
      <c r="R425" t="s">
        <v>780</v>
      </c>
      <c r="S425" t="s">
        <v>791</v>
      </c>
      <c r="T425">
        <v>369046.5</v>
      </c>
      <c r="U425" s="2">
        <v>44516</v>
      </c>
      <c r="V425" t="s">
        <v>803</v>
      </c>
    </row>
    <row r="426" spans="1:22">
      <c r="A426" s="1" t="s">
        <v>446</v>
      </c>
      <c r="B426">
        <f>HYPERLINK("https://www.suredividend.com/sure-analysis-MRVL/","Marvell Technology Inc")</f>
        <v>0</v>
      </c>
      <c r="C426">
        <v>73.22</v>
      </c>
      <c r="D426">
        <v>29</v>
      </c>
      <c r="E426">
        <v>2.524827586206897</v>
      </c>
      <c r="F426">
        <v>0.003277792952745152</v>
      </c>
      <c r="G426">
        <v>-0.1690906334025484</v>
      </c>
      <c r="H426">
        <v>0.2</v>
      </c>
      <c r="I426">
        <v>0.0003856079885644625</v>
      </c>
      <c r="J426" t="s">
        <v>372</v>
      </c>
      <c r="K426" t="s">
        <v>778</v>
      </c>
      <c r="L426">
        <v>1.4</v>
      </c>
      <c r="M426">
        <v>0.24</v>
      </c>
      <c r="N426">
        <v>0.1714285714285714</v>
      </c>
      <c r="O426">
        <v>0</v>
      </c>
      <c r="P426">
        <v>0</v>
      </c>
      <c r="Q426">
        <v>0.5336679645749051</v>
      </c>
      <c r="R426" t="s">
        <v>780</v>
      </c>
      <c r="S426" t="s">
        <v>786</v>
      </c>
      <c r="T426">
        <v>59914.208468</v>
      </c>
      <c r="U426" s="2">
        <v>44461</v>
      </c>
      <c r="V426" t="s">
        <v>797</v>
      </c>
    </row>
    <row r="427" spans="1:22">
      <c r="A427" s="1" t="s">
        <v>447</v>
      </c>
      <c r="B427">
        <f>HYPERLINK("https://www.suredividend.com/sure-analysis-ABB/","ABB Ltd.")</f>
        <v>0</v>
      </c>
      <c r="C427">
        <v>35.56</v>
      </c>
      <c r="D427">
        <v>21</v>
      </c>
      <c r="E427">
        <v>1.693333333333333</v>
      </c>
      <c r="F427">
        <v>0.02390326209223847</v>
      </c>
      <c r="G427">
        <v>-0.09998135084075221</v>
      </c>
      <c r="H427">
        <v>0.08</v>
      </c>
      <c r="I427">
        <v>-7.794838022012751e-05</v>
      </c>
      <c r="J427" t="s">
        <v>372</v>
      </c>
      <c r="K427" t="s">
        <v>372</v>
      </c>
      <c r="L427">
        <v>1.3</v>
      </c>
      <c r="M427">
        <v>0.85</v>
      </c>
      <c r="N427">
        <v>0.6538461538461539</v>
      </c>
      <c r="O427">
        <v>2</v>
      </c>
      <c r="P427">
        <v>0.03303780411393231</v>
      </c>
      <c r="Q427">
        <v>0.374631450579645</v>
      </c>
      <c r="R427" t="s">
        <v>780</v>
      </c>
      <c r="S427" t="s">
        <v>787</v>
      </c>
      <c r="T427">
        <v>73133.141164</v>
      </c>
      <c r="U427" s="2">
        <v>44494</v>
      </c>
      <c r="V427" t="s">
        <v>803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60.25</v>
      </c>
      <c r="D428">
        <v>48</v>
      </c>
      <c r="E428">
        <v>1.255208333333333</v>
      </c>
      <c r="F428">
        <v>0.01128630705394191</v>
      </c>
      <c r="G428">
        <v>-0.04444247429308334</v>
      </c>
      <c r="H428">
        <v>0.03</v>
      </c>
      <c r="I428">
        <v>-0.003333645958242482</v>
      </c>
      <c r="J428" t="s">
        <v>372</v>
      </c>
      <c r="K428" t="s">
        <v>513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1.010904890361733</v>
      </c>
      <c r="R428" t="s">
        <v>780</v>
      </c>
      <c r="S428" t="s">
        <v>786</v>
      </c>
      <c r="T428">
        <v>3727.166449</v>
      </c>
      <c r="U428" s="2">
        <v>44419</v>
      </c>
      <c r="V428" t="s">
        <v>796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207.88</v>
      </c>
      <c r="D429">
        <v>123</v>
      </c>
      <c r="E429">
        <v>1.690081300813008</v>
      </c>
      <c r="F429">
        <v>0.01933807966134308</v>
      </c>
      <c r="G429">
        <v>-0.09963525627613634</v>
      </c>
      <c r="H429">
        <v>0.08</v>
      </c>
      <c r="I429">
        <v>-0.003713052334832656</v>
      </c>
      <c r="J429" t="s">
        <v>372</v>
      </c>
      <c r="K429" t="s">
        <v>513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0.3546439112743121</v>
      </c>
      <c r="R429" t="s">
        <v>780</v>
      </c>
      <c r="S429" t="s">
        <v>791</v>
      </c>
      <c r="T429">
        <v>121111.374215</v>
      </c>
      <c r="U429" s="2">
        <v>44422</v>
      </c>
      <c r="V429" t="s">
        <v>796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4.11</v>
      </c>
      <c r="D430">
        <v>3.29</v>
      </c>
      <c r="E430">
        <v>1.249240121580547</v>
      </c>
      <c r="F430">
        <v>0.0267639902676399</v>
      </c>
      <c r="G430">
        <v>-0.04353118392097222</v>
      </c>
      <c r="H430">
        <v>0.02</v>
      </c>
      <c r="I430">
        <v>-0.01033206870206449</v>
      </c>
      <c r="J430" t="s">
        <v>372</v>
      </c>
      <c r="K430" t="s">
        <v>372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-0.180485552691316</v>
      </c>
      <c r="R430" t="s">
        <v>780</v>
      </c>
      <c r="S430" t="s">
        <v>788</v>
      </c>
      <c r="T430">
        <v>4102.858232</v>
      </c>
      <c r="U430" s="2">
        <v>44443</v>
      </c>
      <c r="V430" t="s">
        <v>797</v>
      </c>
    </row>
    <row r="431" spans="1:22">
      <c r="A431" s="1" t="s">
        <v>451</v>
      </c>
      <c r="B431">
        <f>HYPERLINK("https://www.suredividend.com/sure-analysis-OLN/","Olin Corp.")</f>
        <v>0</v>
      </c>
      <c r="C431">
        <v>60.2</v>
      </c>
      <c r="D431">
        <v>45</v>
      </c>
      <c r="E431">
        <v>1.337777777777778</v>
      </c>
      <c r="F431">
        <v>0.0132890365448505</v>
      </c>
      <c r="G431">
        <v>-0.05654062466478971</v>
      </c>
      <c r="H431">
        <v>0.03</v>
      </c>
      <c r="I431">
        <v>-0.01377169480235363</v>
      </c>
      <c r="J431" t="s">
        <v>372</v>
      </c>
      <c r="K431" t="s">
        <v>513</v>
      </c>
      <c r="L431">
        <v>14.94</v>
      </c>
      <c r="M431">
        <v>0.8</v>
      </c>
      <c r="N431">
        <v>0.05354752342704151</v>
      </c>
      <c r="O431">
        <v>0</v>
      </c>
      <c r="P431">
        <v>0</v>
      </c>
      <c r="Q431">
        <v>1.829614989928166</v>
      </c>
      <c r="R431" t="s">
        <v>780</v>
      </c>
      <c r="S431" t="s">
        <v>788</v>
      </c>
      <c r="T431">
        <v>9557.1194</v>
      </c>
      <c r="U431" s="2">
        <v>44515</v>
      </c>
      <c r="V431" t="s">
        <v>801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242.73</v>
      </c>
      <c r="D432">
        <v>147</v>
      </c>
      <c r="E432">
        <v>1.651224489795918</v>
      </c>
      <c r="F432">
        <v>0.02620195278704734</v>
      </c>
      <c r="G432">
        <v>-0.09543709109922327</v>
      </c>
      <c r="H432">
        <v>0.054</v>
      </c>
      <c r="I432">
        <v>-0.01513439152014062</v>
      </c>
      <c r="J432" t="s">
        <v>372</v>
      </c>
      <c r="K432" t="s">
        <v>372</v>
      </c>
      <c r="L432">
        <v>8.140000000000001</v>
      </c>
      <c r="M432">
        <v>6.36</v>
      </c>
      <c r="N432">
        <v>0.7813267813267813</v>
      </c>
      <c r="O432">
        <v>10</v>
      </c>
      <c r="P432">
        <v>0.01936140157470034</v>
      </c>
      <c r="Q432">
        <v>0.433839650315874</v>
      </c>
      <c r="R432" t="s">
        <v>782</v>
      </c>
      <c r="S432" t="s">
        <v>794</v>
      </c>
      <c r="T432">
        <v>33311.440986</v>
      </c>
      <c r="U432" s="2">
        <v>44503</v>
      </c>
      <c r="V432" t="s">
        <v>805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60.93</v>
      </c>
      <c r="D433">
        <v>37</v>
      </c>
      <c r="E433">
        <v>1.646756756756757</v>
      </c>
      <c r="F433">
        <v>0.0183817495486624</v>
      </c>
      <c r="G433">
        <v>-0.09494679804840545</v>
      </c>
      <c r="H433">
        <v>0.06</v>
      </c>
      <c r="I433">
        <v>-0.01599684129604473</v>
      </c>
      <c r="J433" t="s">
        <v>372</v>
      </c>
      <c r="K433" t="s">
        <v>513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0.329444895772304</v>
      </c>
      <c r="R433" t="s">
        <v>780</v>
      </c>
      <c r="S433" t="s">
        <v>787</v>
      </c>
      <c r="T433">
        <v>35107.971128</v>
      </c>
      <c r="U433" s="2">
        <v>44482</v>
      </c>
      <c r="V433" t="s">
        <v>799</v>
      </c>
    </row>
    <row r="434" spans="1:22">
      <c r="A434" s="1" t="s">
        <v>454</v>
      </c>
      <c r="B434">
        <f>HYPERLINK("https://www.suredividend.com/sure-analysis-OXY/","Occidental Petroleum Corp.")</f>
        <v>0</v>
      </c>
      <c r="C434">
        <v>31.92</v>
      </c>
      <c r="D434">
        <v>28</v>
      </c>
      <c r="E434">
        <v>1.14</v>
      </c>
      <c r="F434">
        <v>0.0012531328320802</v>
      </c>
      <c r="G434">
        <v>-0.02586526421769075</v>
      </c>
      <c r="H434">
        <v>0</v>
      </c>
      <c r="I434">
        <v>-0.020739582886666</v>
      </c>
      <c r="J434" t="s">
        <v>372</v>
      </c>
      <c r="K434" t="s">
        <v>778</v>
      </c>
      <c r="L434">
        <v>1.95</v>
      </c>
      <c r="M434">
        <v>0.04</v>
      </c>
      <c r="N434">
        <v>0.02051282051282051</v>
      </c>
      <c r="O434">
        <v>0</v>
      </c>
      <c r="P434">
        <v>0.4757731615945522</v>
      </c>
      <c r="Q434">
        <v>1.228178551275578</v>
      </c>
      <c r="R434" t="s">
        <v>780</v>
      </c>
      <c r="S434" t="s">
        <v>793</v>
      </c>
      <c r="T434">
        <v>28028.76924</v>
      </c>
      <c r="U434" s="2">
        <v>44515</v>
      </c>
      <c r="V434" t="s">
        <v>803</v>
      </c>
    </row>
    <row r="435" spans="1:22">
      <c r="A435" s="1" t="s">
        <v>455</v>
      </c>
      <c r="B435">
        <f>HYPERLINK("https://www.suredividend.com/sure-analysis-MT/","ArcelorMittal")</f>
        <v>0</v>
      </c>
      <c r="C435">
        <v>30.49</v>
      </c>
      <c r="D435">
        <v>25</v>
      </c>
      <c r="E435">
        <v>1.2196</v>
      </c>
      <c r="F435">
        <v>0.009839291571006888</v>
      </c>
      <c r="G435">
        <v>-0.03892668944704958</v>
      </c>
      <c r="H435">
        <v>0</v>
      </c>
      <c r="I435">
        <v>-0.02173452121634101</v>
      </c>
      <c r="J435" t="s">
        <v>372</v>
      </c>
      <c r="K435" t="s">
        <v>513</v>
      </c>
      <c r="L435">
        <v>12.8</v>
      </c>
      <c r="M435">
        <v>0.3</v>
      </c>
      <c r="N435">
        <v>0.0234375</v>
      </c>
      <c r="O435">
        <v>0</v>
      </c>
      <c r="P435">
        <v>0.1486983549970351</v>
      </c>
      <c r="Q435">
        <v>0.861369034765709</v>
      </c>
      <c r="R435" t="s">
        <v>780</v>
      </c>
      <c r="S435" t="s">
        <v>788</v>
      </c>
      <c r="T435">
        <v>29651.370821</v>
      </c>
      <c r="U435" s="2">
        <v>44516</v>
      </c>
      <c r="V435" t="s">
        <v>803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38.68</v>
      </c>
      <c r="D436">
        <v>40</v>
      </c>
      <c r="E436">
        <v>0.967</v>
      </c>
      <c r="F436">
        <v>0.007755946225439504</v>
      </c>
      <c r="G436">
        <v>0.006733928327332217</v>
      </c>
      <c r="H436">
        <v>-0.04</v>
      </c>
      <c r="I436">
        <v>-0.02316092644158418</v>
      </c>
      <c r="J436" t="s">
        <v>372</v>
      </c>
      <c r="K436" t="s">
        <v>778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0.7874480792274281</v>
      </c>
      <c r="R436" t="s">
        <v>780</v>
      </c>
      <c r="S436" t="s">
        <v>788</v>
      </c>
      <c r="T436">
        <v>55420.190494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HYPERLINK("https://www.suredividend.com/sure-analysis-TER/","Teradyne, Inc.")</f>
        <v>0</v>
      </c>
      <c r="C437">
        <v>149.1</v>
      </c>
      <c r="D437">
        <v>87</v>
      </c>
      <c r="E437">
        <v>1.713793103448276</v>
      </c>
      <c r="F437">
        <v>0.002682763246143528</v>
      </c>
      <c r="G437">
        <v>-0.1021406247171674</v>
      </c>
      <c r="H437">
        <v>0.08</v>
      </c>
      <c r="I437">
        <v>-0.02628701291278834</v>
      </c>
      <c r="J437" t="s">
        <v>372</v>
      </c>
      <c r="K437" t="s">
        <v>778</v>
      </c>
      <c r="L437">
        <v>4.82</v>
      </c>
      <c r="M437">
        <v>0.4</v>
      </c>
      <c r="N437">
        <v>0.08298755186721991</v>
      </c>
      <c r="O437">
        <v>0</v>
      </c>
      <c r="P437">
        <v>0.09856054330611763</v>
      </c>
      <c r="Q437">
        <v>0.409426768911791</v>
      </c>
      <c r="R437" t="s">
        <v>780</v>
      </c>
      <c r="S437" t="s">
        <v>786</v>
      </c>
      <c r="T437">
        <v>24333.287875</v>
      </c>
      <c r="U437" s="2">
        <v>44502</v>
      </c>
      <c r="V437" t="s">
        <v>806</v>
      </c>
    </row>
    <row r="438" spans="1:22">
      <c r="A438" s="1" t="s">
        <v>458</v>
      </c>
      <c r="B438">
        <f>HYPERLINK("https://www.suredividend.com/sure-analysis-INFY/","Infosys Ltd")</f>
        <v>0</v>
      </c>
      <c r="C438">
        <v>22.89</v>
      </c>
      <c r="D438">
        <v>13</v>
      </c>
      <c r="E438">
        <v>1.760769230769231</v>
      </c>
      <c r="F438">
        <v>0.01747487986020096</v>
      </c>
      <c r="G438">
        <v>-0.1069834411215665</v>
      </c>
      <c r="H438">
        <v>0.06</v>
      </c>
      <c r="I438">
        <v>-0.02724189581843828</v>
      </c>
      <c r="J438" t="s">
        <v>372</v>
      </c>
      <c r="K438" t="s">
        <v>513</v>
      </c>
      <c r="L438">
        <v>0.7</v>
      </c>
      <c r="M438">
        <v>0.4</v>
      </c>
      <c r="N438">
        <v>0.5714285714285715</v>
      </c>
      <c r="O438">
        <v>6</v>
      </c>
      <c r="P438">
        <v>0.08083252207959757</v>
      </c>
      <c r="Q438">
        <v>0.5566463397960021</v>
      </c>
      <c r="R438" t="s">
        <v>780</v>
      </c>
      <c r="S438" t="s">
        <v>786</v>
      </c>
      <c r="T438">
        <v>97029.158044</v>
      </c>
      <c r="U438" s="2">
        <v>44498</v>
      </c>
      <c r="V438" t="s">
        <v>800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42.75</v>
      </c>
      <c r="D439">
        <v>23</v>
      </c>
      <c r="E439">
        <v>1.858695652173913</v>
      </c>
      <c r="F439">
        <v>0.02900584795321638</v>
      </c>
      <c r="G439">
        <v>-0.1165980707150261</v>
      </c>
      <c r="H439">
        <v>0.055</v>
      </c>
      <c r="I439">
        <v>-0.02807135722552567</v>
      </c>
      <c r="J439" t="s">
        <v>372</v>
      </c>
      <c r="K439" t="s">
        <v>372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0.147806224421813</v>
      </c>
      <c r="R439" t="s">
        <v>780</v>
      </c>
      <c r="S439" t="s">
        <v>787</v>
      </c>
      <c r="T439">
        <v>1838.640543</v>
      </c>
      <c r="U439" s="2">
        <v>44494</v>
      </c>
      <c r="V439" t="s">
        <v>796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305.13</v>
      </c>
      <c r="D440">
        <v>164</v>
      </c>
      <c r="E440">
        <v>1.860548780487805</v>
      </c>
      <c r="F440">
        <v>0.007078949955756563</v>
      </c>
      <c r="G440">
        <v>-0.1167741165941909</v>
      </c>
      <c r="H440">
        <v>0.08</v>
      </c>
      <c r="I440">
        <v>-0.0352197155735281</v>
      </c>
      <c r="J440" t="s">
        <v>372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0.6137095461980491</v>
      </c>
      <c r="R440" t="s">
        <v>780</v>
      </c>
      <c r="S440" t="s">
        <v>787</v>
      </c>
      <c r="T440">
        <v>27429.692856</v>
      </c>
      <c r="U440" s="2">
        <v>44498</v>
      </c>
      <c r="V440" t="s">
        <v>800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67.48999999999999</v>
      </c>
      <c r="D441">
        <v>49</v>
      </c>
      <c r="E441">
        <v>1.37734693877551</v>
      </c>
      <c r="F441">
        <v>0.01540969032449252</v>
      </c>
      <c r="G441">
        <v>-0.06202485493823129</v>
      </c>
      <c r="H441">
        <v>0</v>
      </c>
      <c r="I441">
        <v>-0.04005645620918408</v>
      </c>
      <c r="J441" t="s">
        <v>372</v>
      </c>
      <c r="K441" t="s">
        <v>513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0.9415254139101621</v>
      </c>
      <c r="R441" t="s">
        <v>780</v>
      </c>
      <c r="S441" t="s">
        <v>788</v>
      </c>
      <c r="T441">
        <v>13302.185679</v>
      </c>
      <c r="U441" s="2">
        <v>44494</v>
      </c>
      <c r="V441" t="s">
        <v>803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266.96</v>
      </c>
      <c r="D442">
        <v>146</v>
      </c>
      <c r="E442">
        <v>1.828493150684931</v>
      </c>
      <c r="F442">
        <v>0.003895714713814804</v>
      </c>
      <c r="G442">
        <v>-0.11369880997232</v>
      </c>
      <c r="H442">
        <v>0.075</v>
      </c>
      <c r="I442">
        <v>-0.04140179289289614</v>
      </c>
      <c r="J442" t="s">
        <v>372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0.319033660512454</v>
      </c>
      <c r="R442" t="s">
        <v>780</v>
      </c>
      <c r="S442" t="s">
        <v>789</v>
      </c>
      <c r="T442">
        <v>50861.094117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76.68000000000001</v>
      </c>
      <c r="D443">
        <v>36</v>
      </c>
      <c r="E443">
        <v>2.13</v>
      </c>
      <c r="F443">
        <v>0.007563901930099112</v>
      </c>
      <c r="G443">
        <v>-0.1403452260304923</v>
      </c>
      <c r="H443">
        <v>0.1</v>
      </c>
      <c r="I443">
        <v>-0.04463887452595583</v>
      </c>
      <c r="J443" t="s">
        <v>372</v>
      </c>
      <c r="K443" t="s">
        <v>778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1.069966452267842</v>
      </c>
      <c r="R443" t="s">
        <v>780</v>
      </c>
      <c r="S443" t="s">
        <v>790</v>
      </c>
      <c r="T443">
        <v>45806.222552</v>
      </c>
      <c r="U443" s="2">
        <v>44507</v>
      </c>
      <c r="V443" t="s">
        <v>806</v>
      </c>
    </row>
    <row r="444" spans="1:22">
      <c r="A444" s="1" t="s">
        <v>464</v>
      </c>
      <c r="B444">
        <f>HYPERLINK("https://www.suredividend.com/sure-analysis-SONY/","Sony Group Corporation")</f>
        <v>0</v>
      </c>
      <c r="C444">
        <v>121.78</v>
      </c>
      <c r="D444">
        <v>86</v>
      </c>
      <c r="E444">
        <v>1.416046511627907</v>
      </c>
      <c r="F444">
        <v>0.004516340942683528</v>
      </c>
      <c r="G444">
        <v>-0.06720867966312805</v>
      </c>
      <c r="H444">
        <v>0.017</v>
      </c>
      <c r="I444">
        <v>-0.04554553675174755</v>
      </c>
      <c r="J444" t="s">
        <v>372</v>
      </c>
      <c r="K444" t="s">
        <v>778</v>
      </c>
      <c r="L444">
        <v>6.58</v>
      </c>
      <c r="M444">
        <v>0.55</v>
      </c>
      <c r="N444">
        <v>0.08358662613981764</v>
      </c>
      <c r="O444">
        <v>6</v>
      </c>
      <c r="P444">
        <v>0.01755457717558762</v>
      </c>
      <c r="Q444">
        <v>0.364098357732565</v>
      </c>
      <c r="R444" t="s">
        <v>780</v>
      </c>
      <c r="S444" t="s">
        <v>786</v>
      </c>
      <c r="T444">
        <v>154353.594794</v>
      </c>
      <c r="U444" s="2">
        <v>44501</v>
      </c>
      <c r="V444" t="s">
        <v>796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28.47</v>
      </c>
      <c r="D445">
        <v>16</v>
      </c>
      <c r="E445">
        <v>1.779375</v>
      </c>
      <c r="F445">
        <v>0.01756234632946962</v>
      </c>
      <c r="G445">
        <v>-0.1088588404294955</v>
      </c>
      <c r="H445">
        <v>0.04</v>
      </c>
      <c r="I445">
        <v>-0.0470591568734281</v>
      </c>
      <c r="J445" t="s">
        <v>372</v>
      </c>
      <c r="K445" t="s">
        <v>513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0.367575118689849</v>
      </c>
      <c r="R445" t="s">
        <v>780</v>
      </c>
      <c r="S445" t="s">
        <v>793</v>
      </c>
      <c r="T445">
        <v>9637.666090999999</v>
      </c>
      <c r="U445" s="2">
        <v>44508</v>
      </c>
      <c r="V445" t="s">
        <v>803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121.47</v>
      </c>
      <c r="D446">
        <v>66</v>
      </c>
      <c r="E446">
        <v>1.840454545454545</v>
      </c>
      <c r="F446">
        <v>0.01333662632748827</v>
      </c>
      <c r="G446">
        <v>-0.114853857941148</v>
      </c>
      <c r="H446">
        <v>0.05</v>
      </c>
      <c r="I446">
        <v>-0.05288416106586435</v>
      </c>
      <c r="J446" t="s">
        <v>372</v>
      </c>
      <c r="K446" t="s">
        <v>513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0.526030621298982</v>
      </c>
      <c r="R446" t="s">
        <v>780</v>
      </c>
      <c r="S446" t="s">
        <v>787</v>
      </c>
      <c r="T446">
        <v>59065.635881</v>
      </c>
      <c r="U446" s="2">
        <v>44502</v>
      </c>
      <c r="V446" t="s">
        <v>801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199.99</v>
      </c>
      <c r="D447">
        <v>97</v>
      </c>
      <c r="E447">
        <v>2.061752577319588</v>
      </c>
      <c r="F447">
        <v>0.007400370018500925</v>
      </c>
      <c r="G447">
        <v>-0.1347279193102713</v>
      </c>
      <c r="H447">
        <v>0.05</v>
      </c>
      <c r="I447">
        <v>-0.07919241539649491</v>
      </c>
      <c r="J447" t="s">
        <v>372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0.433066549799713</v>
      </c>
      <c r="R447" t="s">
        <v>780</v>
      </c>
      <c r="S447" t="s">
        <v>788</v>
      </c>
      <c r="T447">
        <v>26296.828348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HYPERLINK("https://www.suredividend.com/sure-analysis-NVDA/","NVIDIA Corp")</f>
        <v>0</v>
      </c>
      <c r="C448">
        <v>317.46</v>
      </c>
      <c r="D448">
        <v>104</v>
      </c>
      <c r="E448">
        <v>3.0525</v>
      </c>
      <c r="F448">
        <v>0.0005040005040005041</v>
      </c>
      <c r="G448">
        <v>-0.2000389063229734</v>
      </c>
      <c r="H448">
        <v>0.15</v>
      </c>
      <c r="I448">
        <v>-0.07934215417281854</v>
      </c>
      <c r="J448" t="s">
        <v>372</v>
      </c>
      <c r="K448" t="s">
        <v>778</v>
      </c>
      <c r="L448">
        <v>4.15</v>
      </c>
      <c r="M448">
        <v>0.16</v>
      </c>
      <c r="N448">
        <v>0.03855421686746988</v>
      </c>
      <c r="O448">
        <v>0</v>
      </c>
      <c r="P448">
        <v>0</v>
      </c>
      <c r="Q448">
        <v>1.444227390552444</v>
      </c>
      <c r="R448" t="s">
        <v>780</v>
      </c>
      <c r="S448" t="s">
        <v>786</v>
      </c>
      <c r="T448">
        <v>796343.52</v>
      </c>
      <c r="U448" s="2">
        <v>44440</v>
      </c>
      <c r="V448" t="s">
        <v>800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3.19</v>
      </c>
      <c r="D449">
        <v>1.98</v>
      </c>
      <c r="E449">
        <v>1.611111111111111</v>
      </c>
      <c r="F449">
        <v>0.01253918495297806</v>
      </c>
      <c r="G449">
        <v>-0.09097693802603957</v>
      </c>
      <c r="H449">
        <v>-0.01</v>
      </c>
      <c r="I449">
        <v>-0.08171379138697621</v>
      </c>
      <c r="J449" t="s">
        <v>372</v>
      </c>
      <c r="K449" t="s">
        <v>513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-0.317368926110093</v>
      </c>
      <c r="R449" t="s">
        <v>782</v>
      </c>
      <c r="S449" t="s">
        <v>794</v>
      </c>
      <c r="T449">
        <v>748.054018</v>
      </c>
      <c r="U449" s="2">
        <v>44453</v>
      </c>
      <c r="V449" t="s">
        <v>802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10.59</v>
      </c>
      <c r="D450">
        <v>2.11</v>
      </c>
      <c r="E450">
        <v>5.018957345971565</v>
      </c>
      <c r="F450">
        <v>0.0113314447592068</v>
      </c>
      <c r="G450">
        <v>-0.2757686854758694</v>
      </c>
      <c r="H450">
        <v>0.1</v>
      </c>
      <c r="I450">
        <v>-0.1734486005686798</v>
      </c>
      <c r="J450" t="s">
        <v>372</v>
      </c>
      <c r="K450" t="s">
        <v>513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3.309319233311302</v>
      </c>
      <c r="R450" t="s">
        <v>780</v>
      </c>
      <c r="S450" t="s">
        <v>793</v>
      </c>
      <c r="T450">
        <v>2491.705857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11.81</v>
      </c>
      <c r="D451">
        <v>19</v>
      </c>
      <c r="E451">
        <v>0.6215789473684211</v>
      </c>
      <c r="F451">
        <v>0.1016088060965284</v>
      </c>
      <c r="G451">
        <v>0.09976714363570172</v>
      </c>
      <c r="H451">
        <v>0.04</v>
      </c>
      <c r="I451">
        <v>0.197781417855174</v>
      </c>
      <c r="J451" t="s">
        <v>513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0.315002988643156</v>
      </c>
      <c r="R451" t="s">
        <v>781</v>
      </c>
      <c r="S451" t="s">
        <v>793</v>
      </c>
      <c r="T451">
        <v>4585.756001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10.29</v>
      </c>
      <c r="D452">
        <v>18</v>
      </c>
      <c r="E452">
        <v>0.5716666666666667</v>
      </c>
      <c r="F452">
        <v>0.08843537414965988</v>
      </c>
      <c r="G452">
        <v>0.1183337357706948</v>
      </c>
      <c r="H452">
        <v>0.01</v>
      </c>
      <c r="I452">
        <v>0.1792688053483504</v>
      </c>
      <c r="J452" t="s">
        <v>513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0.180521991300145</v>
      </c>
      <c r="R452" t="s">
        <v>780</v>
      </c>
      <c r="S452" t="s">
        <v>793</v>
      </c>
      <c r="T452">
        <v>62572.860549</v>
      </c>
      <c r="U452" s="2">
        <v>44454</v>
      </c>
      <c r="V452" t="s">
        <v>802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47.67</v>
      </c>
      <c r="D453">
        <v>97</v>
      </c>
      <c r="E453">
        <v>0.4914432989690722</v>
      </c>
      <c r="F453">
        <v>0.09418921753723516</v>
      </c>
      <c r="G453">
        <v>0.15267086614368</v>
      </c>
      <c r="H453">
        <v>-0.05</v>
      </c>
      <c r="I453">
        <v>0.1560460099150531</v>
      </c>
      <c r="J453" t="s">
        <v>513</v>
      </c>
      <c r="K453" t="s">
        <v>777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0.121378980129279</v>
      </c>
      <c r="R453" t="s">
        <v>780</v>
      </c>
      <c r="S453" t="s">
        <v>793</v>
      </c>
      <c r="T453">
        <v>11950.49464</v>
      </c>
      <c r="U453" s="2">
        <v>44522</v>
      </c>
      <c r="V453" t="s">
        <v>803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17.51</v>
      </c>
      <c r="D454">
        <v>25</v>
      </c>
      <c r="E454">
        <v>0.7004</v>
      </c>
      <c r="F454">
        <v>0.07995431182181609</v>
      </c>
      <c r="G454">
        <v>0.07381822974352836</v>
      </c>
      <c r="H454">
        <v>0.02</v>
      </c>
      <c r="I454">
        <v>0.1516921321547846</v>
      </c>
      <c r="J454" t="s">
        <v>513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0.442051819249321</v>
      </c>
      <c r="R454" t="s">
        <v>781</v>
      </c>
      <c r="S454" t="s">
        <v>793</v>
      </c>
      <c r="T454">
        <v>1799.864231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15.11</v>
      </c>
      <c r="D455">
        <v>21</v>
      </c>
      <c r="E455">
        <v>0.7195238095238095</v>
      </c>
      <c r="F455">
        <v>0.08603573792190602</v>
      </c>
      <c r="G455">
        <v>0.06804847948901105</v>
      </c>
      <c r="H455">
        <v>0.01</v>
      </c>
      <c r="I455">
        <v>0.1501852190973039</v>
      </c>
      <c r="J455" t="s">
        <v>513</v>
      </c>
      <c r="K455" t="s">
        <v>777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0.021975184485546</v>
      </c>
      <c r="R455" t="s">
        <v>781</v>
      </c>
      <c r="S455" t="s">
        <v>792</v>
      </c>
      <c r="T455">
        <v>940.568316</v>
      </c>
      <c r="U455" s="2">
        <v>44429</v>
      </c>
      <c r="V455" t="s">
        <v>798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10.06</v>
      </c>
      <c r="D456">
        <v>12.1</v>
      </c>
      <c r="E456">
        <v>0.831404958677686</v>
      </c>
      <c r="F456">
        <v>0.07157057654075547</v>
      </c>
      <c r="G456">
        <v>0.03761795433554616</v>
      </c>
      <c r="H456">
        <v>0.05</v>
      </c>
      <c r="I456">
        <v>0.1458735412324015</v>
      </c>
      <c r="J456" t="s">
        <v>513</v>
      </c>
      <c r="K456" t="s">
        <v>777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0.343669250645995</v>
      </c>
      <c r="R456" t="s">
        <v>781</v>
      </c>
      <c r="S456" t="s">
        <v>793</v>
      </c>
      <c r="T456">
        <v>7025.884194</v>
      </c>
      <c r="U456" s="2">
        <v>44511</v>
      </c>
      <c r="V456" t="s">
        <v>795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10.31</v>
      </c>
      <c r="D457">
        <v>12</v>
      </c>
      <c r="E457">
        <v>0.8591666666666667</v>
      </c>
      <c r="F457">
        <v>0.02230843840931135</v>
      </c>
      <c r="G457">
        <v>0.03082398756797144</v>
      </c>
      <c r="H457">
        <v>0.09</v>
      </c>
      <c r="I457">
        <v>0.1426867692431648</v>
      </c>
      <c r="J457" t="s">
        <v>513</v>
      </c>
      <c r="K457" t="s">
        <v>513</v>
      </c>
      <c r="L457">
        <v>0.75</v>
      </c>
      <c r="M457">
        <v>0.23</v>
      </c>
      <c r="N457">
        <v>0.3066666666666667</v>
      </c>
      <c r="O457">
        <v>2</v>
      </c>
      <c r="P457">
        <v>0.1170340997937203</v>
      </c>
      <c r="Q457">
        <v>-0.146062116822744</v>
      </c>
      <c r="R457" t="s">
        <v>780</v>
      </c>
      <c r="S457" t="s">
        <v>786</v>
      </c>
      <c r="T457">
        <v>31154.092925</v>
      </c>
      <c r="U457" s="2">
        <v>44494</v>
      </c>
      <c r="V457" t="s">
        <v>803</v>
      </c>
    </row>
    <row r="458" spans="1:22">
      <c r="A458" s="1" t="s">
        <v>478</v>
      </c>
      <c r="B458">
        <f>HYPERLINK("https://www.suredividend.com/sure-analysis-AVAL/","Grupo Aval Acciones y Valores S.A.")</f>
        <v>0</v>
      </c>
      <c r="C458">
        <v>5.18</v>
      </c>
      <c r="D458">
        <v>7.5</v>
      </c>
      <c r="E458">
        <v>0.6906666666666667</v>
      </c>
      <c r="F458">
        <v>0.04826254826254826</v>
      </c>
      <c r="G458">
        <v>0.07682790342161772</v>
      </c>
      <c r="H458">
        <v>0.03</v>
      </c>
      <c r="I458">
        <v>0.14201676509907</v>
      </c>
      <c r="J458" t="s">
        <v>513</v>
      </c>
      <c r="K458" t="s">
        <v>777</v>
      </c>
      <c r="L458">
        <v>0.75</v>
      </c>
      <c r="M458">
        <v>0.25</v>
      </c>
      <c r="N458">
        <v>0.3333333333333333</v>
      </c>
      <c r="O458">
        <v>0</v>
      </c>
      <c r="P458">
        <v>0.03012896281839894</v>
      </c>
      <c r="Q458">
        <v>0.05839416058394101</v>
      </c>
      <c r="R458" t="s">
        <v>780</v>
      </c>
      <c r="S458" t="s">
        <v>790</v>
      </c>
      <c r="T458">
        <v>1866.102863</v>
      </c>
      <c r="U458" s="2">
        <v>44464</v>
      </c>
      <c r="V458" t="s">
        <v>797</v>
      </c>
    </row>
    <row r="459" spans="1:22">
      <c r="A459" s="1" t="s">
        <v>479</v>
      </c>
      <c r="B459">
        <f>HYPERLINK("https://www.suredividend.com/sure-analysis-ARLP/","Alliance Resource Partners, LP")</f>
        <v>0</v>
      </c>
      <c r="C459">
        <v>11.02</v>
      </c>
      <c r="D459">
        <v>11.02</v>
      </c>
      <c r="E459">
        <v>1</v>
      </c>
      <c r="F459">
        <v>0.07259528130671507</v>
      </c>
      <c r="G459">
        <v>0</v>
      </c>
      <c r="H459">
        <v>0.08</v>
      </c>
      <c r="I459">
        <v>0.1405904455388503</v>
      </c>
      <c r="J459" t="s">
        <v>513</v>
      </c>
      <c r="K459" t="s">
        <v>777</v>
      </c>
      <c r="L459">
        <v>1.5</v>
      </c>
      <c r="M459">
        <v>0.8</v>
      </c>
      <c r="N459">
        <v>0.5333333333333333</v>
      </c>
      <c r="O459">
        <v>1</v>
      </c>
      <c r="P459">
        <v>0.08083252207959757</v>
      </c>
      <c r="Q459">
        <v>1.743155149934811</v>
      </c>
      <c r="R459" t="s">
        <v>781</v>
      </c>
      <c r="S459" t="s">
        <v>793</v>
      </c>
      <c r="T459">
        <v>1338.093704</v>
      </c>
      <c r="U459" s="2">
        <v>44497</v>
      </c>
      <c r="V459" t="s">
        <v>795</v>
      </c>
    </row>
    <row r="460" spans="1:22">
      <c r="A460" s="1" t="s">
        <v>480</v>
      </c>
      <c r="B460">
        <f>HYPERLINK("https://www.suredividend.com/sure-analysis-EOG/","EOG Resources, Inc.")</f>
        <v>0</v>
      </c>
      <c r="C460">
        <v>91.76000000000001</v>
      </c>
      <c r="D460">
        <v>135</v>
      </c>
      <c r="E460">
        <v>0.6797037037037037</v>
      </c>
      <c r="F460">
        <v>0.03269398430688753</v>
      </c>
      <c r="G460">
        <v>0.08027934570695594</v>
      </c>
      <c r="H460">
        <v>0.03</v>
      </c>
      <c r="I460">
        <v>0.1384980729887031</v>
      </c>
      <c r="J460" t="s">
        <v>513</v>
      </c>
      <c r="K460" t="s">
        <v>372</v>
      </c>
      <c r="L460">
        <v>7.5</v>
      </c>
      <c r="M460">
        <v>3</v>
      </c>
      <c r="N460">
        <v>0.4</v>
      </c>
      <c r="O460">
        <v>4</v>
      </c>
      <c r="P460">
        <v>0.08009875865888949</v>
      </c>
      <c r="Q460">
        <v>0.9519783168548631</v>
      </c>
      <c r="R460" t="s">
        <v>780</v>
      </c>
      <c r="S460" t="s">
        <v>793</v>
      </c>
      <c r="T460">
        <v>50733.152253</v>
      </c>
      <c r="U460" s="2">
        <v>44513</v>
      </c>
      <c r="V460" t="s">
        <v>806</v>
      </c>
    </row>
    <row r="461" spans="1:22">
      <c r="A461" s="1" t="s">
        <v>481</v>
      </c>
      <c r="B461">
        <f>HYPERLINK("https://www.suredividend.com/sure-analysis-PHG/","Koninklijke Philips N.V.")</f>
        <v>0</v>
      </c>
      <c r="C461">
        <v>38.32</v>
      </c>
      <c r="D461">
        <v>40</v>
      </c>
      <c r="E461">
        <v>0.958</v>
      </c>
      <c r="F461">
        <v>0.02687891440501044</v>
      </c>
      <c r="G461">
        <v>0.00861842682815106</v>
      </c>
      <c r="H461">
        <v>0.1</v>
      </c>
      <c r="I461">
        <v>0.1292087631876395</v>
      </c>
      <c r="J461" t="s">
        <v>513</v>
      </c>
      <c r="K461" t="s">
        <v>513</v>
      </c>
      <c r="L461">
        <v>2.2</v>
      </c>
      <c r="M461">
        <v>1.03</v>
      </c>
      <c r="N461">
        <v>0.4681818181818181</v>
      </c>
      <c r="O461">
        <v>1</v>
      </c>
      <c r="P461">
        <v>0.04766208135176786</v>
      </c>
      <c r="Q461">
        <v>-0.234739102172671</v>
      </c>
      <c r="R461" t="s">
        <v>780</v>
      </c>
      <c r="S461" t="s">
        <v>785</v>
      </c>
      <c r="T461">
        <v>35640.949946</v>
      </c>
      <c r="U461" s="2">
        <v>44491</v>
      </c>
      <c r="V461" t="s">
        <v>803</v>
      </c>
    </row>
    <row r="462" spans="1:22">
      <c r="A462" s="1" t="s">
        <v>482</v>
      </c>
      <c r="B462">
        <f>HYPERLINK("https://www.suredividend.com/sure-analysis-PGR/","Progressive Corp.")</f>
        <v>0</v>
      </c>
      <c r="C462">
        <v>94.52</v>
      </c>
      <c r="D462">
        <v>96</v>
      </c>
      <c r="E462">
        <v>0.9845833333333333</v>
      </c>
      <c r="F462">
        <v>0.05184088023698689</v>
      </c>
      <c r="G462">
        <v>0.003112180639537332</v>
      </c>
      <c r="H462">
        <v>0.08</v>
      </c>
      <c r="I462">
        <v>0.127334022279735</v>
      </c>
      <c r="J462" t="s">
        <v>513</v>
      </c>
      <c r="K462" t="s">
        <v>372</v>
      </c>
      <c r="L462">
        <v>7.7</v>
      </c>
      <c r="M462">
        <v>4.9</v>
      </c>
      <c r="N462">
        <v>0.6363636363636364</v>
      </c>
      <c r="O462">
        <v>4</v>
      </c>
      <c r="P462">
        <v>0.0800087729241854</v>
      </c>
      <c r="Q462">
        <v>0.037672997167113</v>
      </c>
      <c r="R462" t="s">
        <v>780</v>
      </c>
      <c r="S462" t="s">
        <v>790</v>
      </c>
      <c r="T462">
        <v>53855.10797</v>
      </c>
      <c r="U462" s="2">
        <v>44494</v>
      </c>
      <c r="V462" t="s">
        <v>795</v>
      </c>
    </row>
    <row r="463" spans="1:22">
      <c r="A463" s="1" t="s">
        <v>483</v>
      </c>
      <c r="B463">
        <f>HYPERLINK("https://www.suredividend.com/sure-analysis-AZN/","Astrazeneca plc")</f>
        <v>0</v>
      </c>
      <c r="C463">
        <v>56.73</v>
      </c>
      <c r="D463">
        <v>78</v>
      </c>
      <c r="E463">
        <v>0.7273076923076923</v>
      </c>
      <c r="F463">
        <v>0.02467830072272166</v>
      </c>
      <c r="G463">
        <v>0.06575250921225728</v>
      </c>
      <c r="H463">
        <v>0.04</v>
      </c>
      <c r="I463">
        <v>0.1242719229867233</v>
      </c>
      <c r="J463" t="s">
        <v>513</v>
      </c>
      <c r="K463" t="s">
        <v>513</v>
      </c>
      <c r="L463">
        <v>5.23</v>
      </c>
      <c r="M463">
        <v>1.4</v>
      </c>
      <c r="N463">
        <v>0.2676864244741873</v>
      </c>
      <c r="O463">
        <v>0</v>
      </c>
      <c r="P463">
        <v>0</v>
      </c>
      <c r="Q463">
        <v>0.05072268539077401</v>
      </c>
      <c r="R463" t="s">
        <v>780</v>
      </c>
      <c r="S463" t="s">
        <v>785</v>
      </c>
      <c r="T463">
        <v>175205.03419</v>
      </c>
      <c r="U463" s="2">
        <v>44514</v>
      </c>
      <c r="V463" t="s">
        <v>796</v>
      </c>
    </row>
    <row r="464" spans="1:22">
      <c r="A464" s="1" t="s">
        <v>484</v>
      </c>
      <c r="B464">
        <f>HYPERLINK("https://www.suredividend.com/sure-analysis-KRC/","Kilroy Realty Corp.")</f>
        <v>0</v>
      </c>
      <c r="C464">
        <v>69.23999999999999</v>
      </c>
      <c r="D464">
        <v>75</v>
      </c>
      <c r="E464">
        <v>0.9231999999999999</v>
      </c>
      <c r="F464">
        <v>0.03004043905257077</v>
      </c>
      <c r="G464">
        <v>0.01611026991275044</v>
      </c>
      <c r="H464">
        <v>0.07000000000000001</v>
      </c>
      <c r="I464">
        <v>0.1236765924073111</v>
      </c>
      <c r="J464" t="s">
        <v>513</v>
      </c>
      <c r="K464" t="s">
        <v>513</v>
      </c>
      <c r="L464">
        <v>3.77</v>
      </c>
      <c r="M464">
        <v>2.08</v>
      </c>
      <c r="N464">
        <v>0.5517241379310345</v>
      </c>
      <c r="O464">
        <v>6</v>
      </c>
      <c r="P464">
        <v>0.2052536834036616</v>
      </c>
      <c r="Q464">
        <v>0.130771903099061</v>
      </c>
      <c r="R464" t="s">
        <v>782</v>
      </c>
      <c r="S464" t="s">
        <v>794</v>
      </c>
      <c r="T464">
        <v>8074.288482</v>
      </c>
      <c r="U464" s="2">
        <v>44498</v>
      </c>
      <c r="V464" t="s">
        <v>797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73.83</v>
      </c>
      <c r="D465">
        <v>84</v>
      </c>
      <c r="E465">
        <v>0.8789285714285714</v>
      </c>
      <c r="F465">
        <v>0.04984423676012462</v>
      </c>
      <c r="G465">
        <v>0.02614629997807638</v>
      </c>
      <c r="H465">
        <v>0.06</v>
      </c>
      <c r="I465">
        <v>0.1233185905057057</v>
      </c>
      <c r="J465" t="s">
        <v>513</v>
      </c>
      <c r="K465" t="s">
        <v>777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0.227614611657832</v>
      </c>
      <c r="R465" t="s">
        <v>780</v>
      </c>
      <c r="S465" t="s">
        <v>793</v>
      </c>
      <c r="T465">
        <v>31626.458708</v>
      </c>
      <c r="U465" s="2">
        <v>44501</v>
      </c>
      <c r="V465" t="s">
        <v>803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8.949999999999999</v>
      </c>
      <c r="D466">
        <v>11.1</v>
      </c>
      <c r="E466">
        <v>0.8063063063063063</v>
      </c>
      <c r="F466">
        <v>0.06815642458100558</v>
      </c>
      <c r="G466">
        <v>0.04399877407939545</v>
      </c>
      <c r="H466">
        <v>0.02</v>
      </c>
      <c r="I466">
        <v>0.1203638842266119</v>
      </c>
      <c r="J466" t="s">
        <v>513</v>
      </c>
      <c r="K466" t="s">
        <v>777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0.5573133695882481</v>
      </c>
      <c r="R466" t="s">
        <v>781</v>
      </c>
      <c r="S466" t="s">
        <v>793</v>
      </c>
      <c r="T466">
        <v>23856.952447</v>
      </c>
      <c r="U466" s="2">
        <v>44509</v>
      </c>
      <c r="V466" t="s">
        <v>803</v>
      </c>
    </row>
    <row r="467" spans="1:22">
      <c r="A467" s="1" t="s">
        <v>487</v>
      </c>
      <c r="B467">
        <f>HYPERLINK("https://www.suredividend.com/sure-analysis-SLG/","SL Green Realty Corp.")</f>
        <v>0</v>
      </c>
      <c r="C467">
        <v>74.34999999999999</v>
      </c>
      <c r="D467">
        <v>86</v>
      </c>
      <c r="E467">
        <v>0.8645348837209301</v>
      </c>
      <c r="F467">
        <v>0.04895763281775387</v>
      </c>
      <c r="G467">
        <v>0.02954064256290434</v>
      </c>
      <c r="H467">
        <v>0.05</v>
      </c>
      <c r="I467">
        <v>0.1185474120094165</v>
      </c>
      <c r="J467" t="s">
        <v>513</v>
      </c>
      <c r="K467" t="s">
        <v>372</v>
      </c>
      <c r="L467">
        <v>6.6</v>
      </c>
      <c r="M467">
        <v>3.64</v>
      </c>
      <c r="N467">
        <v>0.5515151515151515</v>
      </c>
      <c r="O467">
        <v>10</v>
      </c>
      <c r="P467">
        <v>0.0386524708023015</v>
      </c>
      <c r="Q467">
        <v>0.308333097214745</v>
      </c>
      <c r="R467" t="s">
        <v>782</v>
      </c>
      <c r="S467" t="s">
        <v>794</v>
      </c>
      <c r="T467">
        <v>4929.766823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HYPERLINK("https://www.suredividend.com/sure-analysis-PTR/","PetroChina Co. Ltd.")</f>
        <v>0</v>
      </c>
      <c r="C468">
        <v>46.04</v>
      </c>
      <c r="D468">
        <v>90</v>
      </c>
      <c r="E468">
        <v>0.5115555555555555</v>
      </c>
      <c r="F468">
        <v>0.07341442224152911</v>
      </c>
      <c r="G468">
        <v>0.1434612163562352</v>
      </c>
      <c r="H468">
        <v>-0.06</v>
      </c>
      <c r="I468">
        <v>0.1172307908828825</v>
      </c>
      <c r="J468" t="s">
        <v>513</v>
      </c>
      <c r="K468" t="s">
        <v>777</v>
      </c>
      <c r="L468">
        <v>7.5</v>
      </c>
      <c r="M468">
        <v>3.38</v>
      </c>
      <c r="N468">
        <v>0.4506666666666667</v>
      </c>
      <c r="O468">
        <v>0</v>
      </c>
      <c r="P468">
        <v>-0.06004514349274603</v>
      </c>
      <c r="Q468">
        <v>0.478719935713556</v>
      </c>
      <c r="R468" t="s">
        <v>780</v>
      </c>
      <c r="S468" t="s">
        <v>793</v>
      </c>
      <c r="T468">
        <v>9473.4061</v>
      </c>
      <c r="U468" s="2">
        <v>44522</v>
      </c>
      <c r="V468" t="s">
        <v>803</v>
      </c>
    </row>
    <row r="469" spans="1:22">
      <c r="A469" s="1" t="s">
        <v>489</v>
      </c>
      <c r="B469">
        <f>HYPERLINK("https://www.suredividend.com/sure-analysis-HAS/","Hasbro, Inc.")</f>
        <v>0</v>
      </c>
      <c r="C469">
        <v>99.5</v>
      </c>
      <c r="D469">
        <v>102</v>
      </c>
      <c r="E469">
        <v>0.9754901960784313</v>
      </c>
      <c r="F469">
        <v>0.02733668341708543</v>
      </c>
      <c r="G469">
        <v>0.004975370076282681</v>
      </c>
      <c r="H469">
        <v>0.09</v>
      </c>
      <c r="I469">
        <v>0.1166118458167305</v>
      </c>
      <c r="J469" t="s">
        <v>513</v>
      </c>
      <c r="K469" t="s">
        <v>513</v>
      </c>
      <c r="L469">
        <v>4.85</v>
      </c>
      <c r="M469">
        <v>2.72</v>
      </c>
      <c r="N469">
        <v>0.5608247422680414</v>
      </c>
      <c r="O469">
        <v>0</v>
      </c>
      <c r="P469">
        <v>0.04991010133745877</v>
      </c>
      <c r="Q469">
        <v>0.11033474773964</v>
      </c>
      <c r="R469" t="s">
        <v>780</v>
      </c>
      <c r="S469" t="s">
        <v>789</v>
      </c>
      <c r="T469">
        <v>13854.00777</v>
      </c>
      <c r="U469" s="2">
        <v>44512</v>
      </c>
      <c r="V469" t="s">
        <v>798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13.78</v>
      </c>
      <c r="D470">
        <v>16.3</v>
      </c>
      <c r="E470">
        <v>0.8453987730061349</v>
      </c>
      <c r="F470">
        <v>0.04354136429608128</v>
      </c>
      <c r="G470">
        <v>0.03415986085573142</v>
      </c>
      <c r="H470">
        <v>0.042</v>
      </c>
      <c r="I470">
        <v>0.1161857008013036</v>
      </c>
      <c r="J470" t="s">
        <v>513</v>
      </c>
      <c r="K470" t="s">
        <v>372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0.4239898701595241</v>
      </c>
      <c r="R470" t="s">
        <v>782</v>
      </c>
      <c r="S470" t="s">
        <v>794</v>
      </c>
      <c r="T470">
        <v>3238.893695</v>
      </c>
      <c r="U470" s="2">
        <v>44509</v>
      </c>
      <c r="V470" t="s">
        <v>805</v>
      </c>
    </row>
    <row r="471" spans="1:22">
      <c r="A471" s="1" t="s">
        <v>491</v>
      </c>
      <c r="B471">
        <f>HYPERLINK("https://www.suredividend.com/sure-analysis-TPR/","Tapestry Inc")</f>
        <v>0</v>
      </c>
      <c r="C471">
        <v>45.99</v>
      </c>
      <c r="D471">
        <v>53</v>
      </c>
      <c r="E471">
        <v>0.8677358490566038</v>
      </c>
      <c r="F471">
        <v>0.02174385736029572</v>
      </c>
      <c r="G471">
        <v>0.02877995083688734</v>
      </c>
      <c r="H471">
        <v>0.07000000000000001</v>
      </c>
      <c r="I471">
        <v>0.1152199964792331</v>
      </c>
      <c r="J471" t="s">
        <v>513</v>
      </c>
      <c r="K471" t="s">
        <v>513</v>
      </c>
      <c r="L471">
        <v>3.33</v>
      </c>
      <c r="M471">
        <v>1</v>
      </c>
      <c r="N471">
        <v>0.3003003003003003</v>
      </c>
      <c r="O471">
        <v>0</v>
      </c>
      <c r="P471">
        <v>0</v>
      </c>
      <c r="Q471">
        <v>0.633386129652675</v>
      </c>
      <c r="R471" t="s">
        <v>780</v>
      </c>
      <c r="S471" t="s">
        <v>789</v>
      </c>
      <c r="T471">
        <v>12711.590753</v>
      </c>
      <c r="U471" s="2">
        <v>44513</v>
      </c>
      <c r="V471" t="s">
        <v>797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101.86</v>
      </c>
      <c r="D472">
        <v>98</v>
      </c>
      <c r="E472">
        <v>1.039387755102041</v>
      </c>
      <c r="F472">
        <v>0.02748870999410956</v>
      </c>
      <c r="G472">
        <v>-0.007696596896587304</v>
      </c>
      <c r="H472">
        <v>0.1</v>
      </c>
      <c r="I472">
        <v>0.1150236336403656</v>
      </c>
      <c r="J472" t="s">
        <v>513</v>
      </c>
      <c r="K472" t="s">
        <v>513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0.759028036059012</v>
      </c>
      <c r="R472" t="s">
        <v>780</v>
      </c>
      <c r="S472" t="s">
        <v>790</v>
      </c>
      <c r="T472">
        <v>178220.995271</v>
      </c>
      <c r="U472" s="2">
        <v>44483</v>
      </c>
      <c r="V472" t="s">
        <v>795</v>
      </c>
    </row>
    <row r="473" spans="1:22">
      <c r="A473" s="1" t="s">
        <v>493</v>
      </c>
      <c r="B473">
        <f>HYPERLINK("https://www.suredividend.com/sure-analysis-MKTX/","MarketAxess Holdings Inc.")</f>
        <v>0</v>
      </c>
      <c r="C473">
        <v>362.75</v>
      </c>
      <c r="D473">
        <v>300</v>
      </c>
      <c r="E473">
        <v>1.209166666666667</v>
      </c>
      <c r="F473">
        <v>0.007277739490006892</v>
      </c>
      <c r="G473">
        <v>-0.03727385389072357</v>
      </c>
      <c r="H473">
        <v>0.15</v>
      </c>
      <c r="I473">
        <v>0.1145468284302968</v>
      </c>
      <c r="J473" t="s">
        <v>513</v>
      </c>
      <c r="K473" t="s">
        <v>778</v>
      </c>
      <c r="L473">
        <v>7.15</v>
      </c>
      <c r="M473">
        <v>2.64</v>
      </c>
      <c r="N473">
        <v>0.3692307692307693</v>
      </c>
      <c r="O473">
        <v>11</v>
      </c>
      <c r="P473">
        <v>0.1500007374307972</v>
      </c>
      <c r="Q473">
        <v>-0.323740919760225</v>
      </c>
      <c r="R473" t="s">
        <v>780</v>
      </c>
      <c r="S473" t="s">
        <v>790</v>
      </c>
      <c r="T473">
        <v>13965.225882</v>
      </c>
      <c r="U473" s="2">
        <v>44494</v>
      </c>
      <c r="V473" t="s">
        <v>801</v>
      </c>
    </row>
    <row r="474" spans="1:22">
      <c r="A474" s="1" t="s">
        <v>494</v>
      </c>
      <c r="B474">
        <f>HYPERLINK("https://www.suredividend.com/sure-analysis-TGP/","Teekay LNG Partners LP")</f>
        <v>0</v>
      </c>
      <c r="C474">
        <v>16.89</v>
      </c>
      <c r="D474">
        <v>18.5</v>
      </c>
      <c r="E474">
        <v>0.912972972972973</v>
      </c>
      <c r="F474">
        <v>0.06808762581409117</v>
      </c>
      <c r="G474">
        <v>0.01837660964912047</v>
      </c>
      <c r="H474">
        <v>0.04</v>
      </c>
      <c r="I474">
        <v>0.1140866794229807</v>
      </c>
      <c r="J474" t="s">
        <v>513</v>
      </c>
      <c r="K474" t="s">
        <v>777</v>
      </c>
      <c r="L474">
        <v>3.7</v>
      </c>
      <c r="M474">
        <v>1.15</v>
      </c>
      <c r="N474">
        <v>0.3108108108108107</v>
      </c>
      <c r="O474">
        <v>3</v>
      </c>
      <c r="P474">
        <v>0.04012620718096094</v>
      </c>
      <c r="Q474">
        <v>0.5010131172016631</v>
      </c>
      <c r="R474" t="s">
        <v>781</v>
      </c>
      <c r="S474" t="s">
        <v>793</v>
      </c>
      <c r="T474">
        <v>1468.606342</v>
      </c>
      <c r="U474" s="2">
        <v>44515</v>
      </c>
      <c r="V474" t="s">
        <v>795</v>
      </c>
    </row>
    <row r="475" spans="1:22">
      <c r="A475" s="1" t="s">
        <v>495</v>
      </c>
      <c r="B475">
        <f>HYPERLINK("https://www.suredividend.com/sure-analysis-GORO/","Gold Resource Corporation")</f>
        <v>0</v>
      </c>
      <c r="C475">
        <v>2.03</v>
      </c>
      <c r="D475">
        <v>1.35</v>
      </c>
      <c r="E475">
        <v>1.503703703703704</v>
      </c>
      <c r="F475">
        <v>0.01970443349753695</v>
      </c>
      <c r="G475">
        <v>-0.07834677705870774</v>
      </c>
      <c r="H475">
        <v>0.19</v>
      </c>
      <c r="I475">
        <v>0.1137180843929313</v>
      </c>
      <c r="J475" t="s">
        <v>513</v>
      </c>
      <c r="K475" t="s">
        <v>778</v>
      </c>
      <c r="L475">
        <v>0.09</v>
      </c>
      <c r="M475">
        <v>0.04</v>
      </c>
      <c r="N475">
        <v>0.4444444444444445</v>
      </c>
      <c r="O475">
        <v>0</v>
      </c>
      <c r="P475">
        <v>0.08447177119769855</v>
      </c>
      <c r="Q475">
        <v>-0.296394019349164</v>
      </c>
      <c r="R475" t="s">
        <v>780</v>
      </c>
      <c r="S475" t="s">
        <v>788</v>
      </c>
      <c r="T475">
        <v>155.129892</v>
      </c>
      <c r="U475" s="2">
        <v>44512</v>
      </c>
      <c r="V475" t="s">
        <v>803</v>
      </c>
    </row>
    <row r="476" spans="1:22">
      <c r="A476" s="1" t="s">
        <v>496</v>
      </c>
      <c r="B476">
        <f>HYPERLINK("https://www.suredividend.com/sure-analysis-HSBC/","HSBC Holdings plc")</f>
        <v>0</v>
      </c>
      <c r="C476">
        <v>29.62</v>
      </c>
      <c r="D476">
        <v>39</v>
      </c>
      <c r="E476">
        <v>0.7594871794871795</v>
      </c>
      <c r="F476">
        <v>0.03713706954760297</v>
      </c>
      <c r="G476">
        <v>0.0565642470676142</v>
      </c>
      <c r="H476">
        <v>0.03</v>
      </c>
      <c r="I476">
        <v>0.113536876804111</v>
      </c>
      <c r="J476" t="s">
        <v>513</v>
      </c>
      <c r="K476" t="s">
        <v>372</v>
      </c>
      <c r="L476">
        <v>3.23</v>
      </c>
      <c r="M476">
        <v>1.1</v>
      </c>
      <c r="N476">
        <v>0.3405572755417957</v>
      </c>
      <c r="O476">
        <v>0</v>
      </c>
      <c r="P476">
        <v>0</v>
      </c>
      <c r="Q476">
        <v>0.195096408550483</v>
      </c>
      <c r="R476" t="s">
        <v>780</v>
      </c>
      <c r="S476" t="s">
        <v>790</v>
      </c>
      <c r="T476">
        <v>118640.493186</v>
      </c>
      <c r="U476" s="2">
        <v>44495</v>
      </c>
      <c r="V476" t="s">
        <v>797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13.79</v>
      </c>
      <c r="D477">
        <v>17</v>
      </c>
      <c r="E477">
        <v>0.8111764705882353</v>
      </c>
      <c r="F477">
        <v>0.04350978970268311</v>
      </c>
      <c r="G477">
        <v>0.04274215474898435</v>
      </c>
      <c r="H477">
        <v>0.035</v>
      </c>
      <c r="I477">
        <v>0.1131682669886171</v>
      </c>
      <c r="J477" t="s">
        <v>513</v>
      </c>
      <c r="K477" t="s">
        <v>777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-0.04157857646229701</v>
      </c>
      <c r="R477" t="s">
        <v>780</v>
      </c>
      <c r="S477" t="s">
        <v>785</v>
      </c>
      <c r="T477">
        <v>53443.870061</v>
      </c>
      <c r="U477" s="2">
        <v>44519</v>
      </c>
      <c r="V477" t="s">
        <v>800</v>
      </c>
    </row>
    <row r="478" spans="1:22">
      <c r="A478" s="1" t="s">
        <v>498</v>
      </c>
      <c r="B478">
        <f>HYPERLINK("https://www.suredividend.com/sure-analysis-OPI/","Office Properties Income Trust")</f>
        <v>0</v>
      </c>
      <c r="C478">
        <v>25.5</v>
      </c>
      <c r="D478">
        <v>28</v>
      </c>
      <c r="E478">
        <v>0.9107142857142857</v>
      </c>
      <c r="F478">
        <v>0.08627450980392158</v>
      </c>
      <c r="G478">
        <v>0.01888124997130225</v>
      </c>
      <c r="H478">
        <v>0.03</v>
      </c>
      <c r="I478">
        <v>0.1125236626914341</v>
      </c>
      <c r="J478" t="s">
        <v>513</v>
      </c>
      <c r="K478" t="s">
        <v>777</v>
      </c>
      <c r="L478">
        <v>4.7</v>
      </c>
      <c r="M478">
        <v>2.2</v>
      </c>
      <c r="N478">
        <v>0.4680851063829787</v>
      </c>
      <c r="O478">
        <v>0</v>
      </c>
      <c r="P478">
        <v>0</v>
      </c>
      <c r="Q478">
        <v>0.171422639507255</v>
      </c>
      <c r="R478" t="s">
        <v>782</v>
      </c>
      <c r="S478" t="s">
        <v>794</v>
      </c>
      <c r="T478">
        <v>1229.527634</v>
      </c>
      <c r="U478" s="2">
        <v>44510</v>
      </c>
      <c r="V478" t="s">
        <v>803</v>
      </c>
    </row>
    <row r="479" spans="1:22">
      <c r="A479" s="1" t="s">
        <v>499</v>
      </c>
      <c r="B479">
        <f>HYPERLINK("https://www.suredividend.com/sure-analysis-MGP/","MGM Growth Properties LLC")</f>
        <v>0</v>
      </c>
      <c r="C479">
        <v>38.24</v>
      </c>
      <c r="D479">
        <v>38</v>
      </c>
      <c r="E479">
        <v>1.006315789473684</v>
      </c>
      <c r="F479">
        <v>0.05334728033472803</v>
      </c>
      <c r="G479">
        <v>-0.001258393249705558</v>
      </c>
      <c r="H479">
        <v>0.07000000000000001</v>
      </c>
      <c r="I479">
        <v>0.1111894695356541</v>
      </c>
      <c r="J479" t="s">
        <v>513</v>
      </c>
      <c r="K479" t="s">
        <v>777</v>
      </c>
      <c r="L479">
        <v>2.54</v>
      </c>
      <c r="M479">
        <v>2.04</v>
      </c>
      <c r="N479">
        <v>0.8031496062992126</v>
      </c>
      <c r="O479">
        <v>46</v>
      </c>
      <c r="P479">
        <v>0.0398346919425614</v>
      </c>
      <c r="Q479">
        <v>0.309138888984334</v>
      </c>
      <c r="R479" t="s">
        <v>782</v>
      </c>
      <c r="S479" t="s">
        <v>794</v>
      </c>
      <c r="T479">
        <v>5968.777775</v>
      </c>
      <c r="U479" s="2">
        <v>44507</v>
      </c>
      <c r="V479" t="s">
        <v>797</v>
      </c>
    </row>
    <row r="480" spans="1:22">
      <c r="A480" s="1" t="s">
        <v>500</v>
      </c>
      <c r="B480">
        <f>HYPERLINK("https://www.suredividend.com/sure-analysis-VALE/","Vale S.A.")</f>
        <v>0</v>
      </c>
      <c r="C480">
        <v>12.49</v>
      </c>
      <c r="D480">
        <v>21</v>
      </c>
      <c r="E480">
        <v>0.5947619047619048</v>
      </c>
      <c r="F480">
        <v>0.1817453963170536</v>
      </c>
      <c r="G480">
        <v>0.1095103842215415</v>
      </c>
      <c r="H480">
        <v>-0.07000000000000001</v>
      </c>
      <c r="I480">
        <v>0.1106737594940301</v>
      </c>
      <c r="J480" t="s">
        <v>513</v>
      </c>
      <c r="K480" t="s">
        <v>777</v>
      </c>
      <c r="L480">
        <v>4.2</v>
      </c>
      <c r="M480">
        <v>2.27</v>
      </c>
      <c r="N480">
        <v>0.5404761904761904</v>
      </c>
      <c r="O480">
        <v>1</v>
      </c>
      <c r="P480">
        <v>-0.1803080202371039</v>
      </c>
      <c r="Q480">
        <v>0.125776040469073</v>
      </c>
      <c r="R480" t="s">
        <v>780</v>
      </c>
      <c r="S480" t="s">
        <v>788</v>
      </c>
      <c r="T480">
        <v>62821.290792</v>
      </c>
      <c r="U480" s="2">
        <v>44503</v>
      </c>
      <c r="V480" t="s">
        <v>800</v>
      </c>
    </row>
    <row r="481" spans="1:22">
      <c r="A481" s="1" t="s">
        <v>501</v>
      </c>
      <c r="B481">
        <f>HYPERLINK("https://www.suredividend.com/sure-analysis-NYCB/","New York Community Bancorp Inc.")</f>
        <v>0</v>
      </c>
      <c r="C481">
        <v>12.62</v>
      </c>
      <c r="D481">
        <v>14</v>
      </c>
      <c r="E481">
        <v>0.9014285714285714</v>
      </c>
      <c r="F481">
        <v>0.05388272583201269</v>
      </c>
      <c r="G481">
        <v>0.02097177516972093</v>
      </c>
      <c r="H481">
        <v>0.05</v>
      </c>
      <c r="I481">
        <v>0.1100261805300826</v>
      </c>
      <c r="J481" t="s">
        <v>513</v>
      </c>
      <c r="K481" t="s">
        <v>372</v>
      </c>
      <c r="L481">
        <v>1.25</v>
      </c>
      <c r="M481">
        <v>0.68</v>
      </c>
      <c r="N481">
        <v>0.544</v>
      </c>
      <c r="O481">
        <v>0</v>
      </c>
      <c r="P481">
        <v>0</v>
      </c>
      <c r="Q481">
        <v>0.467769831253213</v>
      </c>
      <c r="R481" t="s">
        <v>780</v>
      </c>
      <c r="S481" t="s">
        <v>790</v>
      </c>
      <c r="T481">
        <v>5840.661235</v>
      </c>
      <c r="U481" s="2">
        <v>44512</v>
      </c>
      <c r="V481" t="s">
        <v>798</v>
      </c>
    </row>
    <row r="482" spans="1:22">
      <c r="A482" s="1" t="s">
        <v>502</v>
      </c>
      <c r="B482">
        <f>HYPERLINK("https://www.suredividend.com/sure-analysis-MFC/","Manulife Financial Corp.")</f>
        <v>0</v>
      </c>
      <c r="C482">
        <v>19.51</v>
      </c>
      <c r="D482">
        <v>19.95</v>
      </c>
      <c r="E482">
        <v>0.9779448621553886</v>
      </c>
      <c r="F482">
        <v>0.04613018964633521</v>
      </c>
      <c r="G482">
        <v>0.004470360120723438</v>
      </c>
      <c r="H482">
        <v>0.065</v>
      </c>
      <c r="I482">
        <v>0.1099283248103204</v>
      </c>
      <c r="J482" t="s">
        <v>513</v>
      </c>
      <c r="K482" t="s">
        <v>777</v>
      </c>
      <c r="L482">
        <v>2.66</v>
      </c>
      <c r="M482">
        <v>0.9</v>
      </c>
      <c r="N482">
        <v>0.3383458646616541</v>
      </c>
      <c r="O482">
        <v>7</v>
      </c>
      <c r="P482">
        <v>0.06961037572506878</v>
      </c>
      <c r="Q482">
        <v>0.210379713407234</v>
      </c>
      <c r="R482" t="s">
        <v>780</v>
      </c>
      <c r="S482" t="s">
        <v>790</v>
      </c>
      <c r="T482">
        <v>37392.62194</v>
      </c>
      <c r="U482" s="2">
        <v>44511</v>
      </c>
      <c r="V482" t="s">
        <v>795</v>
      </c>
    </row>
    <row r="483" spans="1:22">
      <c r="A483" s="1" t="s">
        <v>503</v>
      </c>
      <c r="B483">
        <f>HYPERLINK("https://www.suredividend.com/sure-analysis-LUMN/","Lumen Technologies Inc")</f>
        <v>0</v>
      </c>
      <c r="C483">
        <v>13.82</v>
      </c>
      <c r="D483">
        <v>17</v>
      </c>
      <c r="E483">
        <v>0.8129411764705883</v>
      </c>
      <c r="F483">
        <v>0.0723589001447178</v>
      </c>
      <c r="G483">
        <v>0.04228905109228842</v>
      </c>
      <c r="H483">
        <v>0.013</v>
      </c>
      <c r="I483">
        <v>0.1085337891174334</v>
      </c>
      <c r="J483" t="s">
        <v>513</v>
      </c>
      <c r="K483" t="s">
        <v>777</v>
      </c>
      <c r="L483">
        <v>1.92</v>
      </c>
      <c r="M483">
        <v>1</v>
      </c>
      <c r="N483">
        <v>0.5208333333333334</v>
      </c>
      <c r="O483">
        <v>0</v>
      </c>
      <c r="P483">
        <v>0</v>
      </c>
      <c r="Q483">
        <v>0.436617935573697</v>
      </c>
      <c r="R483" t="s">
        <v>780</v>
      </c>
      <c r="S483" t="s">
        <v>784</v>
      </c>
      <c r="T483">
        <v>13945.438541</v>
      </c>
      <c r="U483" s="2">
        <v>44508</v>
      </c>
      <c r="V483" t="s">
        <v>801</v>
      </c>
    </row>
    <row r="484" spans="1:22">
      <c r="A484" s="1" t="s">
        <v>504</v>
      </c>
      <c r="B484">
        <f>HYPERLINK("https://www.suredividend.com/sure-analysis-WEN/","Wendy`s Co")</f>
        <v>0</v>
      </c>
      <c r="C484">
        <v>21.88</v>
      </c>
      <c r="D484">
        <v>24</v>
      </c>
      <c r="E484">
        <v>0.9116666666666666</v>
      </c>
      <c r="F484">
        <v>0.02193784277879342</v>
      </c>
      <c r="G484">
        <v>0.01866828423184286</v>
      </c>
      <c r="H484">
        <v>0.07000000000000001</v>
      </c>
      <c r="I484">
        <v>0.1084110859902743</v>
      </c>
      <c r="J484" t="s">
        <v>513</v>
      </c>
      <c r="K484" t="s">
        <v>778</v>
      </c>
      <c r="L484">
        <v>0.8</v>
      </c>
      <c r="M484">
        <v>0.48</v>
      </c>
      <c r="N484">
        <v>0.6</v>
      </c>
      <c r="O484">
        <v>1</v>
      </c>
      <c r="P484">
        <v>0.06897294358221773</v>
      </c>
      <c r="Q484">
        <v>-0.011046627253168</v>
      </c>
      <c r="R484" t="s">
        <v>780</v>
      </c>
      <c r="S484" t="s">
        <v>789</v>
      </c>
      <c r="T484">
        <v>4827.481372</v>
      </c>
      <c r="U484" s="2">
        <v>44513</v>
      </c>
      <c r="V484" t="s">
        <v>801</v>
      </c>
    </row>
    <row r="485" spans="1:22">
      <c r="A485" s="1" t="s">
        <v>505</v>
      </c>
      <c r="B485">
        <f>HYPERLINK("https://www.suredividend.com/sure-analysis-TS/","Tenaris S.A.")</f>
        <v>0</v>
      </c>
      <c r="C485">
        <v>21.58</v>
      </c>
      <c r="D485">
        <v>25</v>
      </c>
      <c r="E485">
        <v>0.8632</v>
      </c>
      <c r="F485">
        <v>0.02409638554216868</v>
      </c>
      <c r="G485">
        <v>0.02985886955880002</v>
      </c>
      <c r="H485">
        <v>0.06</v>
      </c>
      <c r="I485">
        <v>0.1081137717092064</v>
      </c>
      <c r="J485" t="s">
        <v>513</v>
      </c>
      <c r="K485" t="s">
        <v>513</v>
      </c>
      <c r="L485">
        <v>1.45</v>
      </c>
      <c r="M485">
        <v>0.52</v>
      </c>
      <c r="N485">
        <v>0.3586206896551725</v>
      </c>
      <c r="O485">
        <v>0</v>
      </c>
      <c r="P485">
        <v>0</v>
      </c>
      <c r="Q485">
        <v>0.487410979644479</v>
      </c>
      <c r="R485" t="s">
        <v>780</v>
      </c>
      <c r="S485" t="s">
        <v>793</v>
      </c>
      <c r="T485">
        <v>12525.495766</v>
      </c>
      <c r="U485" s="2">
        <v>44522</v>
      </c>
      <c r="V485" t="s">
        <v>798</v>
      </c>
    </row>
    <row r="486" spans="1:22">
      <c r="A486" s="1" t="s">
        <v>506</v>
      </c>
      <c r="B486">
        <f>HYPERLINK("https://www.suredividend.com/sure-analysis-TFC/","Truist Financial Corporation")</f>
        <v>0</v>
      </c>
      <c r="C486">
        <v>62.91</v>
      </c>
      <c r="D486">
        <v>70</v>
      </c>
      <c r="E486">
        <v>0.8987142857142857</v>
      </c>
      <c r="F486">
        <v>0.03051979017644254</v>
      </c>
      <c r="G486">
        <v>0.02158773674357373</v>
      </c>
      <c r="H486">
        <v>0.06</v>
      </c>
      <c r="I486">
        <v>0.1074906272470677</v>
      </c>
      <c r="J486" t="s">
        <v>513</v>
      </c>
      <c r="K486" t="s">
        <v>372</v>
      </c>
      <c r="L486">
        <v>5.38</v>
      </c>
      <c r="M486">
        <v>1.92</v>
      </c>
      <c r="N486">
        <v>0.3568773234200743</v>
      </c>
      <c r="O486">
        <v>10</v>
      </c>
      <c r="P486">
        <v>0.04996052445273014</v>
      </c>
      <c r="Q486">
        <v>0.387486710325295</v>
      </c>
      <c r="R486" t="s">
        <v>780</v>
      </c>
      <c r="S486" t="s">
        <v>790</v>
      </c>
      <c r="T486">
        <v>82923.461595</v>
      </c>
      <c r="U486" s="2">
        <v>44493</v>
      </c>
      <c r="V486" t="s">
        <v>801</v>
      </c>
    </row>
    <row r="487" spans="1:22">
      <c r="A487" s="1" t="s">
        <v>507</v>
      </c>
      <c r="B487">
        <f>HYPERLINK("https://www.suredividend.com/sure-analysis-DRI/","Darden Restaurants, Inc.")</f>
        <v>0</v>
      </c>
      <c r="C487">
        <v>148.4</v>
      </c>
      <c r="D487">
        <v>148</v>
      </c>
      <c r="E487">
        <v>1.002702702702703</v>
      </c>
      <c r="F487">
        <v>0.02964959568733154</v>
      </c>
      <c r="G487">
        <v>-0.0005396657218755818</v>
      </c>
      <c r="H487">
        <v>0.08</v>
      </c>
      <c r="I487">
        <v>0.1057862451545375</v>
      </c>
      <c r="J487" t="s">
        <v>513</v>
      </c>
      <c r="K487" t="s">
        <v>513</v>
      </c>
      <c r="L487">
        <v>7.42</v>
      </c>
      <c r="M487">
        <v>4.4</v>
      </c>
      <c r="N487">
        <v>0.5929919137466307</v>
      </c>
      <c r="O487">
        <v>1</v>
      </c>
      <c r="P487">
        <v>0.08016554685867416</v>
      </c>
      <c r="Q487">
        <v>0.376482935697284</v>
      </c>
      <c r="R487" t="s">
        <v>780</v>
      </c>
      <c r="S487" t="s">
        <v>789</v>
      </c>
      <c r="T487">
        <v>19064.119091</v>
      </c>
      <c r="U487" s="2">
        <v>44464</v>
      </c>
      <c r="V487" t="s">
        <v>797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71.93000000000001</v>
      </c>
      <c r="D488">
        <v>65</v>
      </c>
      <c r="E488">
        <v>1.106615384615385</v>
      </c>
      <c r="F488">
        <v>0.009453635478937857</v>
      </c>
      <c r="G488">
        <v>-0.02005735133140596</v>
      </c>
      <c r="H488">
        <v>0.12</v>
      </c>
      <c r="I488">
        <v>0.1051617020480071</v>
      </c>
      <c r="J488" t="s">
        <v>513</v>
      </c>
      <c r="K488" t="s">
        <v>778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0.06597561011998</v>
      </c>
      <c r="R488" t="s">
        <v>782</v>
      </c>
      <c r="S488" t="s">
        <v>794</v>
      </c>
      <c r="T488">
        <v>4041.202783</v>
      </c>
      <c r="U488" s="2">
        <v>44492</v>
      </c>
      <c r="V488" t="s">
        <v>805</v>
      </c>
    </row>
    <row r="489" spans="1:22">
      <c r="A489" s="1" t="s">
        <v>509</v>
      </c>
      <c r="B489">
        <f>HYPERLINK("https://www.suredividend.com/sure-analysis-BP/","BP plc")</f>
        <v>0</v>
      </c>
      <c r="C489">
        <v>27.46</v>
      </c>
      <c r="D489">
        <v>42</v>
      </c>
      <c r="E489">
        <v>0.6538095238095238</v>
      </c>
      <c r="F489">
        <v>0.04770575382374363</v>
      </c>
      <c r="G489">
        <v>0.08870383188639996</v>
      </c>
      <c r="H489">
        <v>-0.02</v>
      </c>
      <c r="I489">
        <v>0.1044782623629192</v>
      </c>
      <c r="J489" t="s">
        <v>513</v>
      </c>
      <c r="K489" t="s">
        <v>777</v>
      </c>
      <c r="L489">
        <v>3.5</v>
      </c>
      <c r="M489">
        <v>1.31</v>
      </c>
      <c r="N489">
        <v>0.3742857142857143</v>
      </c>
      <c r="O489">
        <v>0</v>
      </c>
      <c r="P489">
        <v>0.03018318869451253</v>
      </c>
      <c r="Q489">
        <v>0.437452484808618</v>
      </c>
      <c r="R489" t="s">
        <v>780</v>
      </c>
      <c r="S489" t="s">
        <v>793</v>
      </c>
      <c r="T489">
        <v>88152.295029</v>
      </c>
      <c r="U489" s="2">
        <v>44512</v>
      </c>
      <c r="V489" t="s">
        <v>803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47.73</v>
      </c>
      <c r="D490">
        <v>58</v>
      </c>
      <c r="E490">
        <v>0.8229310344827586</v>
      </c>
      <c r="F490">
        <v>0.02849360988895873</v>
      </c>
      <c r="G490">
        <v>0.03974612825357493</v>
      </c>
      <c r="H490">
        <v>0.04</v>
      </c>
      <c r="I490">
        <v>0.1038193782446555</v>
      </c>
      <c r="J490" t="s">
        <v>513</v>
      </c>
      <c r="K490" t="s">
        <v>513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0.09767377329695201</v>
      </c>
      <c r="R490" t="s">
        <v>780</v>
      </c>
      <c r="S490" t="s">
        <v>791</v>
      </c>
      <c r="T490">
        <v>9663.495472000001</v>
      </c>
      <c r="U490" s="2">
        <v>44500</v>
      </c>
      <c r="V490" t="s">
        <v>799</v>
      </c>
    </row>
    <row r="491" spans="1:22">
      <c r="A491" s="1" t="s">
        <v>511</v>
      </c>
      <c r="B491">
        <f>HYPERLINK("https://www.suredividend.com/sure-analysis-IMBBY/","Imperial Brands Plc")</f>
        <v>0</v>
      </c>
      <c r="C491">
        <v>21.4435</v>
      </c>
      <c r="D491">
        <v>22</v>
      </c>
      <c r="E491">
        <v>0.9747045454545454</v>
      </c>
      <c r="F491">
        <v>0.08813859677757828</v>
      </c>
      <c r="G491">
        <v>0.005137327889379151</v>
      </c>
      <c r="H491">
        <v>0.03</v>
      </c>
      <c r="I491">
        <v>0.1026566870373555</v>
      </c>
      <c r="J491" t="s">
        <v>513</v>
      </c>
      <c r="K491" t="s">
        <v>777</v>
      </c>
      <c r="L491">
        <v>3.32</v>
      </c>
      <c r="M491">
        <v>1.89</v>
      </c>
      <c r="N491">
        <v>0.5692771084337349</v>
      </c>
      <c r="O491">
        <v>0</v>
      </c>
      <c r="P491">
        <v>0</v>
      </c>
      <c r="Q491">
        <v>0.166023906419789</v>
      </c>
      <c r="R491" t="s">
        <v>780</v>
      </c>
      <c r="S491" t="s">
        <v>791</v>
      </c>
      <c r="T491">
        <v>20716.873331</v>
      </c>
      <c r="U491" s="2">
        <v>44516</v>
      </c>
      <c r="V491" t="s">
        <v>796</v>
      </c>
    </row>
    <row r="492" spans="1:22">
      <c r="A492" s="1" t="s">
        <v>512</v>
      </c>
      <c r="B492">
        <f>HYPERLINK("https://www.suredividend.com/sure-analysis-DOW/","Dow Inc")</f>
        <v>0</v>
      </c>
      <c r="C492">
        <v>59.18</v>
      </c>
      <c r="D492">
        <v>117</v>
      </c>
      <c r="E492">
        <v>0.5058119658119659</v>
      </c>
      <c r="F492">
        <v>0.04731328151402501</v>
      </c>
      <c r="G492">
        <v>0.1460463443434483</v>
      </c>
      <c r="H492">
        <v>-0.07000000000000001</v>
      </c>
      <c r="I492">
        <v>0.1001974176725389</v>
      </c>
      <c r="J492" t="s">
        <v>513</v>
      </c>
      <c r="K492" t="s">
        <v>777</v>
      </c>
      <c r="L492">
        <v>9</v>
      </c>
      <c r="M492">
        <v>2.8</v>
      </c>
      <c r="N492">
        <v>0.3111111111111111</v>
      </c>
      <c r="O492">
        <v>0</v>
      </c>
      <c r="P492">
        <v>0</v>
      </c>
      <c r="Q492">
        <v>0.109033938815433</v>
      </c>
      <c r="R492" t="s">
        <v>780</v>
      </c>
      <c r="S492" t="s">
        <v>788</v>
      </c>
      <c r="T492">
        <v>43481.931281</v>
      </c>
      <c r="U492" s="2">
        <v>44498</v>
      </c>
      <c r="V492" t="s">
        <v>798</v>
      </c>
    </row>
    <row r="493" spans="1:22">
      <c r="A493" s="1" t="s">
        <v>513</v>
      </c>
      <c r="B493">
        <f>HYPERLINK("https://www.suredividend.com/sure-analysis-D/","Dominion Energy Inc")</f>
        <v>0</v>
      </c>
      <c r="C493">
        <v>74.81999999999999</v>
      </c>
      <c r="D493">
        <v>77</v>
      </c>
      <c r="E493">
        <v>0.9716883116883116</v>
      </c>
      <c r="F493">
        <v>0.03368083400160386</v>
      </c>
      <c r="G493">
        <v>0.005760567208238587</v>
      </c>
      <c r="H493">
        <v>0.065</v>
      </c>
      <c r="I493">
        <v>0.1000906098606256</v>
      </c>
      <c r="J493" t="s">
        <v>513</v>
      </c>
      <c r="K493" t="s">
        <v>513</v>
      </c>
      <c r="L493">
        <v>3.85</v>
      </c>
      <c r="M493">
        <v>2.52</v>
      </c>
      <c r="N493">
        <v>0.6545454545454545</v>
      </c>
      <c r="O493">
        <v>16</v>
      </c>
      <c r="P493">
        <v>0.05985358218414349</v>
      </c>
      <c r="Q493">
        <v>-0.026772945234289</v>
      </c>
      <c r="R493" t="s">
        <v>780</v>
      </c>
      <c r="S493" t="s">
        <v>792</v>
      </c>
      <c r="T493">
        <v>59860.401469</v>
      </c>
      <c r="U493" s="2">
        <v>44517</v>
      </c>
      <c r="V493" t="s">
        <v>804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35.8</v>
      </c>
      <c r="D494">
        <v>41</v>
      </c>
      <c r="E494">
        <v>0.873170731707317</v>
      </c>
      <c r="F494">
        <v>0.03687150837988827</v>
      </c>
      <c r="G494">
        <v>0.02749606187878517</v>
      </c>
      <c r="H494">
        <v>0.04</v>
      </c>
      <c r="I494">
        <v>0.0995104605253132</v>
      </c>
      <c r="J494" t="s">
        <v>513</v>
      </c>
      <c r="K494" t="s">
        <v>372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0.279609032449294</v>
      </c>
      <c r="R494" t="s">
        <v>780</v>
      </c>
      <c r="S494" t="s">
        <v>790</v>
      </c>
      <c r="T494">
        <v>2238.359204</v>
      </c>
      <c r="U494" s="2">
        <v>44498</v>
      </c>
      <c r="V494" t="s">
        <v>801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44.26</v>
      </c>
      <c r="D495">
        <v>56</v>
      </c>
      <c r="E495">
        <v>0.7903571428571429</v>
      </c>
      <c r="F495">
        <v>0.04338002711251695</v>
      </c>
      <c r="G495">
        <v>0.04817868385018564</v>
      </c>
      <c r="H495">
        <v>0.01</v>
      </c>
      <c r="I495">
        <v>0.0991039388181334</v>
      </c>
      <c r="J495" t="s">
        <v>513</v>
      </c>
      <c r="K495" t="s">
        <v>372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0.399278903204621</v>
      </c>
      <c r="R495" t="s">
        <v>780</v>
      </c>
      <c r="S495" t="s">
        <v>793</v>
      </c>
      <c r="T495">
        <v>168200.305925</v>
      </c>
      <c r="U495" s="2">
        <v>44502</v>
      </c>
      <c r="V495" t="s">
        <v>803</v>
      </c>
    </row>
    <row r="496" spans="1:22">
      <c r="A496" s="1" t="s">
        <v>516</v>
      </c>
      <c r="B496">
        <f>HYPERLINK("https://www.suredividend.com/sure-analysis-PGRE/","Paramount Group Inc")</f>
        <v>0</v>
      </c>
      <c r="C496">
        <v>8.92</v>
      </c>
      <c r="D496">
        <v>11</v>
      </c>
      <c r="E496">
        <v>0.8109090909090909</v>
      </c>
      <c r="F496">
        <v>0.03139013452914798</v>
      </c>
      <c r="G496">
        <v>0.04281091000177462</v>
      </c>
      <c r="H496">
        <v>0.03</v>
      </c>
      <c r="I496">
        <v>0.09716957625666001</v>
      </c>
      <c r="J496" t="s">
        <v>513</v>
      </c>
      <c r="K496" t="s">
        <v>372</v>
      </c>
      <c r="L496">
        <v>0.91</v>
      </c>
      <c r="M496">
        <v>0.28</v>
      </c>
      <c r="N496">
        <v>0.3076923076923077</v>
      </c>
      <c r="O496">
        <v>0</v>
      </c>
      <c r="P496">
        <v>0.007042949693310208</v>
      </c>
      <c r="Q496">
        <v>-0.043402556588949</v>
      </c>
      <c r="R496" t="s">
        <v>782</v>
      </c>
      <c r="S496" t="s">
        <v>794</v>
      </c>
      <c r="T496">
        <v>1972.797218</v>
      </c>
      <c r="U496" s="2">
        <v>44498</v>
      </c>
      <c r="V496" t="s">
        <v>801</v>
      </c>
    </row>
    <row r="497" spans="1:22">
      <c r="A497" s="1" t="s">
        <v>517</v>
      </c>
      <c r="B497">
        <f>HYPERLINK("https://www.suredividend.com/sure-analysis-TRST/","Trustco Bank Corp.")</f>
        <v>0</v>
      </c>
      <c r="C497">
        <v>34.32</v>
      </c>
      <c r="D497">
        <v>39</v>
      </c>
      <c r="E497">
        <v>0.88</v>
      </c>
      <c r="F497">
        <v>0.03962703962703963</v>
      </c>
      <c r="G497">
        <v>0.02589630491023409</v>
      </c>
      <c r="H497">
        <v>0.04</v>
      </c>
      <c r="I497">
        <v>0.09673820921268428</v>
      </c>
      <c r="J497" t="s">
        <v>513</v>
      </c>
      <c r="K497" t="s">
        <v>372</v>
      </c>
      <c r="L497">
        <v>3.09</v>
      </c>
      <c r="M497">
        <v>1.36</v>
      </c>
      <c r="N497">
        <v>0.4401294498381877</v>
      </c>
      <c r="O497">
        <v>0</v>
      </c>
      <c r="P497">
        <v>0.0100884981090783</v>
      </c>
      <c r="Q497">
        <v>0.136428453994275</v>
      </c>
      <c r="R497" t="s">
        <v>780</v>
      </c>
      <c r="S497" t="s">
        <v>790</v>
      </c>
      <c r="T497">
        <v>650.930629</v>
      </c>
      <c r="U497" s="2">
        <v>44493</v>
      </c>
      <c r="V497" t="s">
        <v>801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79.51000000000001</v>
      </c>
      <c r="D498">
        <v>77</v>
      </c>
      <c r="E498">
        <v>1.032597402597403</v>
      </c>
      <c r="F498">
        <v>0.01509244120236448</v>
      </c>
      <c r="G498">
        <v>-0.006394940386158954</v>
      </c>
      <c r="H498">
        <v>0.09</v>
      </c>
      <c r="I498">
        <v>0.09585283782058851</v>
      </c>
      <c r="J498" t="s">
        <v>513</v>
      </c>
      <c r="K498" t="s">
        <v>778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0.281740137784637</v>
      </c>
      <c r="R498" t="s">
        <v>780</v>
      </c>
      <c r="S498" t="s">
        <v>788</v>
      </c>
      <c r="T498">
        <v>41436.55114</v>
      </c>
      <c r="U498" s="2">
        <v>44520</v>
      </c>
      <c r="V498" t="s">
        <v>798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31.53</v>
      </c>
      <c r="D499">
        <v>35</v>
      </c>
      <c r="E499">
        <v>0.9008571428571429</v>
      </c>
      <c r="F499">
        <v>0.03964478274659055</v>
      </c>
      <c r="G499">
        <v>0.02110126617206909</v>
      </c>
      <c r="H499">
        <v>0.04</v>
      </c>
      <c r="I499">
        <v>0.09493820917058993</v>
      </c>
      <c r="J499" t="s">
        <v>513</v>
      </c>
      <c r="K499" t="s">
        <v>372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-0.09483330736425301</v>
      </c>
      <c r="R499" t="s">
        <v>780</v>
      </c>
      <c r="S499" t="s">
        <v>791</v>
      </c>
      <c r="T499">
        <v>15047.86843</v>
      </c>
      <c r="U499" s="2">
        <v>44476</v>
      </c>
      <c r="V499" t="s">
        <v>799</v>
      </c>
    </row>
    <row r="500" spans="1:22">
      <c r="A500" s="1" t="s">
        <v>520</v>
      </c>
      <c r="B500">
        <f>HYPERLINK("https://www.suredividend.com/sure-analysis-MED/","Medifast Inc")</f>
        <v>0</v>
      </c>
      <c r="C500">
        <v>219.28</v>
      </c>
      <c r="D500">
        <v>208</v>
      </c>
      <c r="E500">
        <v>1.054230769230769</v>
      </c>
      <c r="F500">
        <v>0.02590295512586647</v>
      </c>
      <c r="G500">
        <v>-0.01050668951106271</v>
      </c>
      <c r="H500">
        <v>0.08</v>
      </c>
      <c r="I500">
        <v>0.09409252531038503</v>
      </c>
      <c r="J500" t="s">
        <v>513</v>
      </c>
      <c r="K500" t="s">
        <v>513</v>
      </c>
      <c r="L500">
        <v>13.9</v>
      </c>
      <c r="M500">
        <v>5.68</v>
      </c>
      <c r="N500">
        <v>0.4086330935251798</v>
      </c>
      <c r="O500">
        <v>6</v>
      </c>
      <c r="P500">
        <v>0.1000553858515176</v>
      </c>
      <c r="Q500">
        <v>0.253448400251479</v>
      </c>
      <c r="R500" t="s">
        <v>780</v>
      </c>
      <c r="S500" t="s">
        <v>789</v>
      </c>
      <c r="T500">
        <v>2542.909566</v>
      </c>
      <c r="U500" s="2">
        <v>44518</v>
      </c>
      <c r="V500" t="s">
        <v>806</v>
      </c>
    </row>
    <row r="501" spans="1:22">
      <c r="A501" s="1" t="s">
        <v>521</v>
      </c>
      <c r="B501">
        <f>HYPERLINK("https://www.suredividend.com/sure-analysis-PFE/","Pfizer Inc.")</f>
        <v>0</v>
      </c>
      <c r="C501">
        <v>51.08</v>
      </c>
      <c r="D501">
        <v>56</v>
      </c>
      <c r="E501">
        <v>0.9121428571428571</v>
      </c>
      <c r="F501">
        <v>0.03054032889584965</v>
      </c>
      <c r="G501">
        <v>0.01856190145220182</v>
      </c>
      <c r="H501">
        <v>0.05</v>
      </c>
      <c r="I501">
        <v>0.09253247660543318</v>
      </c>
      <c r="J501" t="s">
        <v>513</v>
      </c>
      <c r="K501" t="s">
        <v>372</v>
      </c>
      <c r="L501">
        <v>4.15</v>
      </c>
      <c r="M501">
        <v>1.56</v>
      </c>
      <c r="N501">
        <v>0.3759036144578313</v>
      </c>
      <c r="O501">
        <v>12</v>
      </c>
      <c r="P501">
        <v>0.01005227214699711</v>
      </c>
      <c r="Q501">
        <v>0.449681608014021</v>
      </c>
      <c r="R501" t="s">
        <v>780</v>
      </c>
      <c r="S501" t="s">
        <v>785</v>
      </c>
      <c r="T501">
        <v>287378.769818</v>
      </c>
      <c r="U501" s="2">
        <v>44504</v>
      </c>
      <c r="V501" t="s">
        <v>802</v>
      </c>
    </row>
    <row r="502" spans="1:22">
      <c r="A502" s="1" t="s">
        <v>522</v>
      </c>
      <c r="B502">
        <f>HYPERLINK("https://www.suredividend.com/sure-analysis-SBS/","Companhia de Saneamento Basico do Estado de Sao Paulo.")</f>
        <v>0</v>
      </c>
      <c r="C502">
        <v>6.13</v>
      </c>
      <c r="D502">
        <v>6.6</v>
      </c>
      <c r="E502">
        <v>0.9287878787878788</v>
      </c>
      <c r="F502">
        <v>0.02610114192495922</v>
      </c>
      <c r="G502">
        <v>0.01488466938573518</v>
      </c>
      <c r="H502">
        <v>0.05</v>
      </c>
      <c r="I502">
        <v>0.08786816411074305</v>
      </c>
      <c r="J502" t="s">
        <v>513</v>
      </c>
      <c r="K502" t="s">
        <v>513</v>
      </c>
      <c r="L502">
        <v>0.57</v>
      </c>
      <c r="M502">
        <v>0.16</v>
      </c>
      <c r="N502">
        <v>0.280701754385965</v>
      </c>
      <c r="O502">
        <v>0</v>
      </c>
      <c r="P502">
        <v>0.04563955259127317</v>
      </c>
      <c r="Q502">
        <v>-0.223095259115388</v>
      </c>
      <c r="R502" t="s">
        <v>780</v>
      </c>
      <c r="S502" t="s">
        <v>792</v>
      </c>
      <c r="T502">
        <v>4210.420793</v>
      </c>
      <c r="U502" s="2">
        <v>44513</v>
      </c>
      <c r="V502" t="s">
        <v>795</v>
      </c>
    </row>
    <row r="503" spans="1:22">
      <c r="A503" s="1" t="s">
        <v>523</v>
      </c>
      <c r="B503">
        <f>HYPERLINK("https://www.suredividend.com/sure-analysis-BHP/","BHP Group Limited")</f>
        <v>0</v>
      </c>
      <c r="C503">
        <v>55.53</v>
      </c>
      <c r="D503">
        <v>87</v>
      </c>
      <c r="E503">
        <v>0.6382758620689656</v>
      </c>
      <c r="F503">
        <v>0.06482982171799027</v>
      </c>
      <c r="G503">
        <v>0.09395212397599839</v>
      </c>
      <c r="H503">
        <v>-0.05</v>
      </c>
      <c r="I503">
        <v>0.08656013874566271</v>
      </c>
      <c r="J503" t="s">
        <v>513</v>
      </c>
      <c r="K503" t="s">
        <v>372</v>
      </c>
      <c r="L503">
        <v>6.2</v>
      </c>
      <c r="M503">
        <v>3.6</v>
      </c>
      <c r="N503">
        <v>0.5806451612903226</v>
      </c>
      <c r="O503">
        <v>1</v>
      </c>
      <c r="P503">
        <v>-0.02328131613882611</v>
      </c>
      <c r="Q503">
        <v>0.127959274865425</v>
      </c>
      <c r="R503" t="s">
        <v>780</v>
      </c>
      <c r="S503" t="s">
        <v>788</v>
      </c>
      <c r="T503">
        <v>79686.290152</v>
      </c>
      <c r="U503" s="2">
        <v>44524</v>
      </c>
      <c r="V503" t="s">
        <v>803</v>
      </c>
    </row>
    <row r="504" spans="1:22">
      <c r="A504" s="1" t="s">
        <v>524</v>
      </c>
      <c r="B504">
        <f>HYPERLINK("https://www.suredividend.com/sure-analysis-KMI/","Kinder Morgan Inc")</f>
        <v>0</v>
      </c>
      <c r="C504">
        <v>16.33</v>
      </c>
      <c r="D504">
        <v>20.3</v>
      </c>
      <c r="E504">
        <v>0.8044334975369457</v>
      </c>
      <c r="F504">
        <v>0.06613594611145132</v>
      </c>
      <c r="G504">
        <v>0.04448443058866824</v>
      </c>
      <c r="H504">
        <v>-0.012</v>
      </c>
      <c r="I504">
        <v>0.08644909332166195</v>
      </c>
      <c r="J504" t="s">
        <v>513</v>
      </c>
      <c r="K504" t="s">
        <v>777</v>
      </c>
      <c r="L504">
        <v>2.39</v>
      </c>
      <c r="M504">
        <v>1.08</v>
      </c>
      <c r="N504">
        <v>0.4518828451882845</v>
      </c>
      <c r="O504">
        <v>4</v>
      </c>
      <c r="P504">
        <v>0.01263939059641661</v>
      </c>
      <c r="Q504">
        <v>0.205865401169187</v>
      </c>
      <c r="R504" t="s">
        <v>780</v>
      </c>
      <c r="S504" t="s">
        <v>793</v>
      </c>
      <c r="T504">
        <v>36513.65004</v>
      </c>
      <c r="U504" s="2">
        <v>44491</v>
      </c>
      <c r="V504" t="s">
        <v>805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11.77</v>
      </c>
      <c r="D505">
        <v>12</v>
      </c>
      <c r="E505">
        <v>0.9808333333333333</v>
      </c>
      <c r="F505">
        <v>0.03993203058623619</v>
      </c>
      <c r="G505">
        <v>0.003878045938729313</v>
      </c>
      <c r="H505">
        <v>0.05</v>
      </c>
      <c r="I505">
        <v>0.08641027069968943</v>
      </c>
      <c r="J505" t="s">
        <v>513</v>
      </c>
      <c r="K505" t="s">
        <v>372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0.033176844273024</v>
      </c>
      <c r="R505" t="s">
        <v>780</v>
      </c>
      <c r="S505" t="s">
        <v>788</v>
      </c>
      <c r="T505">
        <v>18152.719752</v>
      </c>
      <c r="U505" s="2">
        <v>44445</v>
      </c>
      <c r="V505" t="s">
        <v>797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63.84</v>
      </c>
      <c r="D506">
        <v>73</v>
      </c>
      <c r="E506">
        <v>0.8745205479452055</v>
      </c>
      <c r="F506">
        <v>0.08787593984962407</v>
      </c>
      <c r="G506">
        <v>0.02717867929629914</v>
      </c>
      <c r="H506">
        <v>0</v>
      </c>
      <c r="I506">
        <v>0.08590920558806059</v>
      </c>
      <c r="J506" t="s">
        <v>513</v>
      </c>
      <c r="K506" t="s">
        <v>777</v>
      </c>
      <c r="L506">
        <v>14</v>
      </c>
      <c r="M506">
        <v>5.61</v>
      </c>
      <c r="N506">
        <v>0.4007142857142857</v>
      </c>
      <c r="O506">
        <v>5</v>
      </c>
      <c r="P506">
        <v>-0.05987225238578009</v>
      </c>
      <c r="Q506">
        <v>0.05657921191901701</v>
      </c>
      <c r="R506" t="s">
        <v>780</v>
      </c>
      <c r="S506" t="s">
        <v>788</v>
      </c>
      <c r="T506">
        <v>101082.499016</v>
      </c>
      <c r="U506" s="2">
        <v>44524</v>
      </c>
      <c r="V506" t="s">
        <v>803</v>
      </c>
    </row>
    <row r="507" spans="1:22">
      <c r="A507" s="1" t="s">
        <v>527</v>
      </c>
      <c r="B507">
        <f>HYPERLINK("https://www.suredividend.com/sure-analysis-WASH/","Washington Trust Bancorp, Inc.")</f>
        <v>0</v>
      </c>
      <c r="C507">
        <v>58.34</v>
      </c>
      <c r="D507">
        <v>58</v>
      </c>
      <c r="E507">
        <v>1.005862068965517</v>
      </c>
      <c r="F507">
        <v>0.03565306822077477</v>
      </c>
      <c r="G507">
        <v>-0.001168307775078481</v>
      </c>
      <c r="H507">
        <v>0.05</v>
      </c>
      <c r="I507">
        <v>0.0809020142264909</v>
      </c>
      <c r="J507" t="s">
        <v>513</v>
      </c>
      <c r="K507" t="s">
        <v>372</v>
      </c>
      <c r="L507">
        <v>4.14</v>
      </c>
      <c r="M507">
        <v>2.08</v>
      </c>
      <c r="N507">
        <v>0.5024154589371981</v>
      </c>
      <c r="O507">
        <v>10</v>
      </c>
      <c r="P507">
        <v>0.04963065931551602</v>
      </c>
      <c r="Q507">
        <v>0.5295282822958101</v>
      </c>
      <c r="R507" t="s">
        <v>780</v>
      </c>
      <c r="S507" t="s">
        <v>790</v>
      </c>
      <c r="T507">
        <v>997.530605</v>
      </c>
      <c r="U507" s="2">
        <v>44495</v>
      </c>
      <c r="V507" t="s">
        <v>796</v>
      </c>
    </row>
    <row r="508" spans="1:22">
      <c r="A508" s="1" t="s">
        <v>528</v>
      </c>
      <c r="B508">
        <f>HYPERLINK("https://www.suredividend.com/sure-analysis-WMB/","Williams Cos Inc")</f>
        <v>0</v>
      </c>
      <c r="C508">
        <v>28.08</v>
      </c>
      <c r="D508">
        <v>25</v>
      </c>
      <c r="E508">
        <v>1.1232</v>
      </c>
      <c r="F508">
        <v>0.0584045584045584</v>
      </c>
      <c r="G508">
        <v>-0.02296846575950329</v>
      </c>
      <c r="H508">
        <v>0.05</v>
      </c>
      <c r="I508">
        <v>0.07947465071944193</v>
      </c>
      <c r="J508" t="s">
        <v>513</v>
      </c>
      <c r="K508" t="s">
        <v>777</v>
      </c>
      <c r="L508">
        <v>3.35</v>
      </c>
      <c r="M508">
        <v>1.64</v>
      </c>
      <c r="N508">
        <v>0.4895522388059701</v>
      </c>
      <c r="O508">
        <v>4</v>
      </c>
      <c r="P508">
        <v>0.04048836820440749</v>
      </c>
      <c r="Q508">
        <v>0.450021540175053</v>
      </c>
      <c r="R508" t="s">
        <v>780</v>
      </c>
      <c r="S508" t="s">
        <v>793</v>
      </c>
      <c r="T508">
        <v>33534.822452</v>
      </c>
      <c r="U508" s="2">
        <v>44504</v>
      </c>
      <c r="V508" t="s">
        <v>803</v>
      </c>
    </row>
    <row r="509" spans="1:22">
      <c r="A509" s="1" t="s">
        <v>529</v>
      </c>
      <c r="B509">
        <f>HYPERLINK("https://www.suredividend.com/sure-analysis-PETS/","Petmed Express, Inc.")</f>
        <v>0</v>
      </c>
      <c r="C509">
        <v>28.27</v>
      </c>
      <c r="D509">
        <v>23</v>
      </c>
      <c r="E509">
        <v>1.229130434782609</v>
      </c>
      <c r="F509">
        <v>0.04244782454899186</v>
      </c>
      <c r="G509">
        <v>-0.04042172810987266</v>
      </c>
      <c r="H509">
        <v>0.08</v>
      </c>
      <c r="I509">
        <v>0.07922443080647423</v>
      </c>
      <c r="J509" t="s">
        <v>513</v>
      </c>
      <c r="K509" t="s">
        <v>372</v>
      </c>
      <c r="L509">
        <v>1.25</v>
      </c>
      <c r="M509">
        <v>1.2</v>
      </c>
      <c r="N509">
        <v>0.96</v>
      </c>
      <c r="O509">
        <v>13</v>
      </c>
      <c r="P509">
        <v>0.0796084730466029</v>
      </c>
      <c r="Q509">
        <v>0.02352865522982</v>
      </c>
      <c r="R509" t="s">
        <v>780</v>
      </c>
      <c r="S509" t="s">
        <v>785</v>
      </c>
      <c r="T509">
        <v>583.001113</v>
      </c>
      <c r="U509" s="2">
        <v>44499</v>
      </c>
      <c r="V509" t="s">
        <v>797</v>
      </c>
    </row>
    <row r="510" spans="1:22">
      <c r="A510" s="1" t="s">
        <v>530</v>
      </c>
      <c r="B510">
        <f>HYPERLINK("https://www.suredividend.com/sure-analysis-RF/","Regions Financial Corp.")</f>
        <v>0</v>
      </c>
      <c r="C510">
        <v>24.59</v>
      </c>
      <c r="D510">
        <v>26</v>
      </c>
      <c r="E510">
        <v>0.9457692307692308</v>
      </c>
      <c r="F510">
        <v>0.02765351769011794</v>
      </c>
      <c r="G510">
        <v>0.01121374427144572</v>
      </c>
      <c r="H510">
        <v>0.04</v>
      </c>
      <c r="I510">
        <v>0.07671286762951546</v>
      </c>
      <c r="J510" t="s">
        <v>513</v>
      </c>
      <c r="K510" t="s">
        <v>513</v>
      </c>
      <c r="L510">
        <v>2.4</v>
      </c>
      <c r="M510">
        <v>0.68</v>
      </c>
      <c r="N510">
        <v>0.2833333333333334</v>
      </c>
      <c r="O510">
        <v>0</v>
      </c>
      <c r="P510">
        <v>0.0505145404837426</v>
      </c>
      <c r="Q510">
        <v>0.6437700772332721</v>
      </c>
      <c r="R510" t="s">
        <v>780</v>
      </c>
      <c r="S510" t="s">
        <v>790</v>
      </c>
      <c r="T510">
        <v>22926.447083</v>
      </c>
      <c r="U510" s="2">
        <v>44491</v>
      </c>
      <c r="V510" t="s">
        <v>800</v>
      </c>
    </row>
    <row r="511" spans="1:22">
      <c r="A511" s="1" t="s">
        <v>531</v>
      </c>
      <c r="B511">
        <f>HYPERLINK("https://www.suredividend.com/sure-analysis-NTR/","Nutrien Ltd")</f>
        <v>0</v>
      </c>
      <c r="C511">
        <v>69.56</v>
      </c>
      <c r="D511">
        <v>82</v>
      </c>
      <c r="E511">
        <v>0.8482926829268292</v>
      </c>
      <c r="F511">
        <v>0.02645198389879241</v>
      </c>
      <c r="G511">
        <v>0.03345329865357427</v>
      </c>
      <c r="H511">
        <v>0.02</v>
      </c>
      <c r="I511">
        <v>0.07593444500226609</v>
      </c>
      <c r="J511" t="s">
        <v>513</v>
      </c>
      <c r="K511" t="s">
        <v>513</v>
      </c>
      <c r="L511">
        <v>4.85</v>
      </c>
      <c r="M511">
        <v>1.84</v>
      </c>
      <c r="N511">
        <v>0.3793814432989691</v>
      </c>
      <c r="O511">
        <v>3</v>
      </c>
      <c r="P511">
        <v>0.01984845658885503</v>
      </c>
      <c r="Q511">
        <v>0.5853803089155131</v>
      </c>
      <c r="R511" t="s">
        <v>780</v>
      </c>
      <c r="S511" t="s">
        <v>788</v>
      </c>
      <c r="T511">
        <v>39698.163935</v>
      </c>
      <c r="U511" s="2">
        <v>44445</v>
      </c>
      <c r="V511" t="s">
        <v>797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46.01</v>
      </c>
      <c r="D512">
        <v>49</v>
      </c>
      <c r="E512">
        <v>0.9389795918367346</v>
      </c>
      <c r="F512">
        <v>0.04346881112801565</v>
      </c>
      <c r="G512">
        <v>0.01267192371974413</v>
      </c>
      <c r="H512">
        <v>0.025</v>
      </c>
      <c r="I512">
        <v>0.07502379773536938</v>
      </c>
      <c r="J512" t="s">
        <v>513</v>
      </c>
      <c r="K512" t="s">
        <v>372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0.291044103396209</v>
      </c>
      <c r="R512" t="s">
        <v>782</v>
      </c>
      <c r="S512" t="s">
        <v>794</v>
      </c>
      <c r="T512">
        <v>4783.875731</v>
      </c>
      <c r="U512" s="2">
        <v>44496</v>
      </c>
      <c r="V512" t="s">
        <v>801</v>
      </c>
    </row>
    <row r="513" spans="1:22">
      <c r="A513" s="1" t="s">
        <v>533</v>
      </c>
      <c r="B513">
        <f>HYPERLINK("https://www.suredividend.com/sure-analysis-NGG/","National Grid Plc")</f>
        <v>0</v>
      </c>
      <c r="C513">
        <v>66.65000000000001</v>
      </c>
      <c r="D513">
        <v>62</v>
      </c>
      <c r="E513">
        <v>1.075</v>
      </c>
      <c r="F513">
        <v>0.05386346586646661</v>
      </c>
      <c r="G513">
        <v>-0.01436002927853708</v>
      </c>
      <c r="H513">
        <v>0.04</v>
      </c>
      <c r="I513">
        <v>0.07494715488145842</v>
      </c>
      <c r="J513" t="s">
        <v>513</v>
      </c>
      <c r="K513" t="s">
        <v>777</v>
      </c>
      <c r="L513">
        <v>4.16</v>
      </c>
      <c r="M513">
        <v>3.59</v>
      </c>
      <c r="N513">
        <v>0.8629807692307692</v>
      </c>
      <c r="O513">
        <v>0</v>
      </c>
      <c r="P513">
        <v>0.0401055114467892</v>
      </c>
      <c r="Q513">
        <v>0.130307557147789</v>
      </c>
      <c r="R513" t="s">
        <v>780</v>
      </c>
      <c r="S513" t="s">
        <v>792</v>
      </c>
      <c r="T513">
        <v>47839.537906</v>
      </c>
      <c r="U513" s="2">
        <v>44430</v>
      </c>
      <c r="V513" t="s">
        <v>802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48.31</v>
      </c>
      <c r="D514">
        <v>46</v>
      </c>
      <c r="E514">
        <v>1.050217391304348</v>
      </c>
      <c r="F514">
        <v>0.03829434899606707</v>
      </c>
      <c r="G514">
        <v>-0.009751578393205618</v>
      </c>
      <c r="H514">
        <v>0.05</v>
      </c>
      <c r="I514">
        <v>0.07473494821385507</v>
      </c>
      <c r="J514" t="s">
        <v>513</v>
      </c>
      <c r="K514" t="s">
        <v>372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0.07126902475595601</v>
      </c>
      <c r="R514" t="s">
        <v>780</v>
      </c>
      <c r="S514" t="s">
        <v>789</v>
      </c>
      <c r="T514">
        <v>18759.027906</v>
      </c>
      <c r="U514" s="2">
        <v>44498</v>
      </c>
      <c r="V514" t="s">
        <v>803</v>
      </c>
    </row>
    <row r="515" spans="1:22">
      <c r="A515" s="1" t="s">
        <v>535</v>
      </c>
      <c r="B515">
        <f>HYPERLINK("https://www.suredividend.com/sure-analysis-FE/","Firstenergy Corp.")</f>
        <v>0</v>
      </c>
      <c r="C515">
        <v>38.94</v>
      </c>
      <c r="D515">
        <v>39</v>
      </c>
      <c r="E515">
        <v>0.9984615384615384</v>
      </c>
      <c r="F515">
        <v>0.04006163328197227</v>
      </c>
      <c r="G515">
        <v>0.0003079766521927318</v>
      </c>
      <c r="H515">
        <v>0.04</v>
      </c>
      <c r="I515">
        <v>0.07339708188779825</v>
      </c>
      <c r="J515" t="s">
        <v>513</v>
      </c>
      <c r="K515" t="s">
        <v>372</v>
      </c>
      <c r="L515">
        <v>2.6</v>
      </c>
      <c r="M515">
        <v>1.56</v>
      </c>
      <c r="N515">
        <v>0.6</v>
      </c>
      <c r="O515">
        <v>0</v>
      </c>
      <c r="P515">
        <v>0.01005227214699711</v>
      </c>
      <c r="Q515">
        <v>0.443630210002907</v>
      </c>
      <c r="R515" t="s">
        <v>780</v>
      </c>
      <c r="S515" t="s">
        <v>792</v>
      </c>
      <c r="T515">
        <v>21085.371844</v>
      </c>
      <c r="U515" s="2">
        <v>44498</v>
      </c>
      <c r="V515" t="s">
        <v>795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73.86</v>
      </c>
      <c r="D516">
        <v>75</v>
      </c>
      <c r="E516">
        <v>0.9848</v>
      </c>
      <c r="F516">
        <v>0.0338478202003791</v>
      </c>
      <c r="G516">
        <v>0.003068037645641342</v>
      </c>
      <c r="H516">
        <v>0.04</v>
      </c>
      <c r="I516">
        <v>0.07315057074149767</v>
      </c>
      <c r="J516" t="s">
        <v>513</v>
      </c>
      <c r="K516" t="s">
        <v>513</v>
      </c>
      <c r="L516">
        <v>3.95</v>
      </c>
      <c r="M516">
        <v>2.5</v>
      </c>
      <c r="N516">
        <v>0.6329113924050632</v>
      </c>
      <c r="O516">
        <v>9</v>
      </c>
      <c r="P516">
        <v>0.03505466752592223</v>
      </c>
      <c r="Q516">
        <v>0.625383927273047</v>
      </c>
      <c r="R516" t="s">
        <v>782</v>
      </c>
      <c r="S516" t="s">
        <v>794</v>
      </c>
      <c r="T516">
        <v>12630.383231</v>
      </c>
      <c r="U516" s="2">
        <v>44513</v>
      </c>
      <c r="V516" t="s">
        <v>795</v>
      </c>
    </row>
    <row r="517" spans="1:22">
      <c r="A517" s="1" t="s">
        <v>537</v>
      </c>
      <c r="B517">
        <f>HYPERLINK("https://www.suredividend.com/sure-analysis-EMRAF/","Emera, Inc.")</f>
        <v>0</v>
      </c>
      <c r="C517">
        <v>46.97</v>
      </c>
      <c r="D517">
        <v>42</v>
      </c>
      <c r="E517">
        <v>1.118333333333333</v>
      </c>
      <c r="F517">
        <v>0.04492229082393016</v>
      </c>
      <c r="G517">
        <v>-0.02211958976859385</v>
      </c>
      <c r="H517">
        <v>0.055</v>
      </c>
      <c r="I517">
        <v>0.07293409987922206</v>
      </c>
      <c r="J517" t="s">
        <v>513</v>
      </c>
      <c r="K517" t="s">
        <v>777</v>
      </c>
      <c r="L517">
        <v>2.26</v>
      </c>
      <c r="M517">
        <v>2.11</v>
      </c>
      <c r="N517">
        <v>0.9336283185840708</v>
      </c>
      <c r="O517">
        <v>14</v>
      </c>
      <c r="P517">
        <v>0.04023181804828235</v>
      </c>
      <c r="Q517">
        <v>0.111142693366305</v>
      </c>
      <c r="R517" t="s">
        <v>780</v>
      </c>
      <c r="S517" t="s">
        <v>792</v>
      </c>
      <c r="T517">
        <v>12136.875314</v>
      </c>
      <c r="U517" s="2">
        <v>44516</v>
      </c>
      <c r="V517" t="s">
        <v>801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18.66</v>
      </c>
      <c r="D518">
        <v>20</v>
      </c>
      <c r="E518">
        <v>0.9330000000000001</v>
      </c>
      <c r="F518">
        <v>0.04501607717041801</v>
      </c>
      <c r="G518">
        <v>0.01396665055280577</v>
      </c>
      <c r="H518">
        <v>0.022</v>
      </c>
      <c r="I518">
        <v>0.07290566800862974</v>
      </c>
      <c r="J518" t="s">
        <v>513</v>
      </c>
      <c r="K518" t="s">
        <v>372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0.232914483790916</v>
      </c>
      <c r="R518" t="s">
        <v>782</v>
      </c>
      <c r="S518" t="s">
        <v>794</v>
      </c>
      <c r="T518">
        <v>2331.289517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HYPERLINK("https://www.suredividend.com/sure-analysis-CNP/","Centerpoint Energy Inc.")</f>
        <v>0</v>
      </c>
      <c r="C519">
        <v>26.61</v>
      </c>
      <c r="D519">
        <v>21.9</v>
      </c>
      <c r="E519">
        <v>1.215068493150685</v>
      </c>
      <c r="F519">
        <v>0.02555430289364901</v>
      </c>
      <c r="G519">
        <v>-0.03821090626431445</v>
      </c>
      <c r="H519">
        <v>0.083</v>
      </c>
      <c r="I519">
        <v>0.07231927053628517</v>
      </c>
      <c r="J519" t="s">
        <v>513</v>
      </c>
      <c r="K519" t="s">
        <v>513</v>
      </c>
      <c r="L519">
        <v>1.37</v>
      </c>
      <c r="M519">
        <v>0.68</v>
      </c>
      <c r="N519">
        <v>0.4963503649635037</v>
      </c>
      <c r="O519">
        <v>1</v>
      </c>
      <c r="P519">
        <v>0.1383790323022041</v>
      </c>
      <c r="Q519">
        <v>0.164932979156364</v>
      </c>
      <c r="R519" t="s">
        <v>780</v>
      </c>
      <c r="S519" t="s">
        <v>792</v>
      </c>
      <c r="T519">
        <v>16740.405839</v>
      </c>
      <c r="U519" s="2">
        <v>44509</v>
      </c>
      <c r="V519" t="s">
        <v>805</v>
      </c>
    </row>
    <row r="520" spans="1:22">
      <c r="A520" s="1" t="s">
        <v>540</v>
      </c>
      <c r="B520">
        <f>HYPERLINK("https://www.suredividend.com/sure-analysis-INVH/","Invitation Homes Inc")</f>
        <v>0</v>
      </c>
      <c r="C520">
        <v>41.15</v>
      </c>
      <c r="D520">
        <v>35</v>
      </c>
      <c r="E520">
        <v>1.175714285714286</v>
      </c>
      <c r="F520">
        <v>0.01652490886998785</v>
      </c>
      <c r="G520">
        <v>-0.03185670741097435</v>
      </c>
      <c r="H520">
        <v>0.09</v>
      </c>
      <c r="I520">
        <v>0.07185435091380077</v>
      </c>
      <c r="J520" t="s">
        <v>513</v>
      </c>
      <c r="K520" t="s">
        <v>778</v>
      </c>
      <c r="L520">
        <v>1.28</v>
      </c>
      <c r="M520">
        <v>0.68</v>
      </c>
      <c r="N520">
        <v>0.53125</v>
      </c>
      <c r="O520">
        <v>4</v>
      </c>
      <c r="P520">
        <v>0.08447177119769855</v>
      </c>
      <c r="Q520">
        <v>0.47007362994549</v>
      </c>
      <c r="R520" t="s">
        <v>782</v>
      </c>
      <c r="S520" t="s">
        <v>794</v>
      </c>
      <c r="T520">
        <v>24318.323466</v>
      </c>
      <c r="U520" s="2">
        <v>44500</v>
      </c>
      <c r="V520" t="s">
        <v>795</v>
      </c>
    </row>
    <row r="521" spans="1:22">
      <c r="A521" s="1" t="s">
        <v>541</v>
      </c>
      <c r="B521">
        <f>HYPERLINK("https://www.suredividend.com/sure-analysis-FRFHF/","Fairfax Financial Holdings Ltd.")</f>
        <v>0</v>
      </c>
      <c r="C521">
        <v>455.12</v>
      </c>
      <c r="D521">
        <v>565</v>
      </c>
      <c r="E521">
        <v>0.8055221238938053</v>
      </c>
      <c r="F521">
        <v>0.02197222710493936</v>
      </c>
      <c r="G521">
        <v>0.04420196325081549</v>
      </c>
      <c r="H521">
        <v>0.01</v>
      </c>
      <c r="I521">
        <v>0.07183466828749552</v>
      </c>
      <c r="J521" t="s">
        <v>513</v>
      </c>
      <c r="K521" t="s">
        <v>513</v>
      </c>
      <c r="L521">
        <v>32</v>
      </c>
      <c r="M521">
        <v>10</v>
      </c>
      <c r="N521">
        <v>0.3125</v>
      </c>
      <c r="O521">
        <v>0</v>
      </c>
      <c r="P521">
        <v>0</v>
      </c>
      <c r="Q521">
        <v>0.318121394404246</v>
      </c>
      <c r="R521" t="s">
        <v>780</v>
      </c>
      <c r="S521" t="s">
        <v>790</v>
      </c>
      <c r="T521">
        <v>12405.002626</v>
      </c>
      <c r="U521" s="2">
        <v>44515</v>
      </c>
      <c r="V521" t="s">
        <v>803</v>
      </c>
    </row>
    <row r="522" spans="1:22">
      <c r="A522" s="1" t="s">
        <v>542</v>
      </c>
      <c r="B522">
        <f>HYPERLINK("https://www.suredividend.com/sure-analysis-SPG/","Simon Property Group, Inc.")</f>
        <v>0</v>
      </c>
      <c r="C522">
        <v>169.03</v>
      </c>
      <c r="D522">
        <v>157</v>
      </c>
      <c r="E522">
        <v>1.076624203821656</v>
      </c>
      <c r="F522">
        <v>0.03904632313790452</v>
      </c>
      <c r="G522">
        <v>-0.01465759775547137</v>
      </c>
      <c r="H522">
        <v>0.05</v>
      </c>
      <c r="I522">
        <v>0.07142762019588655</v>
      </c>
      <c r="J522" t="s">
        <v>513</v>
      </c>
      <c r="K522" t="s">
        <v>372</v>
      </c>
      <c r="L522">
        <v>11.6</v>
      </c>
      <c r="M522">
        <v>6.6</v>
      </c>
      <c r="N522">
        <v>0.5689655172413793</v>
      </c>
      <c r="O522">
        <v>0</v>
      </c>
      <c r="P522">
        <v>0.04991376879974663</v>
      </c>
      <c r="Q522">
        <v>1.174487088214355</v>
      </c>
      <c r="R522" t="s">
        <v>782</v>
      </c>
      <c r="S522" t="s">
        <v>794</v>
      </c>
      <c r="T522">
        <v>55203.389272</v>
      </c>
      <c r="U522" s="2">
        <v>44502</v>
      </c>
      <c r="V522" t="s">
        <v>795</v>
      </c>
    </row>
    <row r="523" spans="1:22">
      <c r="A523" s="1" t="s">
        <v>543</v>
      </c>
      <c r="B523">
        <f>HYPERLINK("https://www.suredividend.com/sure-analysis-CNA/","CNA Financial Corp.")</f>
        <v>0</v>
      </c>
      <c r="C523">
        <v>45.34</v>
      </c>
      <c r="D523">
        <v>48</v>
      </c>
      <c r="E523">
        <v>0.9445833333333334</v>
      </c>
      <c r="F523">
        <v>0.03352448169386855</v>
      </c>
      <c r="G523">
        <v>0.01146752686001795</v>
      </c>
      <c r="H523">
        <v>0.03</v>
      </c>
      <c r="I523">
        <v>0.07120670605426249</v>
      </c>
      <c r="J523" t="s">
        <v>513</v>
      </c>
      <c r="K523" t="s">
        <v>372</v>
      </c>
      <c r="L523">
        <v>4</v>
      </c>
      <c r="M523">
        <v>1.52</v>
      </c>
      <c r="N523">
        <v>0.38</v>
      </c>
      <c r="O523">
        <v>5</v>
      </c>
      <c r="P523">
        <v>0.02975477857041309</v>
      </c>
      <c r="Q523">
        <v>0.319040751698606</v>
      </c>
      <c r="R523" t="s">
        <v>780</v>
      </c>
      <c r="S523" t="s">
        <v>790</v>
      </c>
      <c r="T523">
        <v>12037.52441</v>
      </c>
      <c r="U523" s="2">
        <v>44509</v>
      </c>
      <c r="V523" t="s">
        <v>799</v>
      </c>
    </row>
    <row r="524" spans="1:22">
      <c r="A524" s="1" t="s">
        <v>544</v>
      </c>
      <c r="B524">
        <f>HYPERLINK("https://www.suredividend.com/sure-analysis-WSR/","Whitestone REIT")</f>
        <v>0</v>
      </c>
      <c r="C524">
        <v>9.699999999999999</v>
      </c>
      <c r="D524">
        <v>10</v>
      </c>
      <c r="E524">
        <v>0.97</v>
      </c>
      <c r="F524">
        <v>0.0443298969072165</v>
      </c>
      <c r="G524">
        <v>0.006110434499387196</v>
      </c>
      <c r="H524">
        <v>0.02</v>
      </c>
      <c r="I524">
        <v>0.07115280227764464</v>
      </c>
      <c r="J524" t="s">
        <v>513</v>
      </c>
      <c r="K524" t="s">
        <v>372</v>
      </c>
      <c r="L524">
        <v>0.92</v>
      </c>
      <c r="M524">
        <v>0.43</v>
      </c>
      <c r="N524">
        <v>0.4673913043478261</v>
      </c>
      <c r="O524">
        <v>0</v>
      </c>
      <c r="P524">
        <v>0.06889872481155268</v>
      </c>
      <c r="Q524">
        <v>0.323874503207954</v>
      </c>
      <c r="R524" t="s">
        <v>782</v>
      </c>
      <c r="S524" t="s">
        <v>794</v>
      </c>
      <c r="T524">
        <v>479.343427</v>
      </c>
      <c r="U524" s="2">
        <v>44498</v>
      </c>
      <c r="V524" t="s">
        <v>804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11.11</v>
      </c>
      <c r="D525">
        <v>12.6</v>
      </c>
      <c r="E525">
        <v>0.8817460317460317</v>
      </c>
      <c r="F525">
        <v>0.0522052205220522</v>
      </c>
      <c r="G525">
        <v>0.02548968714277344</v>
      </c>
      <c r="H525">
        <v>0</v>
      </c>
      <c r="I525">
        <v>0.06886665271821557</v>
      </c>
      <c r="J525" t="s">
        <v>513</v>
      </c>
      <c r="K525" t="s">
        <v>777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0.249427917620137</v>
      </c>
      <c r="R525" t="s">
        <v>780</v>
      </c>
      <c r="S525" t="s">
        <v>792</v>
      </c>
      <c r="T525">
        <v>1922.375222</v>
      </c>
      <c r="U525" s="2">
        <v>44516</v>
      </c>
      <c r="V525" t="s">
        <v>795</v>
      </c>
    </row>
    <row r="526" spans="1:22">
      <c r="A526" s="1" t="s">
        <v>546</v>
      </c>
      <c r="B526">
        <f>HYPERLINK("https://www.suredividend.com/sure-analysis-DTEGY/","Deutsche Telekom AG")</f>
        <v>0</v>
      </c>
      <c r="C526">
        <v>19.18</v>
      </c>
      <c r="D526">
        <v>18</v>
      </c>
      <c r="E526">
        <v>1.065555555555556</v>
      </c>
      <c r="F526">
        <v>0.03753910323253389</v>
      </c>
      <c r="G526">
        <v>-0.01261896693693487</v>
      </c>
      <c r="H526">
        <v>0.05</v>
      </c>
      <c r="I526">
        <v>0.06833427898065603</v>
      </c>
      <c r="J526" t="s">
        <v>513</v>
      </c>
      <c r="K526" t="s">
        <v>513</v>
      </c>
      <c r="L526">
        <v>1.2</v>
      </c>
      <c r="M526">
        <v>0.72</v>
      </c>
      <c r="N526">
        <v>0.6</v>
      </c>
      <c r="O526">
        <v>1</v>
      </c>
      <c r="P526">
        <v>0.01087212085035083</v>
      </c>
      <c r="Q526">
        <v>0.10586907580526</v>
      </c>
      <c r="R526" t="s">
        <v>780</v>
      </c>
      <c r="S526" t="s">
        <v>784</v>
      </c>
      <c r="T526">
        <v>94792.57791000001</v>
      </c>
      <c r="U526" s="2">
        <v>44517</v>
      </c>
      <c r="V526" t="s">
        <v>803</v>
      </c>
    </row>
    <row r="527" spans="1:22">
      <c r="A527" s="1" t="s">
        <v>547</v>
      </c>
      <c r="B527">
        <f>HYPERLINK("https://www.suredividend.com/sure-analysis-MPW/","Medical Properties Trust Inc")</f>
        <v>0</v>
      </c>
      <c r="C527">
        <v>21.59</v>
      </c>
      <c r="D527">
        <v>21.9</v>
      </c>
      <c r="E527">
        <v>0.9858447488584475</v>
      </c>
      <c r="F527">
        <v>0.05187586845761927</v>
      </c>
      <c r="G527">
        <v>0.002855347219711035</v>
      </c>
      <c r="H527">
        <v>0.014</v>
      </c>
      <c r="I527">
        <v>0.06662402674246493</v>
      </c>
      <c r="J527" t="s">
        <v>513</v>
      </c>
      <c r="K527" t="s">
        <v>372</v>
      </c>
      <c r="L527">
        <v>1.75</v>
      </c>
      <c r="M527">
        <v>1.12</v>
      </c>
      <c r="N527">
        <v>0.64</v>
      </c>
      <c r="O527">
        <v>9</v>
      </c>
      <c r="P527">
        <v>0.04111932758460823</v>
      </c>
      <c r="Q527">
        <v>0.159780526324358</v>
      </c>
      <c r="R527" t="s">
        <v>782</v>
      </c>
      <c r="S527" t="s">
        <v>794</v>
      </c>
      <c r="T527">
        <v>12742.931</v>
      </c>
      <c r="U527" s="2">
        <v>44503</v>
      </c>
      <c r="V527" t="s">
        <v>805</v>
      </c>
    </row>
    <row r="528" spans="1:22">
      <c r="A528" s="1" t="s">
        <v>548</v>
      </c>
      <c r="B528">
        <f>HYPERLINK("https://www.suredividend.com/sure-analysis-SMFG/","Sumitomo Mitsui Financial Group Inc")</f>
        <v>0</v>
      </c>
      <c r="C528">
        <v>6.74</v>
      </c>
      <c r="D528">
        <v>7.15</v>
      </c>
      <c r="E528">
        <v>0.9426573426573427</v>
      </c>
      <c r="F528">
        <v>0.05044510385756677</v>
      </c>
      <c r="G528">
        <v>0.01188050553232078</v>
      </c>
      <c r="H528">
        <v>0.01</v>
      </c>
      <c r="I528">
        <v>0.06591829745239952</v>
      </c>
      <c r="J528" t="s">
        <v>513</v>
      </c>
      <c r="K528" t="s">
        <v>372</v>
      </c>
      <c r="L528">
        <v>0.65</v>
      </c>
      <c r="M528">
        <v>0.34</v>
      </c>
      <c r="N528">
        <v>0.5230769230769231</v>
      </c>
      <c r="O528">
        <v>0</v>
      </c>
      <c r="P528">
        <v>0.01149727415513624</v>
      </c>
      <c r="Q528">
        <v>0.11930975898196</v>
      </c>
      <c r="R528" t="s">
        <v>780</v>
      </c>
      <c r="S528" t="s">
        <v>790</v>
      </c>
      <c r="T528">
        <v>46178.566627</v>
      </c>
      <c r="U528" s="2">
        <v>44429</v>
      </c>
      <c r="V528" t="s">
        <v>798</v>
      </c>
    </row>
    <row r="529" spans="1:22">
      <c r="A529" s="1" t="s">
        <v>549</v>
      </c>
      <c r="B529">
        <f>HYPERLINK("https://www.suredividend.com/sure-analysis-LMRK/","Landmark Infrastructure Partners LP")</f>
        <v>0</v>
      </c>
      <c r="C529">
        <v>16.24</v>
      </c>
      <c r="D529">
        <v>16.4</v>
      </c>
      <c r="E529">
        <v>0.9902439024390244</v>
      </c>
      <c r="F529">
        <v>0.04926108374384237</v>
      </c>
      <c r="G529">
        <v>0.001962723644758135</v>
      </c>
      <c r="H529">
        <v>0.018</v>
      </c>
      <c r="I529">
        <v>0.06476232681467886</v>
      </c>
      <c r="J529" t="s">
        <v>513</v>
      </c>
      <c r="K529" t="s">
        <v>372</v>
      </c>
      <c r="L529">
        <v>1.49</v>
      </c>
      <c r="M529">
        <v>0.8</v>
      </c>
      <c r="N529">
        <v>0.5369127516778524</v>
      </c>
      <c r="O529">
        <v>0</v>
      </c>
      <c r="P529">
        <v>0.02383625553960966</v>
      </c>
      <c r="Q529">
        <v>0.706309254132058</v>
      </c>
      <c r="R529" t="s">
        <v>781</v>
      </c>
      <c r="S529" t="s">
        <v>794</v>
      </c>
      <c r="T529">
        <v>414.7059</v>
      </c>
      <c r="U529" s="2">
        <v>44509</v>
      </c>
      <c r="V529" t="s">
        <v>805</v>
      </c>
    </row>
    <row r="530" spans="1:22">
      <c r="A530" s="1" t="s">
        <v>550</v>
      </c>
      <c r="B530">
        <f>HYPERLINK("https://www.suredividend.com/sure-analysis-ADC/","Agree Realty Corp.")</f>
        <v>0</v>
      </c>
      <c r="C530">
        <v>68.95999999999999</v>
      </c>
      <c r="D530">
        <v>63</v>
      </c>
      <c r="E530">
        <v>1.094603174603175</v>
      </c>
      <c r="F530">
        <v>0.03451276102088167</v>
      </c>
      <c r="G530">
        <v>-0.01791594639948868</v>
      </c>
      <c r="H530">
        <v>0.05</v>
      </c>
      <c r="I530">
        <v>0.06434958517067257</v>
      </c>
      <c r="J530" t="s">
        <v>513</v>
      </c>
      <c r="K530" t="s">
        <v>513</v>
      </c>
      <c r="L530">
        <v>3.5</v>
      </c>
      <c r="M530">
        <v>2.38</v>
      </c>
      <c r="N530">
        <v>0.6799999999999999</v>
      </c>
      <c r="O530">
        <v>11</v>
      </c>
      <c r="P530">
        <v>0.04947750535151019</v>
      </c>
      <c r="Q530">
        <v>0.111194642208761</v>
      </c>
      <c r="R530" t="s">
        <v>782</v>
      </c>
      <c r="S530" t="s">
        <v>794</v>
      </c>
      <c r="T530">
        <v>4847.599094</v>
      </c>
      <c r="U530" s="2">
        <v>44507</v>
      </c>
      <c r="V530" t="s">
        <v>797</v>
      </c>
    </row>
    <row r="531" spans="1:22">
      <c r="A531" s="1" t="s">
        <v>551</v>
      </c>
      <c r="B531">
        <f>HYPERLINK("https://www.suredividend.com/sure-analysis-HASI/","Hannon Armstrong Sustainable Infrastructure capital Inc")</f>
        <v>0</v>
      </c>
      <c r="C531">
        <v>60.86</v>
      </c>
      <c r="D531">
        <v>50</v>
      </c>
      <c r="E531">
        <v>1.2172</v>
      </c>
      <c r="F531">
        <v>0.02300361485376273</v>
      </c>
      <c r="G531">
        <v>-0.03854799097370487</v>
      </c>
      <c r="H531">
        <v>0.08500000000000001</v>
      </c>
      <c r="I531">
        <v>0.06417126103964654</v>
      </c>
      <c r="J531" t="s">
        <v>513</v>
      </c>
      <c r="K531" t="s">
        <v>513</v>
      </c>
      <c r="L531">
        <v>1.68</v>
      </c>
      <c r="M531">
        <v>1.4</v>
      </c>
      <c r="N531">
        <v>0.8333333333333333</v>
      </c>
      <c r="O531">
        <v>3</v>
      </c>
      <c r="P531">
        <v>0.03959498820755258</v>
      </c>
      <c r="Q531">
        <v>0.204866515845974</v>
      </c>
      <c r="R531" t="s">
        <v>782</v>
      </c>
      <c r="S531" t="s">
        <v>794</v>
      </c>
      <c r="T531">
        <v>4831.812805</v>
      </c>
      <c r="U531" s="2">
        <v>44513</v>
      </c>
      <c r="V531" t="s">
        <v>795</v>
      </c>
    </row>
    <row r="532" spans="1:22">
      <c r="A532" s="1" t="s">
        <v>552</v>
      </c>
      <c r="B532">
        <f>HYPERLINK("https://www.suredividend.com/sure-analysis-NTAP/","Netapp Inc")</f>
        <v>0</v>
      </c>
      <c r="C532">
        <v>86.76000000000001</v>
      </c>
      <c r="D532">
        <v>79</v>
      </c>
      <c r="E532">
        <v>1.098227848101266</v>
      </c>
      <c r="F532">
        <v>0.02305209774089442</v>
      </c>
      <c r="G532">
        <v>-0.01856507269897356</v>
      </c>
      <c r="H532">
        <v>0.06</v>
      </c>
      <c r="I532">
        <v>0.06286197172076169</v>
      </c>
      <c r="J532" t="s">
        <v>513</v>
      </c>
      <c r="K532" t="s">
        <v>513</v>
      </c>
      <c r="L532">
        <v>4.95</v>
      </c>
      <c r="M532">
        <v>2</v>
      </c>
      <c r="N532">
        <v>0.404040404040404</v>
      </c>
      <c r="O532">
        <v>7</v>
      </c>
      <c r="P532">
        <v>0.0602809527753625</v>
      </c>
      <c r="Q532">
        <v>0.6936929147474491</v>
      </c>
      <c r="R532" t="s">
        <v>780</v>
      </c>
      <c r="S532" t="s">
        <v>786</v>
      </c>
      <c r="T532">
        <v>19274.620055</v>
      </c>
      <c r="U532" s="2">
        <v>44435</v>
      </c>
      <c r="V532" t="s">
        <v>799</v>
      </c>
    </row>
    <row r="533" spans="1:22">
      <c r="A533" s="1" t="s">
        <v>553</v>
      </c>
      <c r="B533">
        <f>HYPERLINK("https://www.suredividend.com/sure-analysis-DEA/","Easterly Government Properties Inc")</f>
        <v>0</v>
      </c>
      <c r="C533">
        <v>21.49</v>
      </c>
      <c r="D533">
        <v>20.8</v>
      </c>
      <c r="E533">
        <v>1.033173076923077</v>
      </c>
      <c r="F533">
        <v>0.04932526756630991</v>
      </c>
      <c r="G533">
        <v>-0.006505690552172094</v>
      </c>
      <c r="H533">
        <v>0.021</v>
      </c>
      <c r="I533">
        <v>0.06234580879992135</v>
      </c>
      <c r="J533" t="s">
        <v>513</v>
      </c>
      <c r="K533" t="s">
        <v>777</v>
      </c>
      <c r="L533">
        <v>1.31</v>
      </c>
      <c r="M533">
        <v>1.06</v>
      </c>
      <c r="N533">
        <v>0.8091603053435115</v>
      </c>
      <c r="O533">
        <v>1</v>
      </c>
      <c r="P533">
        <v>0.04166362161741732</v>
      </c>
      <c r="Q533">
        <v>0.029074601900495</v>
      </c>
      <c r="R533" t="s">
        <v>782</v>
      </c>
      <c r="S533" t="s">
        <v>794</v>
      </c>
      <c r="T533">
        <v>1844.215394</v>
      </c>
      <c r="U533" s="2">
        <v>44506</v>
      </c>
      <c r="V533" t="s">
        <v>805</v>
      </c>
    </row>
    <row r="534" spans="1:22">
      <c r="A534" s="1" t="s">
        <v>554</v>
      </c>
      <c r="B534">
        <f>HYPERLINK("https://www.suredividend.com/sure-analysis-NWL/","Newell Brands Inc")</f>
        <v>0</v>
      </c>
      <c r="C534">
        <v>23.15</v>
      </c>
      <c r="D534">
        <v>23</v>
      </c>
      <c r="E534">
        <v>1.006521739130435</v>
      </c>
      <c r="F534">
        <v>0.03974082073434126</v>
      </c>
      <c r="G534">
        <v>-0.001299268139958509</v>
      </c>
      <c r="H534">
        <v>0.03</v>
      </c>
      <c r="I534">
        <v>0.06193216365498166</v>
      </c>
      <c r="J534" t="s">
        <v>513</v>
      </c>
      <c r="K534" t="s">
        <v>372</v>
      </c>
      <c r="L534">
        <v>1.75</v>
      </c>
      <c r="M534">
        <v>0.92</v>
      </c>
      <c r="N534">
        <v>0.5257142857142857</v>
      </c>
      <c r="O534">
        <v>0</v>
      </c>
      <c r="P534">
        <v>0</v>
      </c>
      <c r="Q534">
        <v>0.161172567487168</v>
      </c>
      <c r="R534" t="s">
        <v>780</v>
      </c>
      <c r="S534" t="s">
        <v>791</v>
      </c>
      <c r="T534">
        <v>9796.962</v>
      </c>
      <c r="U534" s="2">
        <v>44519</v>
      </c>
      <c r="V534" t="s">
        <v>798</v>
      </c>
    </row>
    <row r="535" spans="1:22">
      <c r="A535" s="1" t="s">
        <v>555</v>
      </c>
      <c r="B535">
        <f>HYPERLINK("https://www.suredividend.com/sure-analysis-KHC/","Kraft Heinz Co")</f>
        <v>0</v>
      </c>
      <c r="C535">
        <v>35.42</v>
      </c>
      <c r="D535">
        <v>36</v>
      </c>
      <c r="E535">
        <v>0.9838888888888889</v>
      </c>
      <c r="F535">
        <v>0.04517221908526256</v>
      </c>
      <c r="G535">
        <v>0.0032537431883084</v>
      </c>
      <c r="H535">
        <v>0.02</v>
      </c>
      <c r="I535">
        <v>0.06154727748391786</v>
      </c>
      <c r="J535" t="s">
        <v>513</v>
      </c>
      <c r="K535" t="s">
        <v>372</v>
      </c>
      <c r="L535">
        <v>2.8</v>
      </c>
      <c r="M535">
        <v>1.6</v>
      </c>
      <c r="N535">
        <v>0.5714285714285715</v>
      </c>
      <c r="O535">
        <v>0</v>
      </c>
      <c r="P535">
        <v>0</v>
      </c>
      <c r="Q535">
        <v>0.147012980293495</v>
      </c>
      <c r="R535" t="s">
        <v>780</v>
      </c>
      <c r="S535" t="s">
        <v>791</v>
      </c>
      <c r="T535">
        <v>43416.786092</v>
      </c>
      <c r="U535" s="2">
        <v>44508</v>
      </c>
      <c r="V535" t="s">
        <v>800</v>
      </c>
    </row>
    <row r="536" spans="1:22">
      <c r="A536" s="1" t="s">
        <v>556</v>
      </c>
      <c r="B536">
        <f>HYPERLINK("https://www.suredividend.com/sure-analysis-PCAR/","Paccar Inc.")</f>
        <v>0</v>
      </c>
      <c r="C536">
        <v>89.94</v>
      </c>
      <c r="D536">
        <v>83</v>
      </c>
      <c r="E536">
        <v>1.083614457831325</v>
      </c>
      <c r="F536">
        <v>0.02623971536579942</v>
      </c>
      <c r="G536">
        <v>-0.01593215359595646</v>
      </c>
      <c r="H536">
        <v>0.05</v>
      </c>
      <c r="I536">
        <v>0.06112359512540655</v>
      </c>
      <c r="J536" t="s">
        <v>513</v>
      </c>
      <c r="K536" t="s">
        <v>513</v>
      </c>
      <c r="L536">
        <v>5.5</v>
      </c>
      <c r="M536">
        <v>2.36</v>
      </c>
      <c r="N536">
        <v>0.4290909090909091</v>
      </c>
      <c r="O536">
        <v>11</v>
      </c>
      <c r="P536">
        <v>0.08262742077275398</v>
      </c>
      <c r="Q536">
        <v>0.023567052228312</v>
      </c>
      <c r="R536" t="s">
        <v>780</v>
      </c>
      <c r="S536" t="s">
        <v>787</v>
      </c>
      <c r="T536">
        <v>30832.818056</v>
      </c>
      <c r="U536" s="2">
        <v>44497</v>
      </c>
      <c r="V536" t="s">
        <v>799</v>
      </c>
    </row>
    <row r="537" spans="1:22">
      <c r="A537" s="1" t="s">
        <v>557</v>
      </c>
      <c r="B537">
        <f>HYPERLINK("https://www.suredividend.com/sure-analysis-MCY/","Mercury General Corp.")</f>
        <v>0</v>
      </c>
      <c r="C537">
        <v>52.22</v>
      </c>
      <c r="D537">
        <v>53</v>
      </c>
      <c r="E537">
        <v>0.9852830188679245</v>
      </c>
      <c r="F537">
        <v>0.04864036767522022</v>
      </c>
      <c r="G537">
        <v>0.002969670818221859</v>
      </c>
      <c r="H537">
        <v>0.015</v>
      </c>
      <c r="I537">
        <v>0.0602830494683968</v>
      </c>
      <c r="J537" t="s">
        <v>513</v>
      </c>
      <c r="K537" t="s">
        <v>777</v>
      </c>
      <c r="L537">
        <v>3.5</v>
      </c>
      <c r="M537">
        <v>2.54</v>
      </c>
      <c r="N537">
        <v>0.7257142857142858</v>
      </c>
      <c r="O537">
        <v>33</v>
      </c>
      <c r="P537">
        <v>0.004680391776183512</v>
      </c>
      <c r="Q537">
        <v>0.186189513336841</v>
      </c>
      <c r="R537" t="s">
        <v>780</v>
      </c>
      <c r="S537" t="s">
        <v>790</v>
      </c>
      <c r="T537">
        <v>2845.504795</v>
      </c>
      <c r="U537" s="2">
        <v>44510</v>
      </c>
      <c r="V537" t="s">
        <v>800</v>
      </c>
    </row>
    <row r="538" spans="1:22">
      <c r="A538" s="1" t="s">
        <v>558</v>
      </c>
      <c r="B538">
        <f>HYPERLINK("https://www.suredividend.com/sure-analysis-DEI/","Douglas Emmett Inc")</f>
        <v>0</v>
      </c>
      <c r="C538">
        <v>35.39</v>
      </c>
      <c r="D538">
        <v>29</v>
      </c>
      <c r="E538">
        <v>1.220344827586207</v>
      </c>
      <c r="F538">
        <v>0.0316473580107375</v>
      </c>
      <c r="G538">
        <v>-0.03904403476179685</v>
      </c>
      <c r="H538">
        <v>0.07000000000000001</v>
      </c>
      <c r="I538">
        <v>0.06004412356177125</v>
      </c>
      <c r="J538" t="s">
        <v>513</v>
      </c>
      <c r="K538" t="s">
        <v>513</v>
      </c>
      <c r="L538">
        <v>1.86</v>
      </c>
      <c r="M538">
        <v>1.12</v>
      </c>
      <c r="N538">
        <v>0.6021505376344086</v>
      </c>
      <c r="O538">
        <v>10</v>
      </c>
      <c r="P538">
        <v>0.06016789231717423</v>
      </c>
      <c r="Q538">
        <v>0.14260066683765</v>
      </c>
      <c r="R538" t="s">
        <v>782</v>
      </c>
      <c r="S538" t="s">
        <v>794</v>
      </c>
      <c r="T538">
        <v>6254.313199</v>
      </c>
      <c r="U538" s="2">
        <v>44524</v>
      </c>
      <c r="V538" t="s">
        <v>803</v>
      </c>
    </row>
    <row r="539" spans="1:22">
      <c r="A539" s="1" t="s">
        <v>559</v>
      </c>
      <c r="B539">
        <f>HYPERLINK("https://www.suredividend.com/sure-analysis-AGNC/","AGNC Investment Corp")</f>
        <v>0</v>
      </c>
      <c r="C539">
        <v>16.02</v>
      </c>
      <c r="D539">
        <v>23.5</v>
      </c>
      <c r="E539">
        <v>0.6817021276595745</v>
      </c>
      <c r="F539">
        <v>0.0898876404494382</v>
      </c>
      <c r="G539">
        <v>0.07964522942940122</v>
      </c>
      <c r="H539">
        <v>-0.099</v>
      </c>
      <c r="I539">
        <v>0.05895392432494706</v>
      </c>
      <c r="J539" t="s">
        <v>513</v>
      </c>
      <c r="K539" t="s">
        <v>777</v>
      </c>
      <c r="L539">
        <v>2.94</v>
      </c>
      <c r="M539">
        <v>1.44</v>
      </c>
      <c r="N539">
        <v>0.4897959183673469</v>
      </c>
      <c r="O539">
        <v>0</v>
      </c>
      <c r="P539">
        <v>0.008197818497166498</v>
      </c>
      <c r="Q539">
        <v>0.141913345578289</v>
      </c>
      <c r="R539" t="s">
        <v>782</v>
      </c>
      <c r="S539" t="s">
        <v>794</v>
      </c>
      <c r="T539">
        <v>8419.530446999999</v>
      </c>
      <c r="U539" s="2">
        <v>44503</v>
      </c>
      <c r="V539" t="s">
        <v>805</v>
      </c>
    </row>
    <row r="540" spans="1:22">
      <c r="A540" s="1" t="s">
        <v>560</v>
      </c>
      <c r="B540">
        <f>HYPERLINK("https://www.suredividend.com/sure-analysis-ING/","ING Groep N.V.")</f>
        <v>0</v>
      </c>
      <c r="C540">
        <v>14.72</v>
      </c>
      <c r="D540">
        <v>14.7</v>
      </c>
      <c r="E540">
        <v>1.001360544217687</v>
      </c>
      <c r="F540">
        <v>0.04755434782608695</v>
      </c>
      <c r="G540">
        <v>-0.0002718869352542619</v>
      </c>
      <c r="H540">
        <v>0.01</v>
      </c>
      <c r="I540">
        <v>0.05787061745250299</v>
      </c>
      <c r="J540" t="s">
        <v>513</v>
      </c>
      <c r="K540" t="s">
        <v>372</v>
      </c>
      <c r="L540">
        <v>1.47</v>
      </c>
      <c r="M540">
        <v>0.7</v>
      </c>
      <c r="N540">
        <v>0.4761904761904762</v>
      </c>
      <c r="O540">
        <v>0</v>
      </c>
      <c r="P540">
        <v>0.04920026914708719</v>
      </c>
      <c r="Q540">
        <v>0.6881918819188191</v>
      </c>
      <c r="R540" t="s">
        <v>780</v>
      </c>
      <c r="S540" t="s">
        <v>790</v>
      </c>
      <c r="T540">
        <v>57154.977957</v>
      </c>
      <c r="U540" s="2">
        <v>44515</v>
      </c>
      <c r="V540" t="s">
        <v>795</v>
      </c>
    </row>
    <row r="541" spans="1:22">
      <c r="A541" s="1" t="s">
        <v>561</v>
      </c>
      <c r="B541">
        <f>HYPERLINK("https://www.suredividend.com/sure-analysis-UE/","Urban Edge Properties")</f>
        <v>0</v>
      </c>
      <c r="C541">
        <v>18.49</v>
      </c>
      <c r="D541">
        <v>18</v>
      </c>
      <c r="E541">
        <v>1.027222222222222</v>
      </c>
      <c r="F541">
        <v>0.03244997295835587</v>
      </c>
      <c r="G541">
        <v>-0.005357255946699335</v>
      </c>
      <c r="H541">
        <v>0.03</v>
      </c>
      <c r="I541">
        <v>0.0531657815198745</v>
      </c>
      <c r="J541" t="s">
        <v>513</v>
      </c>
      <c r="K541" t="s">
        <v>513</v>
      </c>
      <c r="L541">
        <v>1.08</v>
      </c>
      <c r="M541">
        <v>0.6</v>
      </c>
      <c r="N541">
        <v>0.5555555555555555</v>
      </c>
      <c r="O541">
        <v>0</v>
      </c>
      <c r="P541">
        <v>0.009805797673485328</v>
      </c>
      <c r="Q541">
        <v>0.5071837355424821</v>
      </c>
      <c r="R541" t="s">
        <v>782</v>
      </c>
      <c r="S541" t="s">
        <v>794</v>
      </c>
      <c r="T541">
        <v>2205.704548</v>
      </c>
      <c r="U541" s="2">
        <v>44512</v>
      </c>
      <c r="V541" t="s">
        <v>801</v>
      </c>
    </row>
    <row r="542" spans="1:22">
      <c r="A542" s="1" t="s">
        <v>562</v>
      </c>
      <c r="B542">
        <f>HYPERLINK("https://www.suredividend.com/sure-analysis-CAJ/","Canon Inc")</f>
        <v>0</v>
      </c>
      <c r="C542">
        <v>22.68</v>
      </c>
      <c r="D542">
        <v>22</v>
      </c>
      <c r="E542">
        <v>1.030909090909091</v>
      </c>
      <c r="F542">
        <v>0.03395061728395062</v>
      </c>
      <c r="G542">
        <v>-0.006069709533545908</v>
      </c>
      <c r="H542">
        <v>0.03</v>
      </c>
      <c r="I542">
        <v>0.0529431791530599</v>
      </c>
      <c r="J542" t="s">
        <v>513</v>
      </c>
      <c r="K542" t="s">
        <v>372</v>
      </c>
      <c r="L542">
        <v>1.8</v>
      </c>
      <c r="M542">
        <v>0.77</v>
      </c>
      <c r="N542">
        <v>0.4277777777777778</v>
      </c>
      <c r="O542">
        <v>0</v>
      </c>
      <c r="P542">
        <v>0</v>
      </c>
      <c r="Q542">
        <v>0.274221433863978</v>
      </c>
      <c r="R542" t="s">
        <v>780</v>
      </c>
      <c r="S542" t="s">
        <v>786</v>
      </c>
      <c r="T542">
        <v>30276.430633</v>
      </c>
      <c r="U542" s="2">
        <v>44505</v>
      </c>
      <c r="V542" t="s">
        <v>800</v>
      </c>
    </row>
    <row r="543" spans="1:22">
      <c r="A543" s="1" t="s">
        <v>563</v>
      </c>
      <c r="B543">
        <f>HYPERLINK("https://www.suredividend.com/sure-analysis-BBD/","Banco Bradesco S.A.")</f>
        <v>0</v>
      </c>
      <c r="C543">
        <v>3.65</v>
      </c>
      <c r="D543">
        <v>3.5</v>
      </c>
      <c r="E543">
        <v>1.042857142857143</v>
      </c>
      <c r="F543">
        <v>0.06575342465753424</v>
      </c>
      <c r="G543">
        <v>-0.008357718264896619</v>
      </c>
      <c r="H543">
        <v>0</v>
      </c>
      <c r="I543">
        <v>0.05186740786859767</v>
      </c>
      <c r="J543" t="s">
        <v>513</v>
      </c>
      <c r="K543" t="s">
        <v>777</v>
      </c>
      <c r="L543">
        <v>0.5</v>
      </c>
      <c r="M543">
        <v>0.24</v>
      </c>
      <c r="N543">
        <v>0.48</v>
      </c>
      <c r="O543">
        <v>0</v>
      </c>
      <c r="P543">
        <v>0</v>
      </c>
      <c r="Q543">
        <v>-0.085923217550274</v>
      </c>
      <c r="R543" t="s">
        <v>780</v>
      </c>
      <c r="S543" t="s">
        <v>790</v>
      </c>
      <c r="T543">
        <v>32699.514213</v>
      </c>
      <c r="U543" s="2">
        <v>44506</v>
      </c>
      <c r="V543" t="s">
        <v>795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142.78</v>
      </c>
      <c r="D544">
        <v>114</v>
      </c>
      <c r="E544">
        <v>1.252456140350877</v>
      </c>
      <c r="F544">
        <v>0.01877013587337162</v>
      </c>
      <c r="G544">
        <v>-0.04402288751821948</v>
      </c>
      <c r="H544">
        <v>0.08</v>
      </c>
      <c r="I544">
        <v>0.05094766471850565</v>
      </c>
      <c r="J544" t="s">
        <v>513</v>
      </c>
      <c r="K544" t="s">
        <v>778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0.267875938561846</v>
      </c>
      <c r="R544" t="s">
        <v>780</v>
      </c>
      <c r="S544" t="s">
        <v>786</v>
      </c>
      <c r="T544">
        <v>27405.891983</v>
      </c>
      <c r="U544" s="2">
        <v>44514</v>
      </c>
      <c r="V544" t="s">
        <v>798</v>
      </c>
    </row>
    <row r="545" spans="1:22">
      <c r="A545" s="1" t="s">
        <v>565</v>
      </c>
      <c r="B545">
        <f>HYPERLINK("https://www.suredividend.com/sure-analysis-WPP/","WPP Plc.")</f>
        <v>0</v>
      </c>
      <c r="C545">
        <v>73.90000000000001</v>
      </c>
      <c r="D545">
        <v>72</v>
      </c>
      <c r="E545">
        <v>1.026388888888889</v>
      </c>
      <c r="F545">
        <v>0.02625169147496617</v>
      </c>
      <c r="G545">
        <v>-0.005195796697232025</v>
      </c>
      <c r="H545">
        <v>0.03</v>
      </c>
      <c r="I545">
        <v>0.05017277567723544</v>
      </c>
      <c r="J545" t="s">
        <v>513</v>
      </c>
      <c r="K545" t="s">
        <v>513</v>
      </c>
      <c r="L545">
        <v>5.15</v>
      </c>
      <c r="M545">
        <v>1.94</v>
      </c>
      <c r="N545">
        <v>0.3766990291262136</v>
      </c>
      <c r="O545">
        <v>0</v>
      </c>
      <c r="P545">
        <v>0.03997297703182556</v>
      </c>
      <c r="Q545">
        <v>0.5653319104968071</v>
      </c>
      <c r="R545" t="s">
        <v>780</v>
      </c>
      <c r="S545" t="s">
        <v>784</v>
      </c>
      <c r="T545">
        <v>17415.705699</v>
      </c>
      <c r="U545" s="2">
        <v>44413</v>
      </c>
      <c r="V545" t="s">
        <v>798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22.52</v>
      </c>
      <c r="D546">
        <v>19</v>
      </c>
      <c r="E546">
        <v>1.185263157894737</v>
      </c>
      <c r="F546">
        <v>0.03374777975133215</v>
      </c>
      <c r="G546">
        <v>-0.0334216953350317</v>
      </c>
      <c r="H546">
        <v>0.055</v>
      </c>
      <c r="I546">
        <v>0.05006983039916824</v>
      </c>
      <c r="J546" t="s">
        <v>513</v>
      </c>
      <c r="K546" t="s">
        <v>513</v>
      </c>
      <c r="L546">
        <v>1.37</v>
      </c>
      <c r="M546">
        <v>0.76</v>
      </c>
      <c r="N546">
        <v>0.5547445255474452</v>
      </c>
      <c r="O546">
        <v>2</v>
      </c>
      <c r="P546">
        <v>0.01031145931793609</v>
      </c>
      <c r="Q546">
        <v>0.55103576579778</v>
      </c>
      <c r="R546" t="s">
        <v>782</v>
      </c>
      <c r="S546" t="s">
        <v>794</v>
      </c>
      <c r="T546">
        <v>4875.339255</v>
      </c>
      <c r="U546" s="2">
        <v>44512</v>
      </c>
      <c r="V546" t="s">
        <v>801</v>
      </c>
    </row>
    <row r="547" spans="1:22">
      <c r="A547" s="1" t="s">
        <v>567</v>
      </c>
      <c r="B547">
        <f>HYPERLINK("https://www.suredividend.com/sure-analysis-JNPR/","Juniper Networks Inc")</f>
        <v>0</v>
      </c>
      <c r="C547">
        <v>32.33</v>
      </c>
      <c r="D547">
        <v>26</v>
      </c>
      <c r="E547">
        <v>1.243461538461538</v>
      </c>
      <c r="F547">
        <v>0.02474481905351067</v>
      </c>
      <c r="G547">
        <v>-0.04264385626348788</v>
      </c>
      <c r="H547">
        <v>0.07000000000000001</v>
      </c>
      <c r="I547">
        <v>0.04919874716470041</v>
      </c>
      <c r="J547" t="s">
        <v>513</v>
      </c>
      <c r="K547" t="s">
        <v>513</v>
      </c>
      <c r="L547">
        <v>1.8</v>
      </c>
      <c r="M547">
        <v>0.8</v>
      </c>
      <c r="N547">
        <v>0.4444444444444445</v>
      </c>
      <c r="O547">
        <v>3</v>
      </c>
      <c r="P547">
        <v>0.04978904632428516</v>
      </c>
      <c r="Q547">
        <v>0.5464877068546631</v>
      </c>
      <c r="R547" t="s">
        <v>780</v>
      </c>
      <c r="S547" t="s">
        <v>786</v>
      </c>
      <c r="T547">
        <v>10535.868061</v>
      </c>
      <c r="U547" s="2">
        <v>44498</v>
      </c>
      <c r="V547" t="s">
        <v>801</v>
      </c>
    </row>
    <row r="548" spans="1:22">
      <c r="A548" s="1" t="s">
        <v>568</v>
      </c>
      <c r="B548">
        <f>HYPERLINK("https://www.suredividend.com/sure-analysis-ALV/","Autoliv Inc.")</f>
        <v>0</v>
      </c>
      <c r="C548">
        <v>102.47</v>
      </c>
      <c r="D548">
        <v>71</v>
      </c>
      <c r="E548">
        <v>1.443239436619718</v>
      </c>
      <c r="F548">
        <v>0.02498292183077974</v>
      </c>
      <c r="G548">
        <v>-0.07075052906767409</v>
      </c>
      <c r="H548">
        <v>0.1</v>
      </c>
      <c r="I548">
        <v>0.04858888520005178</v>
      </c>
      <c r="J548" t="s">
        <v>513</v>
      </c>
      <c r="K548" t="s">
        <v>513</v>
      </c>
      <c r="L548">
        <v>5.1</v>
      </c>
      <c r="M548">
        <v>2.56</v>
      </c>
      <c r="N548">
        <v>0.5019607843137255</v>
      </c>
      <c r="O548">
        <v>1</v>
      </c>
      <c r="P548">
        <v>0.06576275663547415</v>
      </c>
      <c r="Q548">
        <v>0.197706883925302</v>
      </c>
      <c r="R548" t="s">
        <v>780</v>
      </c>
      <c r="S548" t="s">
        <v>789</v>
      </c>
      <c r="T548">
        <v>9155.696228999999</v>
      </c>
      <c r="U548" s="2">
        <v>44493</v>
      </c>
      <c r="V548" t="s">
        <v>798</v>
      </c>
    </row>
    <row r="549" spans="1:22">
      <c r="A549" s="1" t="s">
        <v>569</v>
      </c>
      <c r="B549">
        <f>HYPERLINK("https://www.suredividend.com/sure-analysis-GEL/","Genesis Energy L.P.")</f>
        <v>0</v>
      </c>
      <c r="C549">
        <v>12.02</v>
      </c>
      <c r="D549">
        <v>10</v>
      </c>
      <c r="E549">
        <v>1.202</v>
      </c>
      <c r="F549">
        <v>0.04991680532445923</v>
      </c>
      <c r="G549">
        <v>-0.03612857249350176</v>
      </c>
      <c r="H549">
        <v>0.04</v>
      </c>
      <c r="I549">
        <v>0.04760206682104506</v>
      </c>
      <c r="J549" t="s">
        <v>513</v>
      </c>
      <c r="K549" t="s">
        <v>777</v>
      </c>
      <c r="L549">
        <v>2</v>
      </c>
      <c r="M549">
        <v>0.6</v>
      </c>
      <c r="N549">
        <v>0.3</v>
      </c>
      <c r="O549">
        <v>0</v>
      </c>
      <c r="P549">
        <v>0</v>
      </c>
      <c r="Q549">
        <v>1.148903841979596</v>
      </c>
      <c r="R549" t="s">
        <v>781</v>
      </c>
      <c r="S549" t="s">
        <v>793</v>
      </c>
      <c r="T549">
        <v>1455.765945</v>
      </c>
      <c r="U549" s="2">
        <v>44522</v>
      </c>
      <c r="V549" t="s">
        <v>803</v>
      </c>
    </row>
    <row r="550" spans="1:22">
      <c r="A550" s="1" t="s">
        <v>570</v>
      </c>
      <c r="B550">
        <f>HYPERLINK("https://www.suredividend.com/sure-analysis-BXP/","Boston Properties, Inc.")</f>
        <v>0</v>
      </c>
      <c r="C550">
        <v>117.91</v>
      </c>
      <c r="D550">
        <v>103</v>
      </c>
      <c r="E550">
        <v>1.144757281553398</v>
      </c>
      <c r="F550">
        <v>0.03324569586973115</v>
      </c>
      <c r="G550">
        <v>-0.02667625812237484</v>
      </c>
      <c r="H550">
        <v>0.044</v>
      </c>
      <c r="I550">
        <v>0.0464220184985864</v>
      </c>
      <c r="J550" t="s">
        <v>513</v>
      </c>
      <c r="K550" t="s">
        <v>513</v>
      </c>
      <c r="L550">
        <v>6.45</v>
      </c>
      <c r="M550">
        <v>3.92</v>
      </c>
      <c r="N550">
        <v>0.6077519379844961</v>
      </c>
      <c r="O550">
        <v>5</v>
      </c>
      <c r="P550">
        <v>0.01000199077119301</v>
      </c>
      <c r="Q550">
        <v>0.246335007000281</v>
      </c>
      <c r="R550" t="s">
        <v>782</v>
      </c>
      <c r="S550" t="s">
        <v>794</v>
      </c>
      <c r="T550">
        <v>18452.726295</v>
      </c>
      <c r="U550" s="2">
        <v>44503</v>
      </c>
      <c r="V550" t="s">
        <v>805</v>
      </c>
    </row>
    <row r="551" spans="1:22">
      <c r="A551" s="1" t="s">
        <v>571</v>
      </c>
      <c r="B551">
        <f>HYPERLINK("https://www.suredividend.com/sure-analysis-HBAN/","Huntington Bancshares, Inc.")</f>
        <v>0</v>
      </c>
      <c r="C551">
        <v>16.4</v>
      </c>
      <c r="D551">
        <v>14</v>
      </c>
      <c r="E551">
        <v>1.171428571428571</v>
      </c>
      <c r="F551">
        <v>0.03780487804878049</v>
      </c>
      <c r="G551">
        <v>-0.03114934428929972</v>
      </c>
      <c r="H551">
        <v>0.04</v>
      </c>
      <c r="I551">
        <v>0.04577466990685775</v>
      </c>
      <c r="J551" t="s">
        <v>513</v>
      </c>
      <c r="K551" t="s">
        <v>372</v>
      </c>
      <c r="L551">
        <v>1.25</v>
      </c>
      <c r="M551">
        <v>0.62</v>
      </c>
      <c r="N551">
        <v>0.496</v>
      </c>
      <c r="O551">
        <v>1</v>
      </c>
      <c r="P551">
        <v>0.03880472124431766</v>
      </c>
      <c r="Q551">
        <v>0.437533830850185</v>
      </c>
      <c r="R551" t="s">
        <v>780</v>
      </c>
      <c r="S551" t="s">
        <v>790</v>
      </c>
      <c r="T551">
        <v>23432.672234</v>
      </c>
      <c r="U551" s="2">
        <v>44499</v>
      </c>
      <c r="V551" t="s">
        <v>799</v>
      </c>
    </row>
    <row r="552" spans="1:22">
      <c r="A552" s="1" t="s">
        <v>572</v>
      </c>
      <c r="B552">
        <f>HYPERLINK("https://www.suredividend.com/sure-analysis-AVGO/","Broadcom Inc")</f>
        <v>0</v>
      </c>
      <c r="C552">
        <v>555.12</v>
      </c>
      <c r="D552">
        <v>420</v>
      </c>
      <c r="E552">
        <v>1.321714285714286</v>
      </c>
      <c r="F552">
        <v>0.02594033722438392</v>
      </c>
      <c r="G552">
        <v>-0.05425842053632846</v>
      </c>
      <c r="H552">
        <v>0.075</v>
      </c>
      <c r="I552">
        <v>0.04573183480499199</v>
      </c>
      <c r="J552" t="s">
        <v>513</v>
      </c>
      <c r="K552" t="s">
        <v>513</v>
      </c>
      <c r="L552">
        <v>28</v>
      </c>
      <c r="M552">
        <v>14.4</v>
      </c>
      <c r="N552">
        <v>0.5142857142857143</v>
      </c>
      <c r="O552">
        <v>10</v>
      </c>
      <c r="P552">
        <v>0.08001710619661218</v>
      </c>
      <c r="Q552">
        <v>0.489347670135117</v>
      </c>
      <c r="R552" t="s">
        <v>780</v>
      </c>
      <c r="S552" t="s">
        <v>786</v>
      </c>
      <c r="T552">
        <v>227739.059825</v>
      </c>
      <c r="U552" s="2">
        <v>44453</v>
      </c>
      <c r="V552" t="s">
        <v>800</v>
      </c>
    </row>
    <row r="553" spans="1:22">
      <c r="A553" s="1" t="s">
        <v>573</v>
      </c>
      <c r="B553">
        <f>HYPERLINK("https://www.suredividend.com/sure-analysis-COP/","Conoco Phillips")</f>
        <v>0</v>
      </c>
      <c r="C553">
        <v>73.78</v>
      </c>
      <c r="D553">
        <v>74</v>
      </c>
      <c r="E553">
        <v>0.9970270270270271</v>
      </c>
      <c r="F553">
        <v>0.024939007861209</v>
      </c>
      <c r="G553">
        <v>0.0005956575406642628</v>
      </c>
      <c r="H553">
        <v>0.02</v>
      </c>
      <c r="I553">
        <v>0.04463731527871784</v>
      </c>
      <c r="J553" t="s">
        <v>513</v>
      </c>
      <c r="K553" t="s">
        <v>513</v>
      </c>
      <c r="L553">
        <v>5.8</v>
      </c>
      <c r="M553">
        <v>1.84</v>
      </c>
      <c r="N553">
        <v>0.3172413793103449</v>
      </c>
      <c r="O553">
        <v>6</v>
      </c>
      <c r="P553">
        <v>0.03066894385040531</v>
      </c>
      <c r="Q553">
        <v>0.8692682318007011</v>
      </c>
      <c r="R553" t="s">
        <v>780</v>
      </c>
      <c r="S553" t="s">
        <v>793</v>
      </c>
      <c r="T553">
        <v>94819.09026899999</v>
      </c>
      <c r="U553" s="2">
        <v>44504</v>
      </c>
      <c r="V553" t="s">
        <v>803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39.43</v>
      </c>
      <c r="D554">
        <v>34</v>
      </c>
      <c r="E554">
        <v>1.159705882352941</v>
      </c>
      <c r="F554">
        <v>0.02434694395130611</v>
      </c>
      <c r="G554">
        <v>-0.0291985239217325</v>
      </c>
      <c r="H554">
        <v>0.05</v>
      </c>
      <c r="I554">
        <v>0.04443789033133694</v>
      </c>
      <c r="J554" t="s">
        <v>513</v>
      </c>
      <c r="K554" t="s">
        <v>513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0.092222394650339</v>
      </c>
      <c r="R554" t="s">
        <v>780</v>
      </c>
      <c r="S554" t="s">
        <v>786</v>
      </c>
      <c r="T554">
        <v>33035.441448</v>
      </c>
      <c r="U554" s="2">
        <v>44497</v>
      </c>
      <c r="V554" t="s">
        <v>799</v>
      </c>
    </row>
    <row r="555" spans="1:22">
      <c r="A555" s="1" t="s">
        <v>575</v>
      </c>
      <c r="B555">
        <f>HYPERLINK("https://www.suredividend.com/sure-analysis-CCI/","Crown Castle International Corp")</f>
        <v>0</v>
      </c>
      <c r="C555">
        <v>183.67</v>
      </c>
      <c r="D555">
        <v>152</v>
      </c>
      <c r="E555">
        <v>1.208355263157895</v>
      </c>
      <c r="F555">
        <v>0.03201393804105189</v>
      </c>
      <c r="G555">
        <v>-0.0371445956065648</v>
      </c>
      <c r="H555">
        <v>0.05</v>
      </c>
      <c r="I555">
        <v>0.0442785863108579</v>
      </c>
      <c r="J555" t="s">
        <v>513</v>
      </c>
      <c r="K555" t="s">
        <v>372</v>
      </c>
      <c r="L555">
        <v>6.35</v>
      </c>
      <c r="M555">
        <v>5.88</v>
      </c>
      <c r="N555">
        <v>0.925984251968504</v>
      </c>
      <c r="O555">
        <v>7</v>
      </c>
      <c r="P555">
        <v>0.04987304960985517</v>
      </c>
      <c r="Q555">
        <v>0.123798830374684</v>
      </c>
      <c r="R555" t="s">
        <v>782</v>
      </c>
      <c r="S555" t="s">
        <v>794</v>
      </c>
      <c r="T555">
        <v>78643.703006</v>
      </c>
      <c r="U555" s="2">
        <v>44493</v>
      </c>
      <c r="V555" t="s">
        <v>798</v>
      </c>
    </row>
    <row r="556" spans="1:22">
      <c r="A556" s="1" t="s">
        <v>576</v>
      </c>
      <c r="B556">
        <f>HYPERLINK("https://www.suredividend.com/sure-analysis-AES/","AES Corp.")</f>
        <v>0</v>
      </c>
      <c r="C556">
        <v>24.61</v>
      </c>
      <c r="D556">
        <v>19</v>
      </c>
      <c r="E556">
        <v>1.295263157894737</v>
      </c>
      <c r="F556">
        <v>0.02438033319788704</v>
      </c>
      <c r="G556">
        <v>-0.05042691257467913</v>
      </c>
      <c r="H556">
        <v>0.07000000000000001</v>
      </c>
      <c r="I556">
        <v>0.0413836587236831</v>
      </c>
      <c r="J556" t="s">
        <v>513</v>
      </c>
      <c r="K556" t="s">
        <v>513</v>
      </c>
      <c r="L556">
        <v>1.54</v>
      </c>
      <c r="M556">
        <v>0.6</v>
      </c>
      <c r="N556">
        <v>0.3896103896103896</v>
      </c>
      <c r="O556">
        <v>10</v>
      </c>
      <c r="P556">
        <v>0.05115774595007161</v>
      </c>
      <c r="Q556">
        <v>0.251266819855708</v>
      </c>
      <c r="R556" t="s">
        <v>780</v>
      </c>
      <c r="S556" t="s">
        <v>793</v>
      </c>
      <c r="T556">
        <v>16627.842895</v>
      </c>
      <c r="U556" s="2">
        <v>44513</v>
      </c>
      <c r="V556" t="s">
        <v>801</v>
      </c>
    </row>
    <row r="557" spans="1:22">
      <c r="A557" s="1" t="s">
        <v>577</v>
      </c>
      <c r="B557">
        <f>HYPERLINK("https://www.suredividend.com/sure-analysis-USB/","U.S. Bancorp.")</f>
        <v>0</v>
      </c>
      <c r="C557">
        <v>60.07</v>
      </c>
      <c r="D557">
        <v>62</v>
      </c>
      <c r="E557">
        <v>0.9688709677419355</v>
      </c>
      <c r="F557">
        <v>0.03063093058098885</v>
      </c>
      <c r="G557">
        <v>0.006344810811603541</v>
      </c>
      <c r="H557">
        <v>0</v>
      </c>
      <c r="I557">
        <v>0.03972591710954632</v>
      </c>
      <c r="J557" t="s">
        <v>513</v>
      </c>
      <c r="K557" t="s">
        <v>372</v>
      </c>
      <c r="L557">
        <v>5.15</v>
      </c>
      <c r="M557">
        <v>1.84</v>
      </c>
      <c r="N557">
        <v>0.3572815533980582</v>
      </c>
      <c r="O557">
        <v>10</v>
      </c>
      <c r="P557">
        <v>0.05979888147511248</v>
      </c>
      <c r="Q557">
        <v>0.4270850976312031</v>
      </c>
      <c r="R557" t="s">
        <v>780</v>
      </c>
      <c r="S557" t="s">
        <v>790</v>
      </c>
      <c r="T557">
        <v>87455.40710700001</v>
      </c>
      <c r="U557" s="2">
        <v>44491</v>
      </c>
      <c r="V557" t="s">
        <v>798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18.14</v>
      </c>
      <c r="D558">
        <v>16</v>
      </c>
      <c r="E558">
        <v>1.13375</v>
      </c>
      <c r="F558">
        <v>0.05071664829106946</v>
      </c>
      <c r="G558">
        <v>-0.0247936062502826</v>
      </c>
      <c r="H558">
        <v>0.017</v>
      </c>
      <c r="I558">
        <v>0.03940509549307936</v>
      </c>
      <c r="J558" t="s">
        <v>513</v>
      </c>
      <c r="K558" t="s">
        <v>777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0.080243247737368</v>
      </c>
      <c r="R558" t="s">
        <v>782</v>
      </c>
      <c r="S558" t="s">
        <v>794</v>
      </c>
      <c r="T558">
        <v>4007.065714</v>
      </c>
      <c r="U558" s="2">
        <v>44506</v>
      </c>
      <c r="V558" t="s">
        <v>796</v>
      </c>
    </row>
    <row r="559" spans="1:22">
      <c r="A559" s="1" t="s">
        <v>579</v>
      </c>
      <c r="B559">
        <f>HYPERLINK("https://www.suredividend.com/sure-analysis-NSP/","Insperity Inc")</f>
        <v>0</v>
      </c>
      <c r="C559">
        <v>125.16</v>
      </c>
      <c r="D559">
        <v>96</v>
      </c>
      <c r="E559">
        <v>1.30375</v>
      </c>
      <c r="F559">
        <v>0.01438159156279962</v>
      </c>
      <c r="G559">
        <v>-0.05166640528391864</v>
      </c>
      <c r="H559">
        <v>0.08</v>
      </c>
      <c r="I559">
        <v>0.03894642913976321</v>
      </c>
      <c r="J559" t="s">
        <v>513</v>
      </c>
      <c r="K559" t="s">
        <v>778</v>
      </c>
      <c r="L559">
        <v>4.36</v>
      </c>
      <c r="M559">
        <v>1.8</v>
      </c>
      <c r="N559">
        <v>0.4128440366972477</v>
      </c>
      <c r="O559">
        <v>14</v>
      </c>
      <c r="P559">
        <v>0.05024607263868264</v>
      </c>
      <c r="Q559">
        <v>0.406250911275319</v>
      </c>
      <c r="R559" t="s">
        <v>780</v>
      </c>
      <c r="S559" t="s">
        <v>790</v>
      </c>
      <c r="T559">
        <v>4641.770498</v>
      </c>
      <c r="U559" s="2">
        <v>44502</v>
      </c>
      <c r="V559" t="s">
        <v>801</v>
      </c>
    </row>
    <row r="560" spans="1:22">
      <c r="A560" s="1" t="s">
        <v>580</v>
      </c>
      <c r="B560">
        <f>HYPERLINK("https://www.suredividend.com/sure-analysis-TU/","Telus Corp.")</f>
        <v>0</v>
      </c>
      <c r="C560">
        <v>23.06</v>
      </c>
      <c r="D560">
        <v>15</v>
      </c>
      <c r="E560">
        <v>1.537333333333333</v>
      </c>
      <c r="F560">
        <v>0.04553339115351258</v>
      </c>
      <c r="G560">
        <v>-0.08241481873565093</v>
      </c>
      <c r="H560">
        <v>0.08</v>
      </c>
      <c r="I560">
        <v>0.03801822033139479</v>
      </c>
      <c r="J560" t="s">
        <v>513</v>
      </c>
      <c r="K560" t="s">
        <v>372</v>
      </c>
      <c r="L560">
        <v>0.95</v>
      </c>
      <c r="M560">
        <v>1.05</v>
      </c>
      <c r="N560">
        <v>1.105263157894737</v>
      </c>
      <c r="O560">
        <v>14</v>
      </c>
      <c r="P560">
        <v>0.03046704262958766</v>
      </c>
      <c r="Q560">
        <v>0.274310675829832</v>
      </c>
      <c r="R560" t="s">
        <v>780</v>
      </c>
      <c r="S560" t="s">
        <v>784</v>
      </c>
      <c r="T560">
        <v>31161.972264</v>
      </c>
      <c r="U560" s="2">
        <v>44522</v>
      </c>
      <c r="V560" t="s">
        <v>803</v>
      </c>
    </row>
    <row r="561" spans="1:22">
      <c r="A561" s="1" t="s">
        <v>581</v>
      </c>
      <c r="B561">
        <f>HYPERLINK("https://www.suredividend.com/sure-analysis-TJX/","TJX Companies, Inc.")</f>
        <v>0</v>
      </c>
      <c r="C561">
        <v>70.95</v>
      </c>
      <c r="D561">
        <v>51</v>
      </c>
      <c r="E561">
        <v>1.391176470588235</v>
      </c>
      <c r="F561">
        <v>0.01465821000704722</v>
      </c>
      <c r="G561">
        <v>-0.06389717631740355</v>
      </c>
      <c r="H561">
        <v>0.09</v>
      </c>
      <c r="I561">
        <v>0.03786942672575599</v>
      </c>
      <c r="J561" t="s">
        <v>513</v>
      </c>
      <c r="K561" t="s">
        <v>778</v>
      </c>
      <c r="L561">
        <v>2.36</v>
      </c>
      <c r="M561">
        <v>1.04</v>
      </c>
      <c r="N561">
        <v>0.440677966101695</v>
      </c>
      <c r="O561">
        <v>0</v>
      </c>
      <c r="P561">
        <v>0.09935163429189564</v>
      </c>
      <c r="Q561">
        <v>0.168745588771479</v>
      </c>
      <c r="R561" t="s">
        <v>780</v>
      </c>
      <c r="S561" t="s">
        <v>789</v>
      </c>
      <c r="T561">
        <v>84033.439086</v>
      </c>
      <c r="U561" s="2">
        <v>44429</v>
      </c>
      <c r="V561" t="s">
        <v>804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73.81</v>
      </c>
      <c r="D562">
        <v>60</v>
      </c>
      <c r="E562">
        <v>1.230166666666667</v>
      </c>
      <c r="F562">
        <v>0.02845142934561713</v>
      </c>
      <c r="G562">
        <v>-0.04058344291358051</v>
      </c>
      <c r="H562">
        <v>0.05</v>
      </c>
      <c r="I562">
        <v>0.03757806430163191</v>
      </c>
      <c r="J562" t="s">
        <v>513</v>
      </c>
      <c r="K562" t="s">
        <v>513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0.8204160196609721</v>
      </c>
      <c r="R562" t="s">
        <v>780</v>
      </c>
      <c r="S562" t="s">
        <v>790</v>
      </c>
      <c r="T562">
        <v>18703.05371</v>
      </c>
      <c r="U562" s="2">
        <v>44522</v>
      </c>
      <c r="V562" t="s">
        <v>798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29.04</v>
      </c>
      <c r="D563">
        <v>25</v>
      </c>
      <c r="E563">
        <v>1.1616</v>
      </c>
      <c r="F563">
        <v>0.03443526170798898</v>
      </c>
      <c r="G563">
        <v>-0.02951533052250521</v>
      </c>
      <c r="H563">
        <v>0.029</v>
      </c>
      <c r="I563">
        <v>0.03375250835373445</v>
      </c>
      <c r="J563" t="s">
        <v>513</v>
      </c>
      <c r="K563" t="s">
        <v>372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0.049903912620199</v>
      </c>
      <c r="R563" t="s">
        <v>780</v>
      </c>
      <c r="S563" t="s">
        <v>789</v>
      </c>
      <c r="T563">
        <v>52549.538754</v>
      </c>
      <c r="U563" s="2">
        <v>44507</v>
      </c>
      <c r="V563" t="s">
        <v>796</v>
      </c>
    </row>
    <row r="564" spans="1:22">
      <c r="A564" s="1" t="s">
        <v>584</v>
      </c>
      <c r="B564">
        <f>HYPERLINK("https://www.suredividend.com/sure-analysis-CODI/","Compass Diversified Holdings")</f>
        <v>0</v>
      </c>
      <c r="C564">
        <v>30.96</v>
      </c>
      <c r="D564">
        <v>24</v>
      </c>
      <c r="E564">
        <v>1.29</v>
      </c>
      <c r="F564">
        <v>0.04651162790697674</v>
      </c>
      <c r="G564">
        <v>-0.04965332858499649</v>
      </c>
      <c r="H564">
        <v>0.04</v>
      </c>
      <c r="I564">
        <v>0.03290242739781424</v>
      </c>
      <c r="J564" t="s">
        <v>513</v>
      </c>
      <c r="K564" t="s">
        <v>372</v>
      </c>
      <c r="L564">
        <v>2.4</v>
      </c>
      <c r="M564">
        <v>1.44</v>
      </c>
      <c r="N564">
        <v>0.6</v>
      </c>
      <c r="O564">
        <v>0</v>
      </c>
      <c r="P564">
        <v>0</v>
      </c>
      <c r="Q564">
        <v>0.78931092130113</v>
      </c>
      <c r="R564" t="s">
        <v>780</v>
      </c>
      <c r="S564" t="s">
        <v>787</v>
      </c>
      <c r="T564">
        <v>2068.213795</v>
      </c>
      <c r="U564" s="2">
        <v>44504</v>
      </c>
      <c r="V564" t="s">
        <v>800</v>
      </c>
    </row>
    <row r="565" spans="1:22">
      <c r="A565" s="1" t="s">
        <v>585</v>
      </c>
      <c r="B565">
        <f>HYPERLINK("https://www.suredividend.com/sure-analysis-STX/","Seagate Technology Holdings Plc")</f>
        <v>0</v>
      </c>
      <c r="C565">
        <v>101.58</v>
      </c>
      <c r="D565">
        <v>89</v>
      </c>
      <c r="E565">
        <v>1.141348314606742</v>
      </c>
      <c r="F565">
        <v>0.02756448119708604</v>
      </c>
      <c r="G565">
        <v>-0.02609552892509048</v>
      </c>
      <c r="H565">
        <v>0.03</v>
      </c>
      <c r="I565">
        <v>0.03088707749374642</v>
      </c>
      <c r="J565" t="s">
        <v>513</v>
      </c>
      <c r="K565" t="s">
        <v>513</v>
      </c>
      <c r="L565">
        <v>8.9</v>
      </c>
      <c r="M565">
        <v>2.8</v>
      </c>
      <c r="N565">
        <v>0.3146067415730337</v>
      </c>
      <c r="O565">
        <v>3</v>
      </c>
      <c r="P565">
        <v>0.02513307572787737</v>
      </c>
      <c r="Q565">
        <v>0.029002853503288</v>
      </c>
      <c r="R565" t="s">
        <v>780</v>
      </c>
      <c r="S565" t="s">
        <v>786</v>
      </c>
      <c r="T565">
        <v>22624.264731</v>
      </c>
      <c r="U565" s="2">
        <v>44507</v>
      </c>
      <c r="V565" t="s">
        <v>800</v>
      </c>
    </row>
    <row r="566" spans="1:22">
      <c r="A566" s="1" t="s">
        <v>586</v>
      </c>
      <c r="B566">
        <f>HYPERLINK("https://www.suredividend.com/sure-analysis-TSM/","Taiwan Semiconductor Manufacturing")</f>
        <v>0</v>
      </c>
      <c r="C566">
        <v>121.36</v>
      </c>
      <c r="D566">
        <v>72</v>
      </c>
      <c r="E566">
        <v>1.685555555555555</v>
      </c>
      <c r="F566">
        <v>0.01647989452867502</v>
      </c>
      <c r="G566">
        <v>-0.09915227580044184</v>
      </c>
      <c r="H566">
        <v>0.12</v>
      </c>
      <c r="I566">
        <v>0.02834688994472456</v>
      </c>
      <c r="J566" t="s">
        <v>513</v>
      </c>
      <c r="K566" t="s">
        <v>778</v>
      </c>
      <c r="L566">
        <v>4.05</v>
      </c>
      <c r="M566">
        <v>2</v>
      </c>
      <c r="N566">
        <v>0.4938271604938272</v>
      </c>
      <c r="O566">
        <v>7</v>
      </c>
      <c r="P566">
        <v>0.08009875865888949</v>
      </c>
      <c r="Q566">
        <v>0.329590230416121</v>
      </c>
      <c r="R566" t="s">
        <v>780</v>
      </c>
      <c r="S566" t="s">
        <v>786</v>
      </c>
      <c r="T566">
        <v>646962.992477</v>
      </c>
      <c r="U566" s="2">
        <v>44490</v>
      </c>
      <c r="V566" t="s">
        <v>803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59.92</v>
      </c>
      <c r="D567">
        <v>50</v>
      </c>
      <c r="E567">
        <v>1.1984</v>
      </c>
      <c r="F567">
        <v>0.03070761014686248</v>
      </c>
      <c r="G567">
        <v>-0.03555017210056644</v>
      </c>
      <c r="H567">
        <v>0.03</v>
      </c>
      <c r="I567">
        <v>0.0247950701480435</v>
      </c>
      <c r="J567" t="s">
        <v>513</v>
      </c>
      <c r="K567" t="s">
        <v>513</v>
      </c>
      <c r="L567">
        <v>4.18</v>
      </c>
      <c r="M567">
        <v>1.84</v>
      </c>
      <c r="N567">
        <v>0.4401913875598087</v>
      </c>
      <c r="O567">
        <v>1</v>
      </c>
      <c r="P567">
        <v>0.01984845658885503</v>
      </c>
      <c r="Q567">
        <v>0.4715120641989911</v>
      </c>
      <c r="R567" t="s">
        <v>780</v>
      </c>
      <c r="S567" t="s">
        <v>789</v>
      </c>
      <c r="T567">
        <v>3450.511875</v>
      </c>
      <c r="U567" s="2">
        <v>44511</v>
      </c>
      <c r="V567" t="s">
        <v>800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17.57</v>
      </c>
      <c r="D568">
        <v>16</v>
      </c>
      <c r="E568">
        <v>1.098125</v>
      </c>
      <c r="F568">
        <v>0.02105862265224815</v>
      </c>
      <c r="G568">
        <v>-0.01854668955725158</v>
      </c>
      <c r="H568">
        <v>0.02</v>
      </c>
      <c r="I568">
        <v>0.02365783678882383</v>
      </c>
      <c r="J568" t="s">
        <v>513</v>
      </c>
      <c r="K568" t="s">
        <v>513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0.241093184998898</v>
      </c>
      <c r="R568" t="s">
        <v>780</v>
      </c>
      <c r="S568" t="s">
        <v>790</v>
      </c>
      <c r="T568">
        <v>64681.329723</v>
      </c>
      <c r="U568" s="2">
        <v>44498</v>
      </c>
      <c r="V568" t="s">
        <v>803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8.470000000000001</v>
      </c>
      <c r="D569">
        <v>7</v>
      </c>
      <c r="E569">
        <v>1.21</v>
      </c>
      <c r="F569">
        <v>0.03187721369539551</v>
      </c>
      <c r="G569">
        <v>-0.03740649734383228</v>
      </c>
      <c r="H569">
        <v>0.03</v>
      </c>
      <c r="I569">
        <v>0.02246086409908021</v>
      </c>
      <c r="J569" t="s">
        <v>513</v>
      </c>
      <c r="K569" t="s">
        <v>513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0.033339832325989</v>
      </c>
      <c r="R569" t="s">
        <v>780</v>
      </c>
      <c r="S569" t="s">
        <v>784</v>
      </c>
      <c r="T569">
        <v>6417.469664</v>
      </c>
      <c r="U569" s="2">
        <v>44502</v>
      </c>
      <c r="V569" t="s">
        <v>800</v>
      </c>
    </row>
    <row r="570" spans="1:22">
      <c r="A570" s="1" t="s">
        <v>590</v>
      </c>
      <c r="B570">
        <f>HYPERLINK("https://www.suredividend.com/sure-analysis-RGA/","Reinsurance Group Of America, Inc.")</f>
        <v>0</v>
      </c>
      <c r="C570">
        <v>107.48</v>
      </c>
      <c r="D570">
        <v>50</v>
      </c>
      <c r="E570">
        <v>2.1496</v>
      </c>
      <c r="F570">
        <v>0.0271678451804987</v>
      </c>
      <c r="G570">
        <v>-0.1419186372960626</v>
      </c>
      <c r="H570">
        <v>0.15</v>
      </c>
      <c r="I570">
        <v>0.02161412086631098</v>
      </c>
      <c r="J570" t="s">
        <v>513</v>
      </c>
      <c r="K570" t="s">
        <v>513</v>
      </c>
      <c r="L570">
        <v>4.2</v>
      </c>
      <c r="M570">
        <v>2.92</v>
      </c>
      <c r="N570">
        <v>0.6952380952380952</v>
      </c>
      <c r="O570">
        <v>11</v>
      </c>
      <c r="P570">
        <v>0.08986498009382693</v>
      </c>
      <c r="Q570">
        <v>-0.044658427477443</v>
      </c>
      <c r="R570" t="s">
        <v>780</v>
      </c>
      <c r="S570" t="s">
        <v>790</v>
      </c>
      <c r="T570">
        <v>7239.976172</v>
      </c>
      <c r="U570" s="2">
        <v>44511</v>
      </c>
      <c r="V570" t="s">
        <v>801</v>
      </c>
    </row>
    <row r="571" spans="1:22">
      <c r="A571" s="1" t="s">
        <v>591</v>
      </c>
      <c r="B571">
        <f>HYPERLINK("https://www.suredividend.com/sure-analysis-MPWR/","Monolithic Power System Inc")</f>
        <v>0</v>
      </c>
      <c r="C571">
        <v>545.84</v>
      </c>
      <c r="D571">
        <v>266</v>
      </c>
      <c r="E571">
        <v>2.05203007518797</v>
      </c>
      <c r="F571">
        <v>0.004396892862377253</v>
      </c>
      <c r="G571">
        <v>-0.1339095383933481</v>
      </c>
      <c r="H571">
        <v>0.17</v>
      </c>
      <c r="I571">
        <v>0.02066489380778691</v>
      </c>
      <c r="J571" t="s">
        <v>513</v>
      </c>
      <c r="K571" t="s">
        <v>778</v>
      </c>
      <c r="L571">
        <v>7.2</v>
      </c>
      <c r="M571">
        <v>2.4</v>
      </c>
      <c r="N571">
        <v>0.3333333333333333</v>
      </c>
      <c r="O571">
        <v>4</v>
      </c>
      <c r="P571">
        <v>0.1999209000665154</v>
      </c>
      <c r="Q571">
        <v>0.7775446775941931</v>
      </c>
      <c r="R571" t="s">
        <v>780</v>
      </c>
      <c r="S571" t="s">
        <v>786</v>
      </c>
      <c r="T571">
        <v>25713.44098</v>
      </c>
      <c r="U571" s="2">
        <v>44500</v>
      </c>
      <c r="V571" t="s">
        <v>795</v>
      </c>
    </row>
    <row r="572" spans="1:22">
      <c r="A572" s="1" t="s">
        <v>592</v>
      </c>
      <c r="B572">
        <f>HYPERLINK("https://www.suredividend.com/sure-analysis-EGP/","Eastgroup Properties, Inc.")</f>
        <v>0</v>
      </c>
      <c r="C572">
        <v>208.02</v>
      </c>
      <c r="D572">
        <v>145</v>
      </c>
      <c r="E572">
        <v>1.434620689655173</v>
      </c>
      <c r="F572">
        <v>0.01730602826651283</v>
      </c>
      <c r="G572">
        <v>-0.06963667520152117</v>
      </c>
      <c r="H572">
        <v>0.075</v>
      </c>
      <c r="I572">
        <v>0.02057620688543849</v>
      </c>
      <c r="J572" t="s">
        <v>513</v>
      </c>
      <c r="K572" t="s">
        <v>778</v>
      </c>
      <c r="L572">
        <v>6.05</v>
      </c>
      <c r="M572">
        <v>3.6</v>
      </c>
      <c r="N572">
        <v>0.5950413223140496</v>
      </c>
      <c r="O572">
        <v>11</v>
      </c>
      <c r="P572">
        <v>0.07003448782339894</v>
      </c>
      <c r="Q572">
        <v>0.501072923834069</v>
      </c>
      <c r="R572" t="s">
        <v>782</v>
      </c>
      <c r="S572" t="s">
        <v>794</v>
      </c>
      <c r="T572">
        <v>8378.519182</v>
      </c>
      <c r="U572" s="2">
        <v>44500</v>
      </c>
      <c r="V572" t="s">
        <v>795</v>
      </c>
    </row>
    <row r="573" spans="1:22">
      <c r="A573" s="1" t="s">
        <v>593</v>
      </c>
      <c r="B573">
        <f>HYPERLINK("https://www.suredividend.com/sure-analysis-PLD/","Prologis Inc")</f>
        <v>0</v>
      </c>
      <c r="C573">
        <v>152.58</v>
      </c>
      <c r="D573">
        <v>99</v>
      </c>
      <c r="E573">
        <v>1.541212121212121</v>
      </c>
      <c r="F573">
        <v>0.01651592607156901</v>
      </c>
      <c r="G573">
        <v>-0.08287714401335944</v>
      </c>
      <c r="H573">
        <v>0.09</v>
      </c>
      <c r="I573">
        <v>0.01978472253862829</v>
      </c>
      <c r="J573" t="s">
        <v>513</v>
      </c>
      <c r="K573" t="s">
        <v>778</v>
      </c>
      <c r="L573">
        <v>4.21</v>
      </c>
      <c r="M573">
        <v>2.52</v>
      </c>
      <c r="N573">
        <v>0.5985748218527316</v>
      </c>
      <c r="O573">
        <v>8</v>
      </c>
      <c r="P573">
        <v>0.07984205343909734</v>
      </c>
      <c r="Q573">
        <v>0.538041295746281</v>
      </c>
      <c r="R573" t="s">
        <v>782</v>
      </c>
      <c r="S573" t="s">
        <v>794</v>
      </c>
      <c r="T573">
        <v>111564.4443</v>
      </c>
      <c r="U573" s="2">
        <v>44486</v>
      </c>
      <c r="V573" t="s">
        <v>795</v>
      </c>
    </row>
    <row r="574" spans="1:22">
      <c r="A574" s="1" t="s">
        <v>594</v>
      </c>
      <c r="B574">
        <f>HYPERLINK("https://www.suredividend.com/sure-analysis-SKT/","Tanger Factory Outlet Centers, Inc.")</f>
        <v>0</v>
      </c>
      <c r="C574">
        <v>21.45</v>
      </c>
      <c r="D574">
        <v>18</v>
      </c>
      <c r="E574">
        <v>1.191666666666667</v>
      </c>
      <c r="F574">
        <v>0.03403263403263403</v>
      </c>
      <c r="G574">
        <v>-0.03446273134955202</v>
      </c>
      <c r="H574">
        <v>0.015</v>
      </c>
      <c r="I574">
        <v>0.01546093687467542</v>
      </c>
      <c r="J574" t="s">
        <v>513</v>
      </c>
      <c r="K574" t="s">
        <v>372</v>
      </c>
      <c r="L574">
        <v>1.69</v>
      </c>
      <c r="M574">
        <v>0.73</v>
      </c>
      <c r="N574">
        <v>0.4319526627218935</v>
      </c>
      <c r="O574">
        <v>1</v>
      </c>
      <c r="P574">
        <v>0.01072631497080168</v>
      </c>
      <c r="Q574">
        <v>1.444817466570746</v>
      </c>
      <c r="R574" t="s">
        <v>782</v>
      </c>
      <c r="S574" t="s">
        <v>794</v>
      </c>
      <c r="T574">
        <v>2226.308873</v>
      </c>
      <c r="U574" s="2">
        <v>44511</v>
      </c>
      <c r="V574" t="s">
        <v>801</v>
      </c>
    </row>
    <row r="575" spans="1:22">
      <c r="A575" s="1" t="s">
        <v>595</v>
      </c>
      <c r="B575">
        <f>HYPERLINK("https://www.suredividend.com/sure-analysis-CNQ/","Canadian Natural Resources Ltd.")</f>
        <v>0</v>
      </c>
      <c r="C575">
        <v>42.39</v>
      </c>
      <c r="D575">
        <v>50</v>
      </c>
      <c r="E575">
        <v>0.8478</v>
      </c>
      <c r="F575">
        <v>0.04458598726114649</v>
      </c>
      <c r="G575">
        <v>0.03357338510806351</v>
      </c>
      <c r="H575">
        <v>-0.07000000000000001</v>
      </c>
      <c r="I575">
        <v>0.01057751666462003</v>
      </c>
      <c r="J575" t="s">
        <v>513</v>
      </c>
      <c r="K575" t="s">
        <v>372</v>
      </c>
      <c r="L575">
        <v>4.2</v>
      </c>
      <c r="M575">
        <v>1.89</v>
      </c>
      <c r="N575">
        <v>0.45</v>
      </c>
      <c r="O575">
        <v>5</v>
      </c>
      <c r="P575">
        <v>0.01539184863075338</v>
      </c>
      <c r="Q575">
        <v>0.9654300494132181</v>
      </c>
      <c r="R575" t="s">
        <v>780</v>
      </c>
      <c r="S575" t="s">
        <v>793</v>
      </c>
      <c r="T575">
        <v>47944.035446</v>
      </c>
      <c r="U575" s="2">
        <v>44522</v>
      </c>
      <c r="V575" t="s">
        <v>803</v>
      </c>
    </row>
    <row r="576" spans="1:22">
      <c r="A576" s="1" t="s">
        <v>596</v>
      </c>
      <c r="B576">
        <f>HYPERLINK("https://www.suredividend.com/sure-analysis-ARE/","Alexandria Real Estate Equities Inc.")</f>
        <v>0</v>
      </c>
      <c r="C576">
        <v>206.45</v>
      </c>
      <c r="D576">
        <v>140</v>
      </c>
      <c r="E576">
        <v>1.474642857142857</v>
      </c>
      <c r="F576">
        <v>0.02170016953257448</v>
      </c>
      <c r="G576">
        <v>-0.07474246679542618</v>
      </c>
      <c r="H576">
        <v>0.06</v>
      </c>
      <c r="I576">
        <v>0.007335731947149204</v>
      </c>
      <c r="J576" t="s">
        <v>513</v>
      </c>
      <c r="K576" t="s">
        <v>513</v>
      </c>
      <c r="L576">
        <v>7.75</v>
      </c>
      <c r="M576">
        <v>4.48</v>
      </c>
      <c r="N576">
        <v>0.5780645161290323</v>
      </c>
      <c r="O576">
        <v>11</v>
      </c>
      <c r="P576">
        <v>0.06016789231717423</v>
      </c>
      <c r="Q576">
        <v>0.272189792508111</v>
      </c>
      <c r="R576" t="s">
        <v>782</v>
      </c>
      <c r="S576" t="s">
        <v>794</v>
      </c>
      <c r="T576">
        <v>31570.886414</v>
      </c>
      <c r="U576" s="2">
        <v>44496</v>
      </c>
      <c r="V576" t="s">
        <v>799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25</v>
      </c>
      <c r="D577">
        <v>20</v>
      </c>
      <c r="E577">
        <v>1.25</v>
      </c>
      <c r="F577">
        <v>0.0384</v>
      </c>
      <c r="G577">
        <v>-0.043647500209963</v>
      </c>
      <c r="H577">
        <v>0.006</v>
      </c>
      <c r="I577">
        <v>0.006922544943517295</v>
      </c>
      <c r="J577" t="s">
        <v>513</v>
      </c>
      <c r="K577" t="s">
        <v>372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0.5628516416193641</v>
      </c>
      <c r="R577" t="s">
        <v>782</v>
      </c>
      <c r="S577" t="s">
        <v>794</v>
      </c>
      <c r="T577">
        <v>7424.711125</v>
      </c>
      <c r="U577" s="2">
        <v>44516</v>
      </c>
      <c r="V577" t="s">
        <v>804</v>
      </c>
    </row>
    <row r="578" spans="1:22">
      <c r="A578" s="1" t="s">
        <v>598</v>
      </c>
      <c r="B578">
        <f>HYPERLINK("https://www.suredividend.com/sure-analysis-DRE/","Duke Realty Corp")</f>
        <v>0</v>
      </c>
      <c r="C578">
        <v>59.13</v>
      </c>
      <c r="D578">
        <v>38</v>
      </c>
      <c r="E578">
        <v>1.556052631578947</v>
      </c>
      <c r="F578">
        <v>0.01894131574496872</v>
      </c>
      <c r="G578">
        <v>-0.0846332277383165</v>
      </c>
      <c r="H578">
        <v>0.07000000000000001</v>
      </c>
      <c r="I578">
        <v>0.002900850262668397</v>
      </c>
      <c r="J578" t="s">
        <v>513</v>
      </c>
      <c r="K578" t="s">
        <v>778</v>
      </c>
      <c r="L578">
        <v>1.72</v>
      </c>
      <c r="M578">
        <v>1.12</v>
      </c>
      <c r="N578">
        <v>0.6511627906976745</v>
      </c>
      <c r="O578">
        <v>7</v>
      </c>
      <c r="P578">
        <v>0.06016789231717423</v>
      </c>
      <c r="Q578">
        <v>0.563688996972131</v>
      </c>
      <c r="R578" t="s">
        <v>782</v>
      </c>
      <c r="S578" t="s">
        <v>794</v>
      </c>
      <c r="T578">
        <v>22382.572131</v>
      </c>
      <c r="U578" s="2">
        <v>44499</v>
      </c>
      <c r="V578" t="s">
        <v>797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31.18</v>
      </c>
      <c r="D579">
        <v>20</v>
      </c>
      <c r="E579">
        <v>1.559</v>
      </c>
      <c r="F579">
        <v>0.01603592046183451</v>
      </c>
      <c r="G579">
        <v>-0.08497959921486464</v>
      </c>
      <c r="H579">
        <v>0.07000000000000001</v>
      </c>
      <c r="I579">
        <v>-0.0003583740556105663</v>
      </c>
      <c r="J579" t="s">
        <v>513</v>
      </c>
      <c r="K579" t="s">
        <v>778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0.51702275534133</v>
      </c>
      <c r="R579" t="s">
        <v>780</v>
      </c>
      <c r="S579" t="s">
        <v>793</v>
      </c>
      <c r="T579">
        <v>42555.872659</v>
      </c>
      <c r="U579" s="2">
        <v>44493</v>
      </c>
      <c r="V579" t="s">
        <v>803</v>
      </c>
    </row>
    <row r="580" spans="1:22">
      <c r="A580" s="1" t="s">
        <v>600</v>
      </c>
      <c r="B580">
        <f>HYPERLINK("https://www.suredividend.com/sure-analysis-MAC/","Macerich Co.")</f>
        <v>0</v>
      </c>
      <c r="C580">
        <v>21.37</v>
      </c>
      <c r="D580">
        <v>15</v>
      </c>
      <c r="E580">
        <v>1.424666666666667</v>
      </c>
      <c r="F580">
        <v>0.02807674309780065</v>
      </c>
      <c r="G580">
        <v>-0.06834021980098171</v>
      </c>
      <c r="H580">
        <v>0.03</v>
      </c>
      <c r="I580">
        <v>-0.001724942343315994</v>
      </c>
      <c r="J580" t="s">
        <v>513</v>
      </c>
      <c r="K580" t="s">
        <v>513</v>
      </c>
      <c r="L580">
        <v>1.93</v>
      </c>
      <c r="M580">
        <v>0.6</v>
      </c>
      <c r="N580">
        <v>0.310880829015544</v>
      </c>
      <c r="O580">
        <v>0</v>
      </c>
      <c r="P580">
        <v>0.0796084730466029</v>
      </c>
      <c r="Q580">
        <v>1.34789910467944</v>
      </c>
      <c r="R580" t="s">
        <v>782</v>
      </c>
      <c r="S580" t="s">
        <v>794</v>
      </c>
      <c r="T580">
        <v>4586.70082</v>
      </c>
      <c r="U580" s="2">
        <v>44509</v>
      </c>
      <c r="V580" t="s">
        <v>803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84.09999999999999</v>
      </c>
      <c r="D581">
        <v>53</v>
      </c>
      <c r="E581">
        <v>1.586792452830189</v>
      </c>
      <c r="F581">
        <v>0.01724137931034483</v>
      </c>
      <c r="G581">
        <v>-0.08820758567264386</v>
      </c>
      <c r="H581">
        <v>0.07000000000000001</v>
      </c>
      <c r="I581">
        <v>-0.002036019568896763</v>
      </c>
      <c r="J581" t="s">
        <v>513</v>
      </c>
      <c r="K581" t="s">
        <v>778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0.414123635969781</v>
      </c>
      <c r="R581" t="s">
        <v>782</v>
      </c>
      <c r="S581" t="s">
        <v>794</v>
      </c>
      <c r="T581">
        <v>15360.510253</v>
      </c>
      <c r="U581" s="2">
        <v>44493</v>
      </c>
      <c r="V581" t="s">
        <v>797</v>
      </c>
    </row>
    <row r="582" spans="1:22">
      <c r="A582" s="1" t="s">
        <v>602</v>
      </c>
      <c r="B582">
        <f>HYPERLINK("https://www.suredividend.com/sure-analysis-JCI/","Johnson Controls International plc")</f>
        <v>0</v>
      </c>
      <c r="C582">
        <v>79.2</v>
      </c>
      <c r="D582">
        <v>52</v>
      </c>
      <c r="E582">
        <v>1.523076923076923</v>
      </c>
      <c r="F582">
        <v>0.01363636363636364</v>
      </c>
      <c r="G582">
        <v>-0.080703445470522</v>
      </c>
      <c r="H582">
        <v>0.06</v>
      </c>
      <c r="I582">
        <v>-0.008073260664068549</v>
      </c>
      <c r="J582" t="s">
        <v>513</v>
      </c>
      <c r="K582" t="s">
        <v>778</v>
      </c>
      <c r="L582">
        <v>3.27</v>
      </c>
      <c r="M582">
        <v>1.08</v>
      </c>
      <c r="N582">
        <v>0.3302752293577982</v>
      </c>
      <c r="O582">
        <v>1</v>
      </c>
      <c r="P582">
        <v>0.06069091570555463</v>
      </c>
      <c r="Q582">
        <v>0.7901893577569251</v>
      </c>
      <c r="R582" t="s">
        <v>780</v>
      </c>
      <c r="S582" t="s">
        <v>787</v>
      </c>
      <c r="T582">
        <v>56100.075262</v>
      </c>
      <c r="U582" s="2">
        <v>44511</v>
      </c>
      <c r="V582" t="s">
        <v>799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123.88</v>
      </c>
      <c r="D583">
        <v>72</v>
      </c>
      <c r="E583">
        <v>1.720555555555555</v>
      </c>
      <c r="F583">
        <v>0.006457862447529868</v>
      </c>
      <c r="G583">
        <v>-0.1028475242163552</v>
      </c>
      <c r="H583">
        <v>0.09</v>
      </c>
      <c r="I583">
        <v>-0.01306342843515773</v>
      </c>
      <c r="J583" t="s">
        <v>513</v>
      </c>
      <c r="K583" t="s">
        <v>778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0.536158573738676</v>
      </c>
      <c r="R583" t="s">
        <v>780</v>
      </c>
      <c r="S583" t="s">
        <v>787</v>
      </c>
      <c r="T583">
        <v>6529.571952</v>
      </c>
      <c r="U583" s="2">
        <v>44501</v>
      </c>
      <c r="V583" t="s">
        <v>801</v>
      </c>
    </row>
    <row r="584" spans="1:22">
      <c r="A584" s="1" t="s">
        <v>604</v>
      </c>
      <c r="B584">
        <f>HYPERLINK("https://www.suredividend.com/sure-analysis-COR/","CoreSite Realty Corporation")</f>
        <v>0</v>
      </c>
      <c r="C584">
        <v>170.8</v>
      </c>
      <c r="D584">
        <v>106</v>
      </c>
      <c r="E584">
        <v>1.611320754716981</v>
      </c>
      <c r="F584">
        <v>0.0297423887587822</v>
      </c>
      <c r="G584">
        <v>-0.09100059325304088</v>
      </c>
      <c r="H584">
        <v>0.046</v>
      </c>
      <c r="I584">
        <v>-0.01375101727159977</v>
      </c>
      <c r="J584" t="s">
        <v>513</v>
      </c>
      <c r="K584" t="s">
        <v>513</v>
      </c>
      <c r="L584">
        <v>5.58</v>
      </c>
      <c r="M584">
        <v>5.08</v>
      </c>
      <c r="N584">
        <v>0.910394265232975</v>
      </c>
      <c r="O584">
        <v>10</v>
      </c>
      <c r="P584">
        <v>0.01601424134469998</v>
      </c>
      <c r="Q584">
        <v>0.394315027364033</v>
      </c>
      <c r="R584" t="s">
        <v>782</v>
      </c>
      <c r="S584" t="s">
        <v>794</v>
      </c>
      <c r="T584">
        <v>7563.555995</v>
      </c>
      <c r="U584" s="2">
        <v>44503</v>
      </c>
      <c r="V584" t="s">
        <v>805</v>
      </c>
    </row>
    <row r="585" spans="1:22">
      <c r="A585" s="1" t="s">
        <v>605</v>
      </c>
      <c r="B585">
        <f>HYPERLINK("https://www.suredividend.com/sure-analysis-TRSWF/","TransAlta Renewables, Inc.")</f>
        <v>0</v>
      </c>
      <c r="C585">
        <v>14.8</v>
      </c>
      <c r="D585">
        <v>9</v>
      </c>
      <c r="E585">
        <v>1.644444444444445</v>
      </c>
      <c r="F585">
        <v>0.05135135135135135</v>
      </c>
      <c r="G585">
        <v>-0.09469241553324026</v>
      </c>
      <c r="H585">
        <v>0.02</v>
      </c>
      <c r="I585">
        <v>-0.01394403579907566</v>
      </c>
      <c r="J585" t="s">
        <v>513</v>
      </c>
      <c r="K585" t="s">
        <v>777</v>
      </c>
      <c r="L585">
        <v>0.8</v>
      </c>
      <c r="M585">
        <v>0.76</v>
      </c>
      <c r="N585">
        <v>0.95</v>
      </c>
      <c r="O585">
        <v>0</v>
      </c>
      <c r="P585">
        <v>0.005208615197356048</v>
      </c>
      <c r="Q585">
        <v>0.138540034368163</v>
      </c>
      <c r="R585" t="s">
        <v>780</v>
      </c>
      <c r="S585" t="s">
        <v>792</v>
      </c>
      <c r="T585">
        <v>4013.630665</v>
      </c>
      <c r="U585" s="2">
        <v>44515</v>
      </c>
      <c r="V585" t="s">
        <v>801</v>
      </c>
    </row>
    <row r="586" spans="1:22">
      <c r="A586" s="1" t="s">
        <v>606</v>
      </c>
      <c r="B586">
        <f>HYPERLINK("https://www.suredividend.com/sure-analysis-FR/","First Industrial Realty Trust, Inc.")</f>
        <v>0</v>
      </c>
      <c r="C586">
        <v>61.22</v>
      </c>
      <c r="D586">
        <v>36</v>
      </c>
      <c r="E586">
        <v>1.700555555555556</v>
      </c>
      <c r="F586">
        <v>0.01764129369487096</v>
      </c>
      <c r="G586">
        <v>-0.1007471247386937</v>
      </c>
      <c r="H586">
        <v>0.07000000000000001</v>
      </c>
      <c r="I586">
        <v>-0.01432718404461786</v>
      </c>
      <c r="J586" t="s">
        <v>513</v>
      </c>
      <c r="K586" t="s">
        <v>778</v>
      </c>
      <c r="L586">
        <v>1.95</v>
      </c>
      <c r="M586">
        <v>1.08</v>
      </c>
      <c r="N586">
        <v>0.5538461538461539</v>
      </c>
      <c r="O586">
        <v>9</v>
      </c>
      <c r="P586">
        <v>0.06069091570555463</v>
      </c>
      <c r="Q586">
        <v>0.487627123611531</v>
      </c>
      <c r="R586" t="s">
        <v>782</v>
      </c>
      <c r="S586" t="s">
        <v>794</v>
      </c>
      <c r="T586">
        <v>7865.396254</v>
      </c>
      <c r="U586" s="2">
        <v>44492</v>
      </c>
      <c r="V586" t="s">
        <v>797</v>
      </c>
    </row>
    <row r="587" spans="1:22">
      <c r="A587" s="1" t="s">
        <v>607</v>
      </c>
      <c r="B587">
        <f>HYPERLINK("https://www.suredividend.com/sure-analysis-EXC/","Exelon Corp.")</f>
        <v>0</v>
      </c>
      <c r="C587">
        <v>54.38</v>
      </c>
      <c r="D587">
        <v>38</v>
      </c>
      <c r="E587">
        <v>1.431052631578947</v>
      </c>
      <c r="F587">
        <v>0.02813534387642515</v>
      </c>
      <c r="G587">
        <v>-0.06917320033854801</v>
      </c>
      <c r="H587">
        <v>0.02</v>
      </c>
      <c r="I587">
        <v>-0.0163450557039273</v>
      </c>
      <c r="J587" t="s">
        <v>513</v>
      </c>
      <c r="K587" t="s">
        <v>513</v>
      </c>
      <c r="L587">
        <v>2.8</v>
      </c>
      <c r="M587">
        <v>1.53</v>
      </c>
      <c r="N587">
        <v>0.5464285714285715</v>
      </c>
      <c r="O587">
        <v>5</v>
      </c>
      <c r="P587">
        <v>0.02009132612636422</v>
      </c>
      <c r="Q587">
        <v>0.332737273421079</v>
      </c>
      <c r="R587" t="s">
        <v>780</v>
      </c>
      <c r="S587" t="s">
        <v>792</v>
      </c>
      <c r="T587">
        <v>52763.850334</v>
      </c>
      <c r="U587" s="2">
        <v>44504</v>
      </c>
      <c r="V587" t="s">
        <v>796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9.130000000000001</v>
      </c>
      <c r="D588">
        <v>4.25</v>
      </c>
      <c r="E588">
        <v>2.148235294117647</v>
      </c>
      <c r="F588">
        <v>0.03723986856516977</v>
      </c>
      <c r="G588">
        <v>-0.1418096426032732</v>
      </c>
      <c r="H588">
        <v>0.08</v>
      </c>
      <c r="I588">
        <v>-0.01652808182898491</v>
      </c>
      <c r="J588" t="s">
        <v>513</v>
      </c>
      <c r="K588" t="s">
        <v>372</v>
      </c>
      <c r="L588">
        <v>0.85</v>
      </c>
      <c r="M588">
        <v>0.34</v>
      </c>
      <c r="N588">
        <v>0.4</v>
      </c>
      <c r="O588">
        <v>0</v>
      </c>
      <c r="P588">
        <v>0.0801851873035635</v>
      </c>
      <c r="Q588">
        <v>0.777777777777778</v>
      </c>
      <c r="R588" t="s">
        <v>780</v>
      </c>
      <c r="S588" t="s">
        <v>793</v>
      </c>
      <c r="T588">
        <v>100375.694696</v>
      </c>
      <c r="U588" s="2">
        <v>44442</v>
      </c>
      <c r="V588" t="s">
        <v>803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65.23999999999999</v>
      </c>
      <c r="D589">
        <v>53</v>
      </c>
      <c r="E589">
        <v>1.230943396226415</v>
      </c>
      <c r="F589">
        <v>0.01839362354383814</v>
      </c>
      <c r="G589">
        <v>-0.04070455252184724</v>
      </c>
      <c r="H589">
        <v>0</v>
      </c>
      <c r="I589">
        <v>-0.01990626778063231</v>
      </c>
      <c r="J589" t="s">
        <v>513</v>
      </c>
      <c r="K589" t="s">
        <v>513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0.9865971159046941</v>
      </c>
      <c r="R589" t="s">
        <v>780</v>
      </c>
      <c r="S589" t="s">
        <v>788</v>
      </c>
      <c r="T589">
        <v>13943.048354</v>
      </c>
      <c r="U589" s="2">
        <v>44427</v>
      </c>
      <c r="V589" t="s">
        <v>798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55.57</v>
      </c>
      <c r="D590">
        <v>36</v>
      </c>
      <c r="E590">
        <v>1.543611111111111</v>
      </c>
      <c r="F590">
        <v>0.0251934497030772</v>
      </c>
      <c r="G590">
        <v>-0.08316238910880269</v>
      </c>
      <c r="H590">
        <v>0.03</v>
      </c>
      <c r="I590">
        <v>-0.02356767682722871</v>
      </c>
      <c r="J590" t="s">
        <v>513</v>
      </c>
      <c r="K590" t="s">
        <v>513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1.356377458300308</v>
      </c>
      <c r="R590" t="s">
        <v>780</v>
      </c>
      <c r="S590" t="s">
        <v>793</v>
      </c>
      <c r="T590">
        <v>12320.968791</v>
      </c>
      <c r="U590" s="2">
        <v>44515</v>
      </c>
      <c r="V590" t="s">
        <v>803</v>
      </c>
    </row>
    <row r="591" spans="1:22">
      <c r="A591" s="1" t="s">
        <v>611</v>
      </c>
      <c r="B591">
        <f>HYPERLINK("https://www.suredividend.com/sure-analysis-WPM/","Wheaton Precious Metals Corp")</f>
        <v>0</v>
      </c>
      <c r="C591">
        <v>42.33</v>
      </c>
      <c r="D591">
        <v>42</v>
      </c>
      <c r="E591">
        <v>1.007857142857143</v>
      </c>
      <c r="F591">
        <v>0.01417434443656981</v>
      </c>
      <c r="G591">
        <v>-0.001564062826746704</v>
      </c>
      <c r="H591">
        <v>-0.04</v>
      </c>
      <c r="I591">
        <v>-0.02433906541642872</v>
      </c>
      <c r="J591" t="s">
        <v>513</v>
      </c>
      <c r="K591" t="s">
        <v>778</v>
      </c>
      <c r="L591">
        <v>1.5</v>
      </c>
      <c r="M591">
        <v>0.6</v>
      </c>
      <c r="N591">
        <v>0.4</v>
      </c>
      <c r="O591">
        <v>2</v>
      </c>
      <c r="P591">
        <v>0.01924487649145656</v>
      </c>
      <c r="Q591">
        <v>0.060462872724766</v>
      </c>
      <c r="R591" t="s">
        <v>780</v>
      </c>
      <c r="S591" t="s">
        <v>788</v>
      </c>
      <c r="T591">
        <v>19412.360074</v>
      </c>
      <c r="U591" s="2">
        <v>44428</v>
      </c>
      <c r="V591" t="s">
        <v>798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40.58</v>
      </c>
      <c r="D592">
        <v>29</v>
      </c>
      <c r="E592">
        <v>1.399310344827586</v>
      </c>
      <c r="F592">
        <v>0.009857072449482505</v>
      </c>
      <c r="G592">
        <v>-0.06498798628433677</v>
      </c>
      <c r="H592">
        <v>0.03</v>
      </c>
      <c r="I592">
        <v>-0.02574238382583893</v>
      </c>
      <c r="J592" t="s">
        <v>513</v>
      </c>
      <c r="K592" t="s">
        <v>778</v>
      </c>
      <c r="L592">
        <v>1.36</v>
      </c>
      <c r="M592">
        <v>0.4</v>
      </c>
      <c r="N592">
        <v>0.2941176470588235</v>
      </c>
      <c r="O592">
        <v>1</v>
      </c>
      <c r="P592">
        <v>0</v>
      </c>
      <c r="Q592">
        <v>0.4043674166984471</v>
      </c>
      <c r="R592" t="s">
        <v>782</v>
      </c>
      <c r="S592" t="s">
        <v>794</v>
      </c>
      <c r="T592">
        <v>13273.657392</v>
      </c>
      <c r="U592" s="2">
        <v>44506</v>
      </c>
      <c r="V592" t="s">
        <v>796</v>
      </c>
    </row>
    <row r="593" spans="1:22">
      <c r="A593" s="1" t="s">
        <v>613</v>
      </c>
      <c r="B593">
        <f>HYPERLINK("https://www.suredividend.com/sure-analysis-MAA/","Mid-America Apartment Communities, Inc.")</f>
        <v>0</v>
      </c>
      <c r="C593">
        <v>207.12</v>
      </c>
      <c r="D593">
        <v>118</v>
      </c>
      <c r="E593">
        <v>1.755254237288136</v>
      </c>
      <c r="F593">
        <v>0.0197952877558903</v>
      </c>
      <c r="G593">
        <v>-0.1064229750259857</v>
      </c>
      <c r="H593">
        <v>0.06</v>
      </c>
      <c r="I593">
        <v>-0.025948991391056</v>
      </c>
      <c r="J593" t="s">
        <v>513</v>
      </c>
      <c r="K593" t="s">
        <v>778</v>
      </c>
      <c r="L593">
        <v>6.98</v>
      </c>
      <c r="M593">
        <v>4.1</v>
      </c>
      <c r="N593">
        <v>0.5873925501432664</v>
      </c>
      <c r="O593">
        <v>10</v>
      </c>
      <c r="P593">
        <v>0.04868220215701768</v>
      </c>
      <c r="Q593">
        <v>0.6454833393795151</v>
      </c>
      <c r="R593" t="s">
        <v>782</v>
      </c>
      <c r="S593" t="s">
        <v>794</v>
      </c>
      <c r="T593">
        <v>23292.482743</v>
      </c>
      <c r="U593" s="2">
        <v>44509</v>
      </c>
      <c r="V593" t="s">
        <v>803</v>
      </c>
    </row>
    <row r="594" spans="1:22">
      <c r="A594" s="1" t="s">
        <v>614</v>
      </c>
      <c r="B594">
        <f>HYPERLINK("https://www.suredividend.com/sure-analysis-ACN/","Accenture plc")</f>
        <v>0</v>
      </c>
      <c r="C594">
        <v>360.7</v>
      </c>
      <c r="D594">
        <v>201</v>
      </c>
      <c r="E594">
        <v>1.794527363184079</v>
      </c>
      <c r="F594">
        <v>0.01075686165788744</v>
      </c>
      <c r="G594">
        <v>-0.1103688460933074</v>
      </c>
      <c r="H594">
        <v>0.075</v>
      </c>
      <c r="I594">
        <v>-0.02788176242574758</v>
      </c>
      <c r="J594" t="s">
        <v>513</v>
      </c>
      <c r="K594" t="s">
        <v>778</v>
      </c>
      <c r="L594">
        <v>10.04</v>
      </c>
      <c r="M594">
        <v>3.88</v>
      </c>
      <c r="N594">
        <v>0.3864541832669323</v>
      </c>
      <c r="O594">
        <v>11</v>
      </c>
      <c r="P594">
        <v>0.07996237680867235</v>
      </c>
      <c r="Q594">
        <v>0.510805817163802</v>
      </c>
      <c r="R594" t="s">
        <v>780</v>
      </c>
      <c r="S594" t="s">
        <v>786</v>
      </c>
      <c r="T594">
        <v>238593.455264</v>
      </c>
      <c r="U594" s="2">
        <v>44476</v>
      </c>
      <c r="V594" t="s">
        <v>800</v>
      </c>
    </row>
    <row r="595" spans="1:22">
      <c r="A595" s="1" t="s">
        <v>615</v>
      </c>
      <c r="B595">
        <f>HYPERLINK("https://www.suredividend.com/sure-analysis-CMP/","Compass Minerals International Inc")</f>
        <v>0</v>
      </c>
      <c r="C595">
        <v>52.86</v>
      </c>
      <c r="D595">
        <v>33</v>
      </c>
      <c r="E595">
        <v>1.601818181818182</v>
      </c>
      <c r="F595">
        <v>0.01135073779795687</v>
      </c>
      <c r="G595">
        <v>-0.08992463984408749</v>
      </c>
      <c r="H595">
        <v>0.05</v>
      </c>
      <c r="I595">
        <v>-0.03117982888935211</v>
      </c>
      <c r="J595" t="s">
        <v>513</v>
      </c>
      <c r="K595" t="s">
        <v>778</v>
      </c>
      <c r="L595">
        <v>1.45</v>
      </c>
      <c r="M595">
        <v>0.6</v>
      </c>
      <c r="N595">
        <v>0.4137931034482759</v>
      </c>
      <c r="O595">
        <v>0</v>
      </c>
      <c r="P595">
        <v>0</v>
      </c>
      <c r="Q595">
        <v>-0.108616256324235</v>
      </c>
      <c r="R595" t="s">
        <v>780</v>
      </c>
      <c r="S595" t="s">
        <v>788</v>
      </c>
      <c r="T595">
        <v>1785.330916</v>
      </c>
      <c r="U595" s="2">
        <v>44520</v>
      </c>
      <c r="V595" t="s">
        <v>795</v>
      </c>
    </row>
    <row r="596" spans="1:22">
      <c r="A596" s="1" t="s">
        <v>616</v>
      </c>
      <c r="B596">
        <f>HYPERLINK("https://www.suredividend.com/sure-analysis-CWEN/","Clearway Energy Inc")</f>
        <v>0</v>
      </c>
      <c r="C596">
        <v>39.18</v>
      </c>
      <c r="D596">
        <v>22</v>
      </c>
      <c r="E596">
        <v>1.780909090909091</v>
      </c>
      <c r="F596">
        <v>0.03471158754466565</v>
      </c>
      <c r="G596">
        <v>-0.1090124207388019</v>
      </c>
      <c r="H596">
        <v>0.03</v>
      </c>
      <c r="I596">
        <v>-0.0313796009527828</v>
      </c>
      <c r="J596" t="s">
        <v>513</v>
      </c>
      <c r="K596" t="s">
        <v>372</v>
      </c>
      <c r="L596">
        <v>2.8</v>
      </c>
      <c r="M596">
        <v>1.36</v>
      </c>
      <c r="N596">
        <v>0.4857142857142858</v>
      </c>
      <c r="O596">
        <v>2</v>
      </c>
      <c r="P596">
        <v>0.0505145404837426</v>
      </c>
      <c r="Q596">
        <v>0.3947845009627841</v>
      </c>
      <c r="R596" t="s">
        <v>780</v>
      </c>
      <c r="S596" t="s">
        <v>792</v>
      </c>
      <c r="T596">
        <v>4426.240072</v>
      </c>
      <c r="U596" s="2">
        <v>44515</v>
      </c>
      <c r="V596" t="s">
        <v>801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227.94</v>
      </c>
      <c r="D597">
        <v>133</v>
      </c>
      <c r="E597">
        <v>1.713834586466165</v>
      </c>
      <c r="F597">
        <v>0.01579362990260595</v>
      </c>
      <c r="G597">
        <v>-0.1021449712599947</v>
      </c>
      <c r="H597">
        <v>0.054</v>
      </c>
      <c r="I597">
        <v>-0.03241951068938631</v>
      </c>
      <c r="J597" t="s">
        <v>513</v>
      </c>
      <c r="K597" t="s">
        <v>778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0.382554653834396</v>
      </c>
      <c r="R597" t="s">
        <v>780</v>
      </c>
      <c r="S597" t="s">
        <v>790</v>
      </c>
      <c r="T597">
        <v>80623.342592</v>
      </c>
      <c r="U597" s="2">
        <v>44503</v>
      </c>
      <c r="V597" t="s">
        <v>805</v>
      </c>
    </row>
    <row r="598" spans="1:22">
      <c r="A598" s="1" t="s">
        <v>618</v>
      </c>
      <c r="B598">
        <f>HYPERLINK("https://www.suredividend.com/sure-analysis-CPT/","Camden Property Trust")</f>
        <v>0</v>
      </c>
      <c r="C598">
        <v>167.58</v>
      </c>
      <c r="D598">
        <v>97</v>
      </c>
      <c r="E598">
        <v>1.727628865979381</v>
      </c>
      <c r="F598">
        <v>0.01981143334526793</v>
      </c>
      <c r="G598">
        <v>-0.1035833600449536</v>
      </c>
      <c r="H598">
        <v>0.04</v>
      </c>
      <c r="I598">
        <v>-0.03988946263047377</v>
      </c>
      <c r="J598" t="s">
        <v>513</v>
      </c>
      <c r="K598" t="s">
        <v>778</v>
      </c>
      <c r="L598">
        <v>5.37</v>
      </c>
      <c r="M598">
        <v>3.32</v>
      </c>
      <c r="N598">
        <v>0.6182495344506517</v>
      </c>
      <c r="O598">
        <v>10</v>
      </c>
      <c r="P598">
        <v>0.04003668004870131</v>
      </c>
      <c r="Q598">
        <v>0.716987417835339</v>
      </c>
      <c r="R598" t="s">
        <v>782</v>
      </c>
      <c r="S598" t="s">
        <v>794</v>
      </c>
      <c r="T598">
        <v>17012.781701</v>
      </c>
      <c r="U598" s="2">
        <v>44505</v>
      </c>
      <c r="V598" t="s">
        <v>799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172.57</v>
      </c>
      <c r="D599">
        <v>100</v>
      </c>
      <c r="E599">
        <v>1.7257</v>
      </c>
      <c r="F599">
        <v>0.0176160398678797</v>
      </c>
      <c r="G599">
        <v>-0.1033830592943953</v>
      </c>
      <c r="H599">
        <v>0.04</v>
      </c>
      <c r="I599">
        <v>-0.04334129882322157</v>
      </c>
      <c r="J599" t="s">
        <v>513</v>
      </c>
      <c r="K599" t="s">
        <v>778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0.496917038897952</v>
      </c>
      <c r="R599" t="s">
        <v>780</v>
      </c>
      <c r="S599" t="s">
        <v>787</v>
      </c>
      <c r="T599">
        <v>68686.75199999999</v>
      </c>
      <c r="U599" s="2">
        <v>44502</v>
      </c>
      <c r="V599" t="s">
        <v>796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24.18</v>
      </c>
      <c r="D600">
        <v>12.6</v>
      </c>
      <c r="E600">
        <v>1.919047619047619</v>
      </c>
      <c r="F600">
        <v>0.02812241521918941</v>
      </c>
      <c r="G600">
        <v>-0.1222257231288557</v>
      </c>
      <c r="H600">
        <v>0.035</v>
      </c>
      <c r="I600">
        <v>-0.04707122547583298</v>
      </c>
      <c r="J600" t="s">
        <v>513</v>
      </c>
      <c r="K600" t="s">
        <v>513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0.6720925400013851</v>
      </c>
      <c r="R600" t="s">
        <v>782</v>
      </c>
      <c r="S600" t="s">
        <v>794</v>
      </c>
      <c r="T600">
        <v>14880.57332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39.37</v>
      </c>
      <c r="D601">
        <v>20</v>
      </c>
      <c r="E601">
        <v>1.9685</v>
      </c>
      <c r="F601">
        <v>0.01524003048006096</v>
      </c>
      <c r="G601">
        <v>-0.1266809851857189</v>
      </c>
      <c r="H601">
        <v>0.05</v>
      </c>
      <c r="I601">
        <v>-0.06240783435496777</v>
      </c>
      <c r="J601" t="s">
        <v>513</v>
      </c>
      <c r="K601" t="s">
        <v>778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0.644522075345311</v>
      </c>
      <c r="R601" t="s">
        <v>780</v>
      </c>
      <c r="S601" t="s">
        <v>784</v>
      </c>
      <c r="T601">
        <v>1270.519786</v>
      </c>
      <c r="U601" s="2">
        <v>44491</v>
      </c>
      <c r="V601" t="s">
        <v>800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4.56</v>
      </c>
      <c r="D602">
        <v>6.3</v>
      </c>
      <c r="E602">
        <v>0.7238095238095239</v>
      </c>
      <c r="F602">
        <v>0.1052631578947368</v>
      </c>
      <c r="G602">
        <v>0.06678067898520257</v>
      </c>
      <c r="H602">
        <v>0.02</v>
      </c>
      <c r="I602">
        <v>0.1545755942961877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0.212324872046735</v>
      </c>
      <c r="R602" t="s">
        <v>780</v>
      </c>
      <c r="S602" t="s">
        <v>784</v>
      </c>
      <c r="T602">
        <v>26442.470948</v>
      </c>
      <c r="U602" s="2">
        <v>44434</v>
      </c>
      <c r="V602" t="s">
        <v>800</v>
      </c>
    </row>
    <row r="603" spans="1:22">
      <c r="A603" s="1" t="s">
        <v>623</v>
      </c>
      <c r="B603">
        <f>HYPERLINK("https://www.suredividend.com/sure-analysis-IIPR/","Innovative Industrial Properties Inc")</f>
        <v>0</v>
      </c>
      <c r="C603">
        <v>261.49</v>
      </c>
      <c r="D603">
        <v>158</v>
      </c>
      <c r="E603">
        <v>1.655</v>
      </c>
      <c r="F603">
        <v>0.0229454281234464</v>
      </c>
      <c r="G603">
        <v>-0.09585017957742414</v>
      </c>
      <c r="H603">
        <v>0.25</v>
      </c>
      <c r="I603">
        <v>0.1542572905041832</v>
      </c>
      <c r="J603" t="s">
        <v>778</v>
      </c>
      <c r="K603" t="s">
        <v>778</v>
      </c>
      <c r="L603">
        <v>6.6</v>
      </c>
      <c r="M603">
        <v>6</v>
      </c>
      <c r="N603">
        <v>0.9090909090909092</v>
      </c>
      <c r="O603">
        <v>4</v>
      </c>
      <c r="P603">
        <v>0.2000012860054741</v>
      </c>
      <c r="Q603">
        <v>0.8184501005812871</v>
      </c>
      <c r="R603" t="s">
        <v>782</v>
      </c>
      <c r="S603" t="s">
        <v>794</v>
      </c>
      <c r="T603">
        <v>6428.578153</v>
      </c>
      <c r="U603" s="2">
        <v>44509</v>
      </c>
      <c r="V603" t="s">
        <v>795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59.23</v>
      </c>
      <c r="D604">
        <v>80</v>
      </c>
      <c r="E604">
        <v>0.740375</v>
      </c>
      <c r="F604">
        <v>0.05402667567111262</v>
      </c>
      <c r="G604">
        <v>0.06196364842296398</v>
      </c>
      <c r="H604">
        <v>0.05</v>
      </c>
      <c r="I604">
        <v>0.1529281063880563</v>
      </c>
      <c r="J604" t="s">
        <v>778</v>
      </c>
      <c r="K604" t="s">
        <v>372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0.07009401843462501</v>
      </c>
      <c r="R604" t="s">
        <v>780</v>
      </c>
      <c r="S604" t="s">
        <v>788</v>
      </c>
      <c r="T604">
        <v>44830.982789</v>
      </c>
      <c r="U604" s="2">
        <v>44498</v>
      </c>
      <c r="V604" t="s">
        <v>801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29.25</v>
      </c>
      <c r="D605">
        <v>40</v>
      </c>
      <c r="E605">
        <v>0.73125</v>
      </c>
      <c r="F605">
        <v>0.09162393162393163</v>
      </c>
      <c r="G605">
        <v>0.06460088822882759</v>
      </c>
      <c r="H605">
        <v>0.02</v>
      </c>
      <c r="I605">
        <v>0.1466504306240841</v>
      </c>
      <c r="J605" t="s">
        <v>778</v>
      </c>
      <c r="K605" t="s">
        <v>777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-0.09028455271801</v>
      </c>
      <c r="R605" t="s">
        <v>782</v>
      </c>
      <c r="S605" t="s">
        <v>794</v>
      </c>
      <c r="T605">
        <v>6930.249538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11.2</v>
      </c>
      <c r="D606">
        <v>15</v>
      </c>
      <c r="E606">
        <v>0.7466666666666666</v>
      </c>
      <c r="F606">
        <v>0.09642857142857145</v>
      </c>
      <c r="G606">
        <v>0.06016789231717445</v>
      </c>
      <c r="H606">
        <v>0.02</v>
      </c>
      <c r="I606">
        <v>0.1460183810110776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-0.023946436300359</v>
      </c>
      <c r="R606" t="s">
        <v>780</v>
      </c>
      <c r="S606" t="s">
        <v>784</v>
      </c>
      <c r="T606">
        <v>29385.637208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HYPERLINK("https://www.suredividend.com/sure-analysis-DHT/","DHT Holdings Inc")</f>
        <v>0</v>
      </c>
      <c r="C607">
        <v>5.55</v>
      </c>
      <c r="D607">
        <v>6</v>
      </c>
      <c r="E607">
        <v>0.9249999999999999</v>
      </c>
      <c r="F607">
        <v>0.02342342342342342</v>
      </c>
      <c r="G607">
        <v>0.01571450260395091</v>
      </c>
      <c r="H607">
        <v>0.1</v>
      </c>
      <c r="I607">
        <v>0.1406699589258171</v>
      </c>
      <c r="J607" t="s">
        <v>778</v>
      </c>
      <c r="K607" t="s">
        <v>778</v>
      </c>
      <c r="L607">
        <v>-0.1</v>
      </c>
      <c r="M607">
        <v>0.13</v>
      </c>
      <c r="N607">
        <v>9.99</v>
      </c>
      <c r="O607">
        <v>0</v>
      </c>
      <c r="P607">
        <v>0.1658506946484593</v>
      </c>
      <c r="Q607">
        <v>0.125681096940302</v>
      </c>
      <c r="R607" t="s">
        <v>780</v>
      </c>
      <c r="S607" t="s">
        <v>793</v>
      </c>
      <c r="T607">
        <v>963.3025699999999</v>
      </c>
      <c r="U607" s="2">
        <v>44509</v>
      </c>
      <c r="V607" t="s">
        <v>803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36.82</v>
      </c>
      <c r="D608">
        <v>44</v>
      </c>
      <c r="E608">
        <v>0.8368181818181818</v>
      </c>
      <c r="F608">
        <v>0.09505703422053231</v>
      </c>
      <c r="G608">
        <v>0.03627203521520705</v>
      </c>
      <c r="H608">
        <v>0.04</v>
      </c>
      <c r="I608">
        <v>0.1404465653866789</v>
      </c>
      <c r="J608" t="s">
        <v>778</v>
      </c>
      <c r="K608" t="s">
        <v>777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0.499294669868046</v>
      </c>
      <c r="R608" t="s">
        <v>781</v>
      </c>
      <c r="S608" t="s">
        <v>793</v>
      </c>
      <c r="T608">
        <v>8227.09546</v>
      </c>
      <c r="U608" s="2">
        <v>44501</v>
      </c>
      <c r="V608" t="s">
        <v>803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51.33</v>
      </c>
      <c r="D609">
        <v>57</v>
      </c>
      <c r="E609">
        <v>0.9005263157894736</v>
      </c>
      <c r="F609">
        <v>0.1558542762517047</v>
      </c>
      <c r="G609">
        <v>0.02117627970635239</v>
      </c>
      <c r="H609">
        <v>0</v>
      </c>
      <c r="I609">
        <v>0.1357430659594683</v>
      </c>
      <c r="J609" t="s">
        <v>778</v>
      </c>
      <c r="K609" t="s">
        <v>372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0.191289554894237</v>
      </c>
      <c r="R609" t="s">
        <v>781</v>
      </c>
      <c r="S609" t="s">
        <v>787</v>
      </c>
      <c r="T609">
        <v>14476.344794</v>
      </c>
      <c r="U609" s="2">
        <v>44513</v>
      </c>
      <c r="V609" t="s">
        <v>795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3.45</v>
      </c>
      <c r="D610">
        <v>3.5</v>
      </c>
      <c r="E610">
        <v>0.9857142857142858</v>
      </c>
      <c r="F610">
        <v>0.1159420289855072</v>
      </c>
      <c r="G610">
        <v>0.002881892180566226</v>
      </c>
      <c r="H610">
        <v>0.042</v>
      </c>
      <c r="I610">
        <v>0.1279655938502193</v>
      </c>
      <c r="J610" t="s">
        <v>778</v>
      </c>
      <c r="K610" t="s">
        <v>372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0.077673219665207</v>
      </c>
      <c r="R610" t="s">
        <v>783</v>
      </c>
      <c r="S610" t="s">
        <v>790</v>
      </c>
      <c r="T610">
        <v>93.362668</v>
      </c>
      <c r="U610" s="2">
        <v>44509</v>
      </c>
      <c r="V610" t="s">
        <v>805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18.15</v>
      </c>
      <c r="D611">
        <v>18.88</v>
      </c>
      <c r="E611">
        <v>0.9613347457627118</v>
      </c>
      <c r="F611">
        <v>0.05950413223140497</v>
      </c>
      <c r="G611">
        <v>0.007917700514846748</v>
      </c>
      <c r="H611">
        <v>0.07000000000000001</v>
      </c>
      <c r="I611">
        <v>0.1277775461766995</v>
      </c>
      <c r="J611" t="s">
        <v>778</v>
      </c>
      <c r="K611" t="s">
        <v>372</v>
      </c>
      <c r="L611">
        <v>1.51</v>
      </c>
      <c r="M611">
        <v>1.08</v>
      </c>
      <c r="N611">
        <v>0.7152317880794702</v>
      </c>
      <c r="O611">
        <v>3</v>
      </c>
      <c r="P611">
        <v>0.06932726018096602</v>
      </c>
      <c r="Q611">
        <v>0.199583109106886</v>
      </c>
      <c r="R611" t="s">
        <v>782</v>
      </c>
      <c r="S611" t="s">
        <v>794</v>
      </c>
      <c r="T611">
        <v>199.048331</v>
      </c>
      <c r="U611" s="2">
        <v>44494</v>
      </c>
      <c r="V611" t="s">
        <v>795</v>
      </c>
    </row>
    <row r="612" spans="1:22">
      <c r="A612" s="1" t="s">
        <v>632</v>
      </c>
      <c r="B612">
        <f>HYPERLINK("https://www.suredividend.com/sure-analysis-APAM/","Artisan Partners Asset Management Inc")</f>
        <v>0</v>
      </c>
      <c r="C612">
        <v>49.4</v>
      </c>
      <c r="D612">
        <v>55</v>
      </c>
      <c r="E612">
        <v>0.8981818181818182</v>
      </c>
      <c r="F612">
        <v>0.08663967611336033</v>
      </c>
      <c r="G612">
        <v>0.02170883324001882</v>
      </c>
      <c r="H612">
        <v>0.04</v>
      </c>
      <c r="I612">
        <v>0.1265815941657742</v>
      </c>
      <c r="J612" t="s">
        <v>778</v>
      </c>
      <c r="K612" t="s">
        <v>372</v>
      </c>
      <c r="L612">
        <v>5</v>
      </c>
      <c r="M612">
        <v>4.28</v>
      </c>
      <c r="N612">
        <v>0.8560000000000001</v>
      </c>
      <c r="O612">
        <v>2</v>
      </c>
      <c r="P612">
        <v>0.02019566627646463</v>
      </c>
      <c r="Q612">
        <v>0.155505658600168</v>
      </c>
      <c r="R612" t="s">
        <v>780</v>
      </c>
      <c r="S612" t="s">
        <v>790</v>
      </c>
      <c r="T612">
        <v>3168.187985</v>
      </c>
      <c r="U612" s="2">
        <v>44520</v>
      </c>
      <c r="V612" t="s">
        <v>798</v>
      </c>
    </row>
    <row r="613" spans="1:22">
      <c r="A613" s="1" t="s">
        <v>633</v>
      </c>
      <c r="B613">
        <f>HYPERLINK("https://www.suredividend.com/sure-analysis-CLPR/","Clipper Realty Inc")</f>
        <v>0</v>
      </c>
      <c r="C613">
        <v>9.619999999999999</v>
      </c>
      <c r="D613">
        <v>11.7</v>
      </c>
      <c r="E613">
        <v>0.8222222222222222</v>
      </c>
      <c r="F613">
        <v>0.0395010395010395</v>
      </c>
      <c r="G613">
        <v>0.03992533304330625</v>
      </c>
      <c r="H613">
        <v>0.055</v>
      </c>
      <c r="I613">
        <v>0.1231231956062997</v>
      </c>
      <c r="J613" t="s">
        <v>778</v>
      </c>
      <c r="K613" t="s">
        <v>513</v>
      </c>
      <c r="L613">
        <v>0.35</v>
      </c>
      <c r="M613">
        <v>0.38</v>
      </c>
      <c r="N613">
        <v>1.085714285714286</v>
      </c>
      <c r="O613">
        <v>0</v>
      </c>
      <c r="P613">
        <v>0</v>
      </c>
      <c r="Q613">
        <v>0.6585774642969371</v>
      </c>
      <c r="R613" t="s">
        <v>782</v>
      </c>
      <c r="S613" t="s">
        <v>794</v>
      </c>
      <c r="T613">
        <v>152.600666</v>
      </c>
      <c r="U613" s="2">
        <v>44511</v>
      </c>
      <c r="V613" t="s">
        <v>805</v>
      </c>
    </row>
    <row r="614" spans="1:22">
      <c r="A614" s="1" t="s">
        <v>634</v>
      </c>
      <c r="B614">
        <f>HYPERLINK("https://www.suredividend.com/sure-analysis-VICI/","VICI Properties Inc")</f>
        <v>0</v>
      </c>
      <c r="C614">
        <v>28.26</v>
      </c>
      <c r="D614">
        <v>31</v>
      </c>
      <c r="E614">
        <v>0.9116129032258065</v>
      </c>
      <c r="F614">
        <v>0.05095541401273885</v>
      </c>
      <c r="G614">
        <v>0.01868029937992266</v>
      </c>
      <c r="H614">
        <v>0.06</v>
      </c>
      <c r="I614">
        <v>0.1213187425429698</v>
      </c>
      <c r="J614" t="s">
        <v>778</v>
      </c>
      <c r="K614" t="s">
        <v>372</v>
      </c>
      <c r="L614">
        <v>2</v>
      </c>
      <c r="M614">
        <v>1.44</v>
      </c>
      <c r="N614">
        <v>0.72</v>
      </c>
      <c r="O614">
        <v>3</v>
      </c>
      <c r="P614">
        <v>0.06032490771095733</v>
      </c>
      <c r="Q614">
        <v>0.142530589746811</v>
      </c>
      <c r="R614" t="s">
        <v>782</v>
      </c>
      <c r="S614" t="s">
        <v>794</v>
      </c>
      <c r="T614">
        <v>17729.98867</v>
      </c>
      <c r="U614" s="2">
        <v>44509</v>
      </c>
      <c r="V614" t="s">
        <v>803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26.03</v>
      </c>
      <c r="D615">
        <v>29</v>
      </c>
      <c r="E615">
        <v>0.8975862068965518</v>
      </c>
      <c r="F615">
        <v>0.05224740683826355</v>
      </c>
      <c r="G615">
        <v>0.02184439233106428</v>
      </c>
      <c r="H615">
        <v>0.05</v>
      </c>
      <c r="I615">
        <v>0.1152775681345974</v>
      </c>
      <c r="J615" t="s">
        <v>778</v>
      </c>
      <c r="K615" t="s">
        <v>513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0.6829522178570221</v>
      </c>
      <c r="R615" t="s">
        <v>780</v>
      </c>
      <c r="S615" t="s">
        <v>793</v>
      </c>
      <c r="T615">
        <v>36470.267175</v>
      </c>
      <c r="U615" s="2">
        <v>44502</v>
      </c>
      <c r="V615" t="s">
        <v>803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30.35</v>
      </c>
      <c r="D616">
        <v>30</v>
      </c>
      <c r="E616">
        <v>1.011666666666667</v>
      </c>
      <c r="F616">
        <v>0.1037891268533773</v>
      </c>
      <c r="G616">
        <v>-0.002317138449147493</v>
      </c>
      <c r="H616">
        <v>0.03</v>
      </c>
      <c r="I616">
        <v>0.113448982635824</v>
      </c>
      <c r="J616" t="s">
        <v>778</v>
      </c>
      <c r="K616" t="s">
        <v>372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0.8828098086499011</v>
      </c>
      <c r="R616" t="s">
        <v>783</v>
      </c>
      <c r="S616" t="s">
        <v>790</v>
      </c>
      <c r="T616">
        <v>677.773281</v>
      </c>
      <c r="U616" s="2">
        <v>44516</v>
      </c>
      <c r="V616" t="s">
        <v>795</v>
      </c>
    </row>
    <row r="617" spans="1:22">
      <c r="A617" s="1" t="s">
        <v>637</v>
      </c>
      <c r="B617">
        <f>HYPERLINK("https://www.suredividend.com/sure-analysis-LTC/","LTC Properties, Inc.")</f>
        <v>0</v>
      </c>
      <c r="C617">
        <v>33.52</v>
      </c>
      <c r="D617">
        <v>36</v>
      </c>
      <c r="E617">
        <v>0.9311111111111112</v>
      </c>
      <c r="F617">
        <v>0.06801909307875893</v>
      </c>
      <c r="G617">
        <v>0.01437771171377622</v>
      </c>
      <c r="H617">
        <v>0.05</v>
      </c>
      <c r="I617">
        <v>0.1133713215127861</v>
      </c>
      <c r="J617" t="s">
        <v>778</v>
      </c>
      <c r="K617" t="s">
        <v>372</v>
      </c>
      <c r="L617">
        <v>2.4</v>
      </c>
      <c r="M617">
        <v>2.28</v>
      </c>
      <c r="N617">
        <v>0.95</v>
      </c>
      <c r="O617">
        <v>0</v>
      </c>
      <c r="P617">
        <v>0</v>
      </c>
      <c r="Q617">
        <v>-0.039076965277618</v>
      </c>
      <c r="R617" t="s">
        <v>782</v>
      </c>
      <c r="S617" t="s">
        <v>794</v>
      </c>
      <c r="T617">
        <v>1324.1491</v>
      </c>
      <c r="U617" s="2">
        <v>44510</v>
      </c>
      <c r="V617" t="s">
        <v>803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6.08</v>
      </c>
      <c r="D618">
        <v>6.3</v>
      </c>
      <c r="E618">
        <v>0.9650793650793651</v>
      </c>
      <c r="F618">
        <v>0.1118421052631579</v>
      </c>
      <c r="G618">
        <v>0.007134316320625667</v>
      </c>
      <c r="H618">
        <v>0.018</v>
      </c>
      <c r="I618">
        <v>0.112210006027661</v>
      </c>
      <c r="J618" t="s">
        <v>778</v>
      </c>
      <c r="K618" t="s">
        <v>372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0.06184733307548901</v>
      </c>
      <c r="R618" t="s">
        <v>782</v>
      </c>
      <c r="S618" t="s">
        <v>794</v>
      </c>
      <c r="T618">
        <v>2077.186967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HYPERLINK("https://www.suredividend.com/sure-analysis-SBRA/","Sabra Healthcare REIT Inc")</f>
        <v>0</v>
      </c>
      <c r="C619">
        <v>13.99</v>
      </c>
      <c r="D619">
        <v>14.5</v>
      </c>
      <c r="E619">
        <v>0.9648275862068966</v>
      </c>
      <c r="F619">
        <v>0.08577555396711936</v>
      </c>
      <c r="G619">
        <v>0.007186874659842912</v>
      </c>
      <c r="H619">
        <v>0.038</v>
      </c>
      <c r="I619">
        <v>0.1118333313631052</v>
      </c>
      <c r="J619" t="s">
        <v>778</v>
      </c>
      <c r="K619" t="s">
        <v>372</v>
      </c>
      <c r="L619">
        <v>1.58</v>
      </c>
      <c r="M619">
        <v>1.2</v>
      </c>
      <c r="N619">
        <v>0.7594936708860759</v>
      </c>
      <c r="O619">
        <v>0</v>
      </c>
      <c r="P619">
        <v>0.01613736474159566</v>
      </c>
      <c r="Q619">
        <v>-0.09461611978337001</v>
      </c>
      <c r="R619" t="s">
        <v>782</v>
      </c>
      <c r="S619" t="s">
        <v>794</v>
      </c>
      <c r="T619">
        <v>3249.515687</v>
      </c>
      <c r="U619" s="2">
        <v>44509</v>
      </c>
      <c r="V619" t="s">
        <v>805</v>
      </c>
    </row>
    <row r="620" spans="1:22">
      <c r="A620" s="1" t="s">
        <v>640</v>
      </c>
      <c r="B620">
        <f>HYPERLINK("https://www.suredividend.com/sure-analysis-USAC/","USA Compression Partners LP")</f>
        <v>0</v>
      </c>
      <c r="C620">
        <v>15.54</v>
      </c>
      <c r="D620">
        <v>14.8</v>
      </c>
      <c r="E620">
        <v>1.05</v>
      </c>
      <c r="F620">
        <v>0.1351351351351351</v>
      </c>
      <c r="G620">
        <v>-0.009710577713137658</v>
      </c>
      <c r="H620">
        <v>0.01</v>
      </c>
      <c r="I620">
        <v>0.1088884034538278</v>
      </c>
      <c r="J620" t="s">
        <v>778</v>
      </c>
      <c r="K620" t="s">
        <v>372</v>
      </c>
      <c r="L620">
        <v>2.11</v>
      </c>
      <c r="M620">
        <v>2.1</v>
      </c>
      <c r="N620">
        <v>0.9952606635071091</v>
      </c>
      <c r="O620">
        <v>0</v>
      </c>
      <c r="P620">
        <v>0</v>
      </c>
      <c r="Q620">
        <v>0.484916984955959</v>
      </c>
      <c r="R620" t="s">
        <v>781</v>
      </c>
      <c r="S620" t="s">
        <v>793</v>
      </c>
      <c r="T620">
        <v>1479.304433</v>
      </c>
      <c r="U620" s="2">
        <v>44502</v>
      </c>
      <c r="V620" t="s">
        <v>801</v>
      </c>
    </row>
    <row r="621" spans="1:22">
      <c r="A621" s="1" t="s">
        <v>641</v>
      </c>
      <c r="B621">
        <f>HYPERLINK("https://www.suredividend.com/sure-analysis-CQP/","Cheniere Energy Partners LP")</f>
        <v>0</v>
      </c>
      <c r="C621">
        <v>41.28</v>
      </c>
      <c r="D621">
        <v>45</v>
      </c>
      <c r="E621">
        <v>0.9173333333333333</v>
      </c>
      <c r="F621">
        <v>0.06443798449612403</v>
      </c>
      <c r="G621">
        <v>0.01740663378794616</v>
      </c>
      <c r="H621">
        <v>0.04</v>
      </c>
      <c r="I621">
        <v>0.108379806903603</v>
      </c>
      <c r="J621" t="s">
        <v>778</v>
      </c>
      <c r="K621" t="s">
        <v>372</v>
      </c>
      <c r="L621">
        <v>2.9</v>
      </c>
      <c r="M621">
        <v>2.66</v>
      </c>
      <c r="N621">
        <v>0.9172413793103449</v>
      </c>
      <c r="O621">
        <v>5</v>
      </c>
      <c r="P621">
        <v>0.02434894295516754</v>
      </c>
      <c r="Q621">
        <v>0.146929521152689</v>
      </c>
      <c r="R621" t="s">
        <v>781</v>
      </c>
      <c r="S621" t="s">
        <v>793</v>
      </c>
      <c r="T621">
        <v>19661.120806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HYPERLINK("https://www.suredividend.com/sure-analysis-EIFZF/","Exchange Income Corp.")</f>
        <v>0</v>
      </c>
      <c r="C622">
        <v>35.551</v>
      </c>
      <c r="D622">
        <v>35</v>
      </c>
      <c r="E622">
        <v>1.015742857142857</v>
      </c>
      <c r="F622">
        <v>0.05175663131838767</v>
      </c>
      <c r="G622">
        <v>-0.003119170001714022</v>
      </c>
      <c r="H622">
        <v>0.07000000000000001</v>
      </c>
      <c r="I622">
        <v>0.108336122026266</v>
      </c>
      <c r="J622" t="s">
        <v>778</v>
      </c>
      <c r="K622" t="s">
        <v>372</v>
      </c>
      <c r="L622">
        <v>2.3</v>
      </c>
      <c r="M622">
        <v>1.84</v>
      </c>
      <c r="N622">
        <v>0.8</v>
      </c>
      <c r="O622">
        <v>0</v>
      </c>
      <c r="P622">
        <v>0.04012620718096094</v>
      </c>
      <c r="Q622">
        <v>0.238213780286108</v>
      </c>
      <c r="R622" t="s">
        <v>780</v>
      </c>
      <c r="S622" t="s">
        <v>787</v>
      </c>
      <c r="T622">
        <v>1386.631515</v>
      </c>
      <c r="U622" s="2">
        <v>44516</v>
      </c>
      <c r="V622" t="s">
        <v>795</v>
      </c>
    </row>
    <row r="623" spans="1:22">
      <c r="A623" s="1" t="s">
        <v>643</v>
      </c>
      <c r="B623">
        <f>HYPERLINK("https://www.suredividend.com/sure-analysis-SFL/","SFL Corporation Ltd")</f>
        <v>0</v>
      </c>
      <c r="C623">
        <v>8.369999999999999</v>
      </c>
      <c r="D623">
        <v>8.640000000000001</v>
      </c>
      <c r="E623">
        <v>0.9687499999999999</v>
      </c>
      <c r="F623">
        <v>0.08602150537634409</v>
      </c>
      <c r="G623">
        <v>0.006369941997027784</v>
      </c>
      <c r="H623">
        <v>0.03</v>
      </c>
      <c r="I623">
        <v>0.1074055130887068</v>
      </c>
      <c r="J623" t="s">
        <v>778</v>
      </c>
      <c r="K623" t="s">
        <v>372</v>
      </c>
      <c r="L623">
        <v>0.96</v>
      </c>
      <c r="M623">
        <v>0.72</v>
      </c>
      <c r="N623">
        <v>0.75</v>
      </c>
      <c r="O623">
        <v>1</v>
      </c>
      <c r="P623">
        <v>0.02884302866442456</v>
      </c>
      <c r="Q623">
        <v>0.311704439615026</v>
      </c>
      <c r="R623" t="s">
        <v>780</v>
      </c>
      <c r="S623" t="s">
        <v>787</v>
      </c>
      <c r="T623">
        <v>1082.656884</v>
      </c>
      <c r="U623" s="2">
        <v>44517</v>
      </c>
      <c r="V623" t="s">
        <v>795</v>
      </c>
    </row>
    <row r="624" spans="1:22">
      <c r="A624" s="1" t="s">
        <v>644</v>
      </c>
      <c r="B624">
        <f>HYPERLINK("https://www.suredividend.com/sure-analysis-QSR/","Restaurant Brands International Inc")</f>
        <v>0</v>
      </c>
      <c r="C624">
        <v>58.52</v>
      </c>
      <c r="D624">
        <v>53</v>
      </c>
      <c r="E624">
        <v>1.104150943396226</v>
      </c>
      <c r="F624">
        <v>0.03622693096377307</v>
      </c>
      <c r="G624">
        <v>-0.01962029915987218</v>
      </c>
      <c r="H624">
        <v>0.1</v>
      </c>
      <c r="I624">
        <v>0.1066474006841236</v>
      </c>
      <c r="J624" t="s">
        <v>778</v>
      </c>
      <c r="K624" t="s">
        <v>513</v>
      </c>
      <c r="L624">
        <v>2.8</v>
      </c>
      <c r="M624">
        <v>2.12</v>
      </c>
      <c r="N624">
        <v>0.7571428571428572</v>
      </c>
      <c r="O624">
        <v>9</v>
      </c>
      <c r="P624">
        <v>0.03517300006217261</v>
      </c>
      <c r="Q624">
        <v>0.017326979932108</v>
      </c>
      <c r="R624" t="s">
        <v>780</v>
      </c>
      <c r="S624" t="s">
        <v>789</v>
      </c>
      <c r="T624">
        <v>18310.863069</v>
      </c>
      <c r="U624" s="2">
        <v>44495</v>
      </c>
      <c r="V624" t="s">
        <v>803</v>
      </c>
    </row>
    <row r="625" spans="1:22">
      <c r="A625" s="1" t="s">
        <v>645</v>
      </c>
      <c r="B625">
        <f>HYPERLINK("https://www.suredividend.com/sure-analysis-CTRE/","CareTrust REIT Inc")</f>
        <v>0</v>
      </c>
      <c r="C625">
        <v>20.62</v>
      </c>
      <c r="D625">
        <v>22</v>
      </c>
      <c r="E625">
        <v>0.9372727272727274</v>
      </c>
      <c r="F625">
        <v>0.05140640155189137</v>
      </c>
      <c r="G625">
        <v>0.01304049010247277</v>
      </c>
      <c r="H625">
        <v>0.05</v>
      </c>
      <c r="I625">
        <v>0.1066204712850587</v>
      </c>
      <c r="J625" t="s">
        <v>778</v>
      </c>
      <c r="K625" t="s">
        <v>372</v>
      </c>
      <c r="L625">
        <v>1.5</v>
      </c>
      <c r="M625">
        <v>1.06</v>
      </c>
      <c r="N625">
        <v>0.7066666666666667</v>
      </c>
      <c r="O625">
        <v>5</v>
      </c>
      <c r="P625">
        <v>0.04955591526723868</v>
      </c>
      <c r="Q625">
        <v>0.134459268287374</v>
      </c>
      <c r="R625" t="s">
        <v>782</v>
      </c>
      <c r="S625" t="s">
        <v>794</v>
      </c>
      <c r="T625">
        <v>2023.134839</v>
      </c>
      <c r="U625" s="2">
        <v>44508</v>
      </c>
      <c r="V625" t="s">
        <v>801</v>
      </c>
    </row>
    <row r="626" spans="1:22">
      <c r="A626" s="1" t="s">
        <v>646</v>
      </c>
      <c r="B626">
        <f>HYPERLINK("https://www.suredividend.com/sure-analysis-VGR/","Vector Group Ltd")</f>
        <v>0</v>
      </c>
      <c r="C626">
        <v>16.45</v>
      </c>
      <c r="D626">
        <v>20</v>
      </c>
      <c r="E626">
        <v>0.8225</v>
      </c>
      <c r="F626">
        <v>0.04863221884498481</v>
      </c>
      <c r="G626">
        <v>0.03985508205752408</v>
      </c>
      <c r="H626">
        <v>0.03</v>
      </c>
      <c r="I626">
        <v>0.1056921477571582</v>
      </c>
      <c r="J626" t="s">
        <v>778</v>
      </c>
      <c r="K626" t="s">
        <v>513</v>
      </c>
      <c r="L626">
        <v>1</v>
      </c>
      <c r="M626">
        <v>0.8</v>
      </c>
      <c r="N626">
        <v>0.8</v>
      </c>
      <c r="O626">
        <v>0</v>
      </c>
      <c r="P626">
        <v>0</v>
      </c>
      <c r="Q626">
        <v>0.571107741328675</v>
      </c>
      <c r="R626" t="s">
        <v>780</v>
      </c>
      <c r="S626" t="s">
        <v>791</v>
      </c>
      <c r="T626">
        <v>2520.31582</v>
      </c>
      <c r="U626" s="2">
        <v>44454</v>
      </c>
      <c r="V626" t="s">
        <v>802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17.66</v>
      </c>
      <c r="D627">
        <v>18.8</v>
      </c>
      <c r="E627">
        <v>0.9393617021276596</v>
      </c>
      <c r="F627">
        <v>0.101925254813137</v>
      </c>
      <c r="G627">
        <v>0.01258952407770342</v>
      </c>
      <c r="H627">
        <v>0.01</v>
      </c>
      <c r="I627">
        <v>0.1044930480490756</v>
      </c>
      <c r="J627" t="s">
        <v>778</v>
      </c>
      <c r="K627" t="s">
        <v>372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0.320677155349602</v>
      </c>
      <c r="R627" t="s">
        <v>782</v>
      </c>
      <c r="S627" t="s">
        <v>790</v>
      </c>
      <c r="T627">
        <v>1014.746876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48.56</v>
      </c>
      <c r="D628">
        <v>53</v>
      </c>
      <c r="E628">
        <v>0.9162264150943397</v>
      </c>
      <c r="F628">
        <v>0.05683690280065897</v>
      </c>
      <c r="G628">
        <v>0.01765234644250135</v>
      </c>
      <c r="H628">
        <v>0.04</v>
      </c>
      <c r="I628">
        <v>0.1038277760369093</v>
      </c>
      <c r="J628" t="s">
        <v>778</v>
      </c>
      <c r="K628" t="s">
        <v>372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0.178331141643989</v>
      </c>
      <c r="R628" t="s">
        <v>780</v>
      </c>
      <c r="S628" t="s">
        <v>793</v>
      </c>
      <c r="T628">
        <v>46769.430329</v>
      </c>
      <c r="U628" s="2">
        <v>44510</v>
      </c>
      <c r="V628" t="s">
        <v>803</v>
      </c>
    </row>
    <row r="629" spans="1:22">
      <c r="A629" s="1" t="s">
        <v>649</v>
      </c>
      <c r="B629">
        <f>HYPERLINK("https://www.suredividend.com/sure-analysis-KNOP/","KNOT Offshore Partners LP")</f>
        <v>0</v>
      </c>
      <c r="C629">
        <v>17.1</v>
      </c>
      <c r="D629">
        <v>17.29</v>
      </c>
      <c r="E629">
        <v>0.9890109890109892</v>
      </c>
      <c r="F629">
        <v>0.1216374269005848</v>
      </c>
      <c r="G629">
        <v>0.002212411014803184</v>
      </c>
      <c r="H629">
        <v>0</v>
      </c>
      <c r="I629">
        <v>0.1011978861919567</v>
      </c>
      <c r="J629" t="s">
        <v>778</v>
      </c>
      <c r="K629" t="s">
        <v>372</v>
      </c>
      <c r="L629">
        <v>2.47</v>
      </c>
      <c r="M629">
        <v>2.08</v>
      </c>
      <c r="N629">
        <v>0.8421052631578947</v>
      </c>
      <c r="O629">
        <v>0</v>
      </c>
      <c r="P629">
        <v>0</v>
      </c>
      <c r="Q629">
        <v>0.334844677663546</v>
      </c>
      <c r="R629" t="s">
        <v>781</v>
      </c>
      <c r="S629" t="s">
        <v>787</v>
      </c>
      <c r="T629">
        <v>554.19406</v>
      </c>
      <c r="U629" s="2">
        <v>44520</v>
      </c>
      <c r="V629" t="s">
        <v>795</v>
      </c>
    </row>
    <row r="630" spans="1:22">
      <c r="A630" s="1" t="s">
        <v>650</v>
      </c>
      <c r="B630">
        <f>HYPERLINK("https://www.suredividend.com/sure-analysis-CTO/","CTO Realty Growth Inc")</f>
        <v>0</v>
      </c>
      <c r="C630">
        <v>56.43</v>
      </c>
      <c r="D630">
        <v>56</v>
      </c>
      <c r="E630">
        <v>1.007678571428571</v>
      </c>
      <c r="F630">
        <v>0.0708842814105972</v>
      </c>
      <c r="G630">
        <v>-0.001528678627870872</v>
      </c>
      <c r="H630">
        <v>0.045</v>
      </c>
      <c r="I630">
        <v>0.1003588546075826</v>
      </c>
      <c r="J630" t="s">
        <v>778</v>
      </c>
      <c r="K630" t="s">
        <v>372</v>
      </c>
      <c r="L630">
        <v>4.15</v>
      </c>
      <c r="M630">
        <v>4</v>
      </c>
      <c r="N630">
        <v>0.9638554216867469</v>
      </c>
      <c r="O630">
        <v>8</v>
      </c>
      <c r="P630">
        <v>0.02016978262061087</v>
      </c>
      <c r="Q630">
        <v>0.302080982259739</v>
      </c>
      <c r="R630" t="s">
        <v>782</v>
      </c>
      <c r="S630" t="s">
        <v>794</v>
      </c>
      <c r="T630">
        <v>343.956434</v>
      </c>
      <c r="U630" s="2">
        <v>44502</v>
      </c>
      <c r="V630" t="s">
        <v>801</v>
      </c>
    </row>
    <row r="631" spans="1:22">
      <c r="A631" s="1" t="s">
        <v>651</v>
      </c>
      <c r="B631">
        <f>HYPERLINK("https://www.suredividend.com/sure-analysis-SRC/","Spirit Realty Capital Inc")</f>
        <v>0</v>
      </c>
      <c r="C631">
        <v>46.43</v>
      </c>
      <c r="D631">
        <v>50</v>
      </c>
      <c r="E631">
        <v>0.9286</v>
      </c>
      <c r="F631">
        <v>0.05492138703424509</v>
      </c>
      <c r="G631">
        <v>0.014925733325442</v>
      </c>
      <c r="H631">
        <v>0.04</v>
      </c>
      <c r="I631">
        <v>0.09883775715334031</v>
      </c>
      <c r="J631" t="s">
        <v>778</v>
      </c>
      <c r="K631" t="s">
        <v>372</v>
      </c>
      <c r="L631">
        <v>3.3</v>
      </c>
      <c r="M631">
        <v>2.55</v>
      </c>
      <c r="N631">
        <v>0.7727272727272727</v>
      </c>
      <c r="O631">
        <v>1</v>
      </c>
      <c r="P631">
        <v>0.02033265364950054</v>
      </c>
      <c r="Q631">
        <v>0.393911636649139</v>
      </c>
      <c r="R631" t="s">
        <v>782</v>
      </c>
      <c r="S631" t="s">
        <v>794</v>
      </c>
      <c r="T631">
        <v>5779.799172</v>
      </c>
      <c r="U631" s="2">
        <v>44509</v>
      </c>
      <c r="V631" t="s">
        <v>795</v>
      </c>
    </row>
    <row r="632" spans="1:22">
      <c r="A632" s="1" t="s">
        <v>652</v>
      </c>
      <c r="B632">
        <f>HYPERLINK("https://www.suredividend.com/sure-analysis-NYMT/","New York Mortgage Trust Inc")</f>
        <v>0</v>
      </c>
      <c r="C632">
        <v>3.94</v>
      </c>
      <c r="D632">
        <v>4.05</v>
      </c>
      <c r="E632">
        <v>0.9728395061728395</v>
      </c>
      <c r="F632">
        <v>0.1015228426395939</v>
      </c>
      <c r="G632">
        <v>0.00552242423851701</v>
      </c>
      <c r="H632">
        <v>0.01</v>
      </c>
      <c r="I632">
        <v>0.09690320297895894</v>
      </c>
      <c r="J632" t="s">
        <v>778</v>
      </c>
      <c r="K632" t="s">
        <v>372</v>
      </c>
      <c r="L632">
        <v>0.45</v>
      </c>
      <c r="M632">
        <v>0.4</v>
      </c>
      <c r="N632">
        <v>0.888888888888889</v>
      </c>
      <c r="O632">
        <v>0</v>
      </c>
      <c r="P632">
        <v>0</v>
      </c>
      <c r="Q632">
        <v>0.287960511261482</v>
      </c>
      <c r="R632" t="s">
        <v>780</v>
      </c>
      <c r="S632" t="s">
        <v>794</v>
      </c>
      <c r="T632">
        <v>1494.388712</v>
      </c>
      <c r="U632" s="2">
        <v>44435</v>
      </c>
      <c r="V632" t="s">
        <v>798</v>
      </c>
    </row>
    <row r="633" spans="1:22">
      <c r="A633" s="1" t="s">
        <v>653</v>
      </c>
      <c r="B633">
        <f>HYPERLINK("https://www.suredividend.com/sure-analysis-AFIN/","American Fin Tr Inc")</f>
        <v>0</v>
      </c>
      <c r="C633">
        <v>8.35</v>
      </c>
      <c r="D633">
        <v>9</v>
      </c>
      <c r="E633">
        <v>0.9277777777777777</v>
      </c>
      <c r="F633">
        <v>0.1017964071856287</v>
      </c>
      <c r="G633">
        <v>0.01510556061775814</v>
      </c>
      <c r="H633">
        <v>0</v>
      </c>
      <c r="I633">
        <v>0.0967455490133482</v>
      </c>
      <c r="J633" t="s">
        <v>778</v>
      </c>
      <c r="K633" t="s">
        <v>372</v>
      </c>
      <c r="L633">
        <v>1</v>
      </c>
      <c r="M633">
        <v>0.85</v>
      </c>
      <c r="N633">
        <v>0.85</v>
      </c>
      <c r="O633">
        <v>0</v>
      </c>
      <c r="P633">
        <v>0</v>
      </c>
      <c r="Q633">
        <v>0.238312596628138</v>
      </c>
      <c r="R633" t="s">
        <v>782</v>
      </c>
      <c r="S633" t="s">
        <v>794</v>
      </c>
      <c r="T633">
        <v>1038.689446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4.8</v>
      </c>
      <c r="D634">
        <v>3.6</v>
      </c>
      <c r="E634">
        <v>1.333333333333333</v>
      </c>
      <c r="F634">
        <v>0.1625</v>
      </c>
      <c r="G634">
        <v>-0.05591248870509802</v>
      </c>
      <c r="H634">
        <v>0.003</v>
      </c>
      <c r="I634">
        <v>0.09666939504244754</v>
      </c>
      <c r="J634" t="s">
        <v>778</v>
      </c>
      <c r="K634" t="s">
        <v>777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-0.007485215665191</v>
      </c>
      <c r="R634" t="s">
        <v>782</v>
      </c>
      <c r="S634" t="s">
        <v>794</v>
      </c>
      <c r="T634">
        <v>773.5552750000001</v>
      </c>
      <c r="U634" s="2">
        <v>44506</v>
      </c>
      <c r="V634" t="s">
        <v>805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14.14</v>
      </c>
      <c r="D635">
        <v>14.64</v>
      </c>
      <c r="E635">
        <v>0.9658469945355191</v>
      </c>
      <c r="F635">
        <v>0.0876944837340877</v>
      </c>
      <c r="G635">
        <v>0.006974176698767653</v>
      </c>
      <c r="H635">
        <v>0.02</v>
      </c>
      <c r="I635">
        <v>0.09602135609196294</v>
      </c>
      <c r="J635" t="s">
        <v>778</v>
      </c>
      <c r="K635" t="s">
        <v>372</v>
      </c>
      <c r="L635">
        <v>1.22</v>
      </c>
      <c r="M635">
        <v>1.24</v>
      </c>
      <c r="N635">
        <v>1.016393442622951</v>
      </c>
      <c r="O635">
        <v>0</v>
      </c>
      <c r="P635">
        <v>0</v>
      </c>
      <c r="Q635">
        <v>0.123721138256834</v>
      </c>
      <c r="R635" t="s">
        <v>783</v>
      </c>
      <c r="S635" t="s">
        <v>790</v>
      </c>
      <c r="T635">
        <v>5531.656435</v>
      </c>
      <c r="U635" s="2">
        <v>44509</v>
      </c>
      <c r="V635" t="s">
        <v>795</v>
      </c>
    </row>
    <row r="636" spans="1:22">
      <c r="A636" s="1" t="s">
        <v>656</v>
      </c>
      <c r="B636">
        <f>HYPERLINK("https://www.suredividend.com/sure-analysis-GNL/","Global Net Lease Inc")</f>
        <v>0</v>
      </c>
      <c r="C636">
        <v>14.98</v>
      </c>
      <c r="D636">
        <v>12.4</v>
      </c>
      <c r="E636">
        <v>1.208064516129032</v>
      </c>
      <c r="F636">
        <v>0.1068090787716956</v>
      </c>
      <c r="G636">
        <v>-0.03709825364418851</v>
      </c>
      <c r="H636">
        <v>0.04</v>
      </c>
      <c r="I636">
        <v>0.09452618792983913</v>
      </c>
      <c r="J636" t="s">
        <v>778</v>
      </c>
      <c r="K636" t="s">
        <v>372</v>
      </c>
      <c r="L636">
        <v>1.77</v>
      </c>
      <c r="M636">
        <v>1.6</v>
      </c>
      <c r="N636">
        <v>0.903954802259887</v>
      </c>
      <c r="O636">
        <v>0</v>
      </c>
      <c r="P636">
        <v>0.01808400232019891</v>
      </c>
      <c r="Q636">
        <v>-0.001616681513741</v>
      </c>
      <c r="R636" t="s">
        <v>782</v>
      </c>
      <c r="S636" t="s">
        <v>794</v>
      </c>
      <c r="T636">
        <v>1567.532726</v>
      </c>
      <c r="U636" s="2">
        <v>44509</v>
      </c>
      <c r="V636" t="s">
        <v>805</v>
      </c>
    </row>
    <row r="637" spans="1:22">
      <c r="A637" s="1" t="s">
        <v>657</v>
      </c>
      <c r="B637">
        <f>HYPERLINK("https://www.suredividend.com/sure-analysis-AQN/","Algonquin Power &amp; Utilities Corp")</f>
        <v>0</v>
      </c>
      <c r="C637">
        <v>13.91</v>
      </c>
      <c r="D637">
        <v>13</v>
      </c>
      <c r="E637">
        <v>1.07</v>
      </c>
      <c r="F637">
        <v>0.04888569374550683</v>
      </c>
      <c r="G637">
        <v>-0.01344058740792065</v>
      </c>
      <c r="H637">
        <v>0.065</v>
      </c>
      <c r="I637">
        <v>0.09420764222943978</v>
      </c>
      <c r="J637" t="s">
        <v>778</v>
      </c>
      <c r="K637" t="s">
        <v>513</v>
      </c>
      <c r="L637">
        <v>0.73</v>
      </c>
      <c r="M637">
        <v>0.68</v>
      </c>
      <c r="N637">
        <v>0.9315068493150686</v>
      </c>
      <c r="O637">
        <v>9</v>
      </c>
      <c r="P637">
        <v>0.05530068195228077</v>
      </c>
      <c r="Q637">
        <v>-0.054526790658724</v>
      </c>
      <c r="R637" t="s">
        <v>780</v>
      </c>
      <c r="S637" t="s">
        <v>792</v>
      </c>
      <c r="T637">
        <v>9383.161032</v>
      </c>
      <c r="U637" s="2">
        <v>44513</v>
      </c>
      <c r="V637" t="s">
        <v>804</v>
      </c>
    </row>
    <row r="638" spans="1:22">
      <c r="A638" s="1" t="s">
        <v>658</v>
      </c>
      <c r="B638">
        <f>HYPERLINK("https://www.suredividend.com/sure-analysis-GSBD/","Goldman Sachs BDC Inc")</f>
        <v>0</v>
      </c>
      <c r="C638">
        <v>18.9</v>
      </c>
      <c r="D638">
        <v>20.64</v>
      </c>
      <c r="E638">
        <v>0.9156976744186046</v>
      </c>
      <c r="F638">
        <v>0.09523809523809525</v>
      </c>
      <c r="G638">
        <v>0.01776984154373751</v>
      </c>
      <c r="H638">
        <v>0</v>
      </c>
      <c r="I638">
        <v>0.09416616022709579</v>
      </c>
      <c r="J638" t="s">
        <v>778</v>
      </c>
      <c r="K638" t="s">
        <v>372</v>
      </c>
      <c r="L638">
        <v>2.15</v>
      </c>
      <c r="M638">
        <v>1.8</v>
      </c>
      <c r="N638">
        <v>0.8372093023255814</v>
      </c>
      <c r="O638">
        <v>0</v>
      </c>
      <c r="P638">
        <v>0</v>
      </c>
      <c r="Q638">
        <v>0.185815674487914</v>
      </c>
      <c r="R638" t="s">
        <v>783</v>
      </c>
      <c r="S638" t="s">
        <v>790</v>
      </c>
      <c r="T638">
        <v>1912.157271</v>
      </c>
      <c r="U638" s="2">
        <v>44513</v>
      </c>
      <c r="V638" t="s">
        <v>795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28.16</v>
      </c>
      <c r="D639">
        <v>29</v>
      </c>
      <c r="E639">
        <v>0.9710344827586207</v>
      </c>
      <c r="F639">
        <v>0.04509943181818182</v>
      </c>
      <c r="G639">
        <v>0.005895972969060859</v>
      </c>
      <c r="H639">
        <v>0.05</v>
      </c>
      <c r="I639">
        <v>0.09340238977496251</v>
      </c>
      <c r="J639" t="s">
        <v>778</v>
      </c>
      <c r="K639" t="s">
        <v>513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0.04734566115549201</v>
      </c>
      <c r="R639" t="s">
        <v>782</v>
      </c>
      <c r="S639" t="s">
        <v>794</v>
      </c>
      <c r="T639">
        <v>2184.438356</v>
      </c>
      <c r="U639" s="2">
        <v>44499</v>
      </c>
      <c r="V639" t="s">
        <v>797</v>
      </c>
    </row>
    <row r="640" spans="1:22">
      <c r="A640" s="1" t="s">
        <v>660</v>
      </c>
      <c r="B640">
        <f>HYPERLINK("https://www.suredividend.com/sure-analysis-EPR/","EPR Properties")</f>
        <v>0</v>
      </c>
      <c r="C640">
        <v>50.25</v>
      </c>
      <c r="D640">
        <v>42</v>
      </c>
      <c r="E640">
        <v>1.196428571428571</v>
      </c>
      <c r="F640">
        <v>0.05970149253731343</v>
      </c>
      <c r="G640">
        <v>-0.03523254478121962</v>
      </c>
      <c r="H640">
        <v>0.08</v>
      </c>
      <c r="I640">
        <v>0.09226720807903654</v>
      </c>
      <c r="J640" t="s">
        <v>778</v>
      </c>
      <c r="K640" t="s">
        <v>513</v>
      </c>
      <c r="L640">
        <v>3</v>
      </c>
      <c r="M640">
        <v>3</v>
      </c>
      <c r="N640">
        <v>1</v>
      </c>
      <c r="O640">
        <v>0</v>
      </c>
      <c r="P640">
        <v>0.03012896281839894</v>
      </c>
      <c r="Q640">
        <v>0.557153764221281</v>
      </c>
      <c r="R640" t="s">
        <v>782</v>
      </c>
      <c r="S640" t="s">
        <v>794</v>
      </c>
      <c r="T640">
        <v>3707.357259</v>
      </c>
      <c r="U640" s="2">
        <v>44522</v>
      </c>
      <c r="V640" t="s">
        <v>798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28.15</v>
      </c>
      <c r="D641">
        <v>27.05</v>
      </c>
      <c r="E641">
        <v>1.040665434380776</v>
      </c>
      <c r="F641">
        <v>0.03552397868561279</v>
      </c>
      <c r="G641">
        <v>-0.007940377184384007</v>
      </c>
      <c r="H641">
        <v>0.07000000000000001</v>
      </c>
      <c r="I641">
        <v>0.09220138091622077</v>
      </c>
      <c r="J641" t="s">
        <v>778</v>
      </c>
      <c r="K641" t="s">
        <v>513</v>
      </c>
      <c r="L641">
        <v>1.48</v>
      </c>
      <c r="M641">
        <v>1</v>
      </c>
      <c r="N641">
        <v>0.6756756756756757</v>
      </c>
      <c r="O641">
        <v>2</v>
      </c>
      <c r="P641">
        <v>0.05061112176150684</v>
      </c>
      <c r="Q641">
        <v>0.477995167689558</v>
      </c>
      <c r="R641" t="s">
        <v>782</v>
      </c>
      <c r="S641" t="s">
        <v>794</v>
      </c>
      <c r="T641">
        <v>3428.382908</v>
      </c>
      <c r="U641" s="2">
        <v>44508</v>
      </c>
      <c r="V641" t="s">
        <v>801</v>
      </c>
    </row>
    <row r="642" spans="1:22">
      <c r="A642" s="1" t="s">
        <v>662</v>
      </c>
      <c r="B642">
        <f>HYPERLINK("https://www.suredividend.com/sure-analysis-ILPT/","Industrial Logistics Properties Trust")</f>
        <v>0</v>
      </c>
      <c r="C642">
        <v>22.61</v>
      </c>
      <c r="D642">
        <v>24</v>
      </c>
      <c r="E642">
        <v>0.9420833333333333</v>
      </c>
      <c r="F642">
        <v>0.05838124723573641</v>
      </c>
      <c r="G642">
        <v>0.01200378280876557</v>
      </c>
      <c r="H642">
        <v>0.03</v>
      </c>
      <c r="I642">
        <v>0.09030466925635849</v>
      </c>
      <c r="J642" t="s">
        <v>778</v>
      </c>
      <c r="K642" t="s">
        <v>372</v>
      </c>
      <c r="L642">
        <v>1.87</v>
      </c>
      <c r="M642">
        <v>1.32</v>
      </c>
      <c r="N642">
        <v>0.7058823529411765</v>
      </c>
      <c r="O642">
        <v>0</v>
      </c>
      <c r="P642">
        <v>0.02036554426441151</v>
      </c>
      <c r="Q642">
        <v>0.112707783128786</v>
      </c>
      <c r="R642" t="s">
        <v>782</v>
      </c>
      <c r="S642" t="s">
        <v>794</v>
      </c>
      <c r="T642">
        <v>1499.073249</v>
      </c>
      <c r="U642" s="2">
        <v>44498</v>
      </c>
      <c r="V642" t="s">
        <v>795</v>
      </c>
    </row>
    <row r="643" spans="1:22">
      <c r="A643" s="1" t="s">
        <v>663</v>
      </c>
      <c r="B643">
        <f>HYPERLINK("https://www.suredividend.com/sure-analysis-UMH/","UMH Properties Inc")</f>
        <v>0</v>
      </c>
      <c r="C643">
        <v>23.56</v>
      </c>
      <c r="D643">
        <v>25.7</v>
      </c>
      <c r="E643">
        <v>0.9167315175097276</v>
      </c>
      <c r="F643">
        <v>0.03225806451612903</v>
      </c>
      <c r="G643">
        <v>0.01754018012731828</v>
      </c>
      <c r="H643">
        <v>0.045</v>
      </c>
      <c r="I643">
        <v>0.08992440712569993</v>
      </c>
      <c r="J643" t="s">
        <v>778</v>
      </c>
      <c r="K643" t="s">
        <v>513</v>
      </c>
      <c r="L643">
        <v>0.89</v>
      </c>
      <c r="M643">
        <v>0.76</v>
      </c>
      <c r="N643">
        <v>0.8539325842696629</v>
      </c>
      <c r="O643">
        <v>1</v>
      </c>
      <c r="P643">
        <v>0.03439350143683439</v>
      </c>
      <c r="Q643">
        <v>0.6898262307446841</v>
      </c>
      <c r="R643" t="s">
        <v>782</v>
      </c>
      <c r="S643" t="s">
        <v>794</v>
      </c>
      <c r="T643">
        <v>1142.033027</v>
      </c>
      <c r="U643" s="2">
        <v>44509</v>
      </c>
      <c r="V643" t="s">
        <v>805</v>
      </c>
    </row>
    <row r="644" spans="1:22">
      <c r="A644" s="1" t="s">
        <v>664</v>
      </c>
      <c r="B644">
        <f>HYPERLINK("https://www.suredividend.com/sure-analysis-VST/","Vistra Corp")</f>
        <v>0</v>
      </c>
      <c r="C644">
        <v>20.62</v>
      </c>
      <c r="D644">
        <v>19</v>
      </c>
      <c r="E644">
        <v>1.085263157894737</v>
      </c>
      <c r="F644">
        <v>0.02909796314258002</v>
      </c>
      <c r="G644">
        <v>-0.01623132887146639</v>
      </c>
      <c r="H644">
        <v>0.08</v>
      </c>
      <c r="I644">
        <v>0.08991767733780542</v>
      </c>
      <c r="J644" t="s">
        <v>778</v>
      </c>
      <c r="K644" t="s">
        <v>778</v>
      </c>
      <c r="L644">
        <v>-0.55</v>
      </c>
      <c r="M644">
        <v>0.6</v>
      </c>
      <c r="N644">
        <v>9.99</v>
      </c>
      <c r="O644">
        <v>2</v>
      </c>
      <c r="P644">
        <v>0.0796084730466029</v>
      </c>
      <c r="Q644">
        <v>0.150670941019603</v>
      </c>
      <c r="R644" t="s">
        <v>780</v>
      </c>
      <c r="S644" t="s">
        <v>792</v>
      </c>
      <c r="T644">
        <v>9787.686105999999</v>
      </c>
      <c r="U644" s="2">
        <v>44515</v>
      </c>
      <c r="V644" t="s">
        <v>801</v>
      </c>
    </row>
    <row r="645" spans="1:22">
      <c r="A645" s="1" t="s">
        <v>665</v>
      </c>
      <c r="B645">
        <f>HYPERLINK("https://www.suredividend.com/sure-analysis-AAT/","American Assets Trust Inc")</f>
        <v>0</v>
      </c>
      <c r="C645">
        <v>38</v>
      </c>
      <c r="D645">
        <v>38</v>
      </c>
      <c r="E645">
        <v>1</v>
      </c>
      <c r="F645">
        <v>0.03157894736842105</v>
      </c>
      <c r="G645">
        <v>0</v>
      </c>
      <c r="H645">
        <v>0.06</v>
      </c>
      <c r="I645">
        <v>0.08753859823151044</v>
      </c>
      <c r="J645" t="s">
        <v>778</v>
      </c>
      <c r="K645" t="s">
        <v>513</v>
      </c>
      <c r="L645">
        <v>1.92</v>
      </c>
      <c r="M645">
        <v>1.2</v>
      </c>
      <c r="N645">
        <v>0.625</v>
      </c>
      <c r="O645">
        <v>1</v>
      </c>
      <c r="P645">
        <v>0.04978904632428516</v>
      </c>
      <c r="Q645">
        <v>0.3666791972702561</v>
      </c>
      <c r="R645" t="s">
        <v>782</v>
      </c>
      <c r="S645" t="s">
        <v>794</v>
      </c>
      <c r="T645">
        <v>2286.448778</v>
      </c>
      <c r="U645" s="2">
        <v>44502</v>
      </c>
      <c r="V645" t="s">
        <v>803</v>
      </c>
    </row>
    <row r="646" spans="1:22">
      <c r="A646" s="1" t="s">
        <v>666</v>
      </c>
      <c r="B646">
        <f>HYPERLINK("https://www.suredividend.com/sure-analysis-CWCO/","Consolidated Water Co. Ltd.")</f>
        <v>0</v>
      </c>
      <c r="C646">
        <v>11.35</v>
      </c>
      <c r="D646">
        <v>12.4</v>
      </c>
      <c r="E646">
        <v>0.9153225806451613</v>
      </c>
      <c r="F646">
        <v>0.02995594713656388</v>
      </c>
      <c r="G646">
        <v>0.01785324308473779</v>
      </c>
      <c r="H646">
        <v>0.042</v>
      </c>
      <c r="I646">
        <v>0.08732067290990631</v>
      </c>
      <c r="J646" t="s">
        <v>778</v>
      </c>
      <c r="K646" t="s">
        <v>778</v>
      </c>
      <c r="L646">
        <v>0.33</v>
      </c>
      <c r="M646">
        <v>0.34</v>
      </c>
      <c r="N646">
        <v>1.03030303030303</v>
      </c>
      <c r="O646">
        <v>0</v>
      </c>
      <c r="P646">
        <v>0.0576615571948691</v>
      </c>
      <c r="Q646">
        <v>0.052272076945087</v>
      </c>
      <c r="R646" t="s">
        <v>780</v>
      </c>
      <c r="S646" t="s">
        <v>792</v>
      </c>
      <c r="T646">
        <v>173.401969</v>
      </c>
      <c r="U646" s="2">
        <v>44517</v>
      </c>
      <c r="V646" t="s">
        <v>805</v>
      </c>
    </row>
    <row r="647" spans="1:22">
      <c r="A647" s="1" t="s">
        <v>667</v>
      </c>
      <c r="B647">
        <f>HYPERLINK("https://www.suredividend.com/sure-analysis-WSO/","Watsco Inc.")</f>
        <v>0</v>
      </c>
      <c r="C647">
        <v>306.92</v>
      </c>
      <c r="D647">
        <v>257</v>
      </c>
      <c r="E647">
        <v>1.194241245136187</v>
      </c>
      <c r="F647">
        <v>0.02541378860940962</v>
      </c>
      <c r="G647">
        <v>-0.03487939722465161</v>
      </c>
      <c r="H647">
        <v>0.1</v>
      </c>
      <c r="I647">
        <v>0.08723610546283456</v>
      </c>
      <c r="J647" t="s">
        <v>778</v>
      </c>
      <c r="K647" t="s">
        <v>778</v>
      </c>
      <c r="L647">
        <v>10.29</v>
      </c>
      <c r="M647">
        <v>7.8</v>
      </c>
      <c r="N647">
        <v>0.7580174927113703</v>
      </c>
      <c r="O647">
        <v>8</v>
      </c>
      <c r="P647">
        <v>0.0999653567765697</v>
      </c>
      <c r="Q647">
        <v>0.358382297022647</v>
      </c>
      <c r="R647" t="s">
        <v>782</v>
      </c>
      <c r="S647" t="s">
        <v>794</v>
      </c>
      <c r="T647">
        <v>11862.34528</v>
      </c>
      <c r="U647" s="2">
        <v>44490</v>
      </c>
      <c r="V647" t="s">
        <v>796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22.54</v>
      </c>
      <c r="D648">
        <v>21</v>
      </c>
      <c r="E648">
        <v>1.073333333333333</v>
      </c>
      <c r="F648">
        <v>0.03549245785270631</v>
      </c>
      <c r="G648">
        <v>-0.01405411985563831</v>
      </c>
      <c r="H648">
        <v>0.07000000000000001</v>
      </c>
      <c r="I648">
        <v>0.08627628124284681</v>
      </c>
      <c r="J648" t="s">
        <v>778</v>
      </c>
      <c r="K648" t="s">
        <v>513</v>
      </c>
      <c r="L648">
        <v>0.9399999999999999</v>
      </c>
      <c r="M648">
        <v>0.8</v>
      </c>
      <c r="N648">
        <v>0.8510638297872342</v>
      </c>
      <c r="O648">
        <v>1</v>
      </c>
      <c r="P648">
        <v>0.04978904632428516</v>
      </c>
      <c r="Q648">
        <v>0.316002497860628</v>
      </c>
      <c r="R648" t="s">
        <v>782</v>
      </c>
      <c r="S648" t="s">
        <v>794</v>
      </c>
      <c r="T648">
        <v>901.8632700000001</v>
      </c>
      <c r="U648" s="2">
        <v>44502</v>
      </c>
      <c r="V648" t="s">
        <v>801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32.52</v>
      </c>
      <c r="D649">
        <v>32</v>
      </c>
      <c r="E649">
        <v>1.01625</v>
      </c>
      <c r="F649">
        <v>0.03720787207872078</v>
      </c>
      <c r="G649">
        <v>-0.003218685266529686</v>
      </c>
      <c r="H649">
        <v>0.06</v>
      </c>
      <c r="I649">
        <v>0.08567875007239456</v>
      </c>
      <c r="J649" t="s">
        <v>778</v>
      </c>
      <c r="K649" t="s">
        <v>513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0.103791030975497</v>
      </c>
      <c r="R649" t="s">
        <v>782</v>
      </c>
      <c r="S649" t="s">
        <v>794</v>
      </c>
      <c r="T649">
        <v>4790.683285</v>
      </c>
      <c r="U649" s="2">
        <v>44513</v>
      </c>
      <c r="V649" t="s">
        <v>801</v>
      </c>
    </row>
    <row r="650" spans="1:22">
      <c r="A650" s="1" t="s">
        <v>670</v>
      </c>
      <c r="B650">
        <f>HYPERLINK("https://www.suredividend.com/sure-analysis-KREF/","KKR Real Estate Finance Trust Inc")</f>
        <v>0</v>
      </c>
      <c r="C650">
        <v>21.3</v>
      </c>
      <c r="D650">
        <v>21.53</v>
      </c>
      <c r="E650">
        <v>0.9893172317696237</v>
      </c>
      <c r="F650">
        <v>0.08075117370892018</v>
      </c>
      <c r="G650">
        <v>0.002150356439483581</v>
      </c>
      <c r="H650">
        <v>0.015</v>
      </c>
      <c r="I650">
        <v>0.08523162530667738</v>
      </c>
      <c r="J650" t="s">
        <v>778</v>
      </c>
      <c r="K650" t="s">
        <v>372</v>
      </c>
      <c r="L650">
        <v>2.05</v>
      </c>
      <c r="M650">
        <v>1.72</v>
      </c>
      <c r="N650">
        <v>0.8390243902439025</v>
      </c>
      <c r="O650">
        <v>0</v>
      </c>
      <c r="P650">
        <v>0.01025271344829148</v>
      </c>
      <c r="Q650">
        <v>0.302018704034381</v>
      </c>
      <c r="R650" t="s">
        <v>782</v>
      </c>
      <c r="S650" t="s">
        <v>794</v>
      </c>
      <c r="T650">
        <v>1200.760689</v>
      </c>
      <c r="U650" s="2">
        <v>44495</v>
      </c>
      <c r="V650" t="s">
        <v>795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44.63</v>
      </c>
      <c r="D651">
        <v>43</v>
      </c>
      <c r="E651">
        <v>1.037906976744186</v>
      </c>
      <c r="F651">
        <v>0.03898722832175666</v>
      </c>
      <c r="G651">
        <v>-0.007413615163319065</v>
      </c>
      <c r="H651">
        <v>0.06</v>
      </c>
      <c r="I651">
        <v>0.08392566743104579</v>
      </c>
      <c r="J651" t="s">
        <v>778</v>
      </c>
      <c r="K651" t="s">
        <v>513</v>
      </c>
      <c r="L651">
        <v>2.21</v>
      </c>
      <c r="M651">
        <v>1.74</v>
      </c>
      <c r="N651">
        <v>0.7873303167420814</v>
      </c>
      <c r="O651">
        <v>6</v>
      </c>
      <c r="P651">
        <v>0.01988310171094443</v>
      </c>
      <c r="Q651">
        <v>0.018222634550848</v>
      </c>
      <c r="R651" t="s">
        <v>782</v>
      </c>
      <c r="S651" t="s">
        <v>794</v>
      </c>
      <c r="T651">
        <v>1110.472392</v>
      </c>
      <c r="U651" s="2">
        <v>44508</v>
      </c>
      <c r="V651" t="s">
        <v>801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15.2758</v>
      </c>
      <c r="D652">
        <v>15</v>
      </c>
      <c r="E652">
        <v>1.018386666666667</v>
      </c>
      <c r="F652">
        <v>0.07070006153523875</v>
      </c>
      <c r="G652">
        <v>-0.003637304073719871</v>
      </c>
      <c r="H652">
        <v>0.03</v>
      </c>
      <c r="I652">
        <v>0.08328987606546123</v>
      </c>
      <c r="J652" t="s">
        <v>778</v>
      </c>
      <c r="K652" t="s">
        <v>372</v>
      </c>
      <c r="L652">
        <v>1.1</v>
      </c>
      <c r="M652">
        <v>1.08</v>
      </c>
      <c r="N652">
        <v>0.9818181818181818</v>
      </c>
      <c r="O652">
        <v>0</v>
      </c>
      <c r="P652">
        <v>0</v>
      </c>
      <c r="Q652">
        <v>0.021988231650665</v>
      </c>
      <c r="R652" t="s">
        <v>780</v>
      </c>
      <c r="S652" t="s">
        <v>784</v>
      </c>
      <c r="T652">
        <v>43318.209544</v>
      </c>
      <c r="U652" s="2">
        <v>44429</v>
      </c>
      <c r="V652" t="s">
        <v>798</v>
      </c>
    </row>
    <row r="653" spans="1:22">
      <c r="A653" s="1" t="s">
        <v>673</v>
      </c>
      <c r="B653">
        <f>HYPERLINK("https://www.suredividend.com/sure-analysis-EXR/","Extra Space Storage Inc.")</f>
        <v>0</v>
      </c>
      <c r="C653">
        <v>200.39</v>
      </c>
      <c r="D653">
        <v>150</v>
      </c>
      <c r="E653">
        <v>1.335933333333333</v>
      </c>
      <c r="F653">
        <v>0.0249513448774889</v>
      </c>
      <c r="G653">
        <v>-0.05628025266243775</v>
      </c>
      <c r="H653">
        <v>0.12</v>
      </c>
      <c r="I653">
        <v>0.08327343694837763</v>
      </c>
      <c r="J653" t="s">
        <v>778</v>
      </c>
      <c r="K653" t="s">
        <v>513</v>
      </c>
      <c r="L653">
        <v>6.8</v>
      </c>
      <c r="M653">
        <v>5</v>
      </c>
      <c r="N653">
        <v>0.7352941176470589</v>
      </c>
      <c r="O653">
        <v>12</v>
      </c>
      <c r="P653">
        <v>0.1101240567487265</v>
      </c>
      <c r="Q653">
        <v>0.8260243640429401</v>
      </c>
      <c r="R653" t="s">
        <v>782</v>
      </c>
      <c r="S653" t="s">
        <v>794</v>
      </c>
      <c r="T653">
        <v>26764.97162</v>
      </c>
      <c r="U653" s="2">
        <v>44500</v>
      </c>
      <c r="V653" t="s">
        <v>795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23.73</v>
      </c>
      <c r="D654">
        <v>21</v>
      </c>
      <c r="E654">
        <v>1.13</v>
      </c>
      <c r="F654">
        <v>0.06784660766961652</v>
      </c>
      <c r="G654">
        <v>-0.02414720285851069</v>
      </c>
      <c r="H654">
        <v>0.05</v>
      </c>
      <c r="I654">
        <v>0.08300593697160763</v>
      </c>
      <c r="J654" t="s">
        <v>778</v>
      </c>
      <c r="K654" t="s">
        <v>372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0.044928825622775</v>
      </c>
      <c r="R654" t="s">
        <v>780</v>
      </c>
      <c r="S654" t="s">
        <v>790</v>
      </c>
      <c r="T654">
        <v>29832.046872</v>
      </c>
      <c r="U654" s="2">
        <v>44503</v>
      </c>
      <c r="V654" t="s">
        <v>795</v>
      </c>
    </row>
    <row r="655" spans="1:22">
      <c r="A655" s="1" t="s">
        <v>675</v>
      </c>
      <c r="B655">
        <f>HYPERLINK("https://www.suredividend.com/sure-analysis-CBRL/","Cracker Barrel Old Country Store Inc")</f>
        <v>0</v>
      </c>
      <c r="C655">
        <v>130.45</v>
      </c>
      <c r="D655">
        <v>128</v>
      </c>
      <c r="E655">
        <v>1.019140625</v>
      </c>
      <c r="F655">
        <v>0.03986201609812189</v>
      </c>
      <c r="G655">
        <v>-0.003784769170718905</v>
      </c>
      <c r="H655">
        <v>0.052</v>
      </c>
      <c r="I655">
        <v>0.0818040159123159</v>
      </c>
      <c r="J655" t="s">
        <v>778</v>
      </c>
      <c r="K655" t="s">
        <v>372</v>
      </c>
      <c r="L655">
        <v>8.52</v>
      </c>
      <c r="M655">
        <v>5.2</v>
      </c>
      <c r="N655">
        <v>0.6103286384976526</v>
      </c>
      <c r="O655">
        <v>0</v>
      </c>
      <c r="P655">
        <v>0.02903366107118788</v>
      </c>
      <c r="Q655">
        <v>0.044689410243013</v>
      </c>
      <c r="R655" t="s">
        <v>780</v>
      </c>
      <c r="S655" t="s">
        <v>789</v>
      </c>
      <c r="T655">
        <v>3361.255792</v>
      </c>
      <c r="U655" s="2">
        <v>44466</v>
      </c>
      <c r="V655" t="s">
        <v>805</v>
      </c>
    </row>
    <row r="656" spans="1:22">
      <c r="A656" s="1" t="s">
        <v>676</v>
      </c>
      <c r="B656">
        <f>HYPERLINK("https://www.suredividend.com/sure-analysis-PMT/","Pennymac Mortgage Investment Trust")</f>
        <v>0</v>
      </c>
      <c r="C656">
        <v>18.47</v>
      </c>
      <c r="D656">
        <v>17</v>
      </c>
      <c r="E656">
        <v>1.086470588235294</v>
      </c>
      <c r="F656">
        <v>0.1017866811044938</v>
      </c>
      <c r="G656">
        <v>-0.01645008500486655</v>
      </c>
      <c r="H656">
        <v>0.01</v>
      </c>
      <c r="I656">
        <v>0.08102225978483868</v>
      </c>
      <c r="J656" t="s">
        <v>778</v>
      </c>
      <c r="K656" t="s">
        <v>372</v>
      </c>
      <c r="L656">
        <v>1.9</v>
      </c>
      <c r="M656">
        <v>1.88</v>
      </c>
      <c r="N656">
        <v>0.9894736842105263</v>
      </c>
      <c r="O656">
        <v>1</v>
      </c>
      <c r="P656">
        <v>0</v>
      </c>
      <c r="Q656">
        <v>0.18732909410947</v>
      </c>
      <c r="R656" t="s">
        <v>782</v>
      </c>
      <c r="S656" t="s">
        <v>790</v>
      </c>
      <c r="T656">
        <v>1773.282366</v>
      </c>
      <c r="U656" s="2">
        <v>44512</v>
      </c>
      <c r="V656" t="s">
        <v>801</v>
      </c>
    </row>
    <row r="657" spans="1:22">
      <c r="A657" s="1" t="s">
        <v>677</v>
      </c>
      <c r="B657">
        <f>HYPERLINK("https://www.suredividend.com/sure-analysis-MRCC/","Monroe Capital Corp")</f>
        <v>0</v>
      </c>
      <c r="C657">
        <v>11.45</v>
      </c>
      <c r="D657">
        <v>11.6</v>
      </c>
      <c r="E657">
        <v>0.9870689655172413</v>
      </c>
      <c r="F657">
        <v>0.08733624454148473</v>
      </c>
      <c r="G657">
        <v>0.002606464560204413</v>
      </c>
      <c r="H657">
        <v>0</v>
      </c>
      <c r="I657">
        <v>0.08092770999979138</v>
      </c>
      <c r="J657" t="s">
        <v>778</v>
      </c>
      <c r="K657" t="s">
        <v>777</v>
      </c>
      <c r="L657">
        <v>1.45</v>
      </c>
      <c r="M657">
        <v>1</v>
      </c>
      <c r="N657">
        <v>0.6896551724137931</v>
      </c>
      <c r="O657">
        <v>0</v>
      </c>
      <c r="P657">
        <v>0.01924487649145656</v>
      </c>
      <c r="Q657">
        <v>0.586376937249377</v>
      </c>
      <c r="R657" t="s">
        <v>783</v>
      </c>
      <c r="S657" t="s">
        <v>790</v>
      </c>
      <c r="T657">
        <v>252.274853</v>
      </c>
      <c r="U657" s="2">
        <v>44507</v>
      </c>
      <c r="V657" t="s">
        <v>795</v>
      </c>
    </row>
    <row r="658" spans="1:22">
      <c r="A658" s="1" t="s">
        <v>678</v>
      </c>
      <c r="B658">
        <f>HYPERLINK("https://www.suredividend.com/sure-analysis-NRZ/","New Residential Investment Corp")</f>
        <v>0</v>
      </c>
      <c r="C658">
        <v>11.19</v>
      </c>
      <c r="D658">
        <v>10</v>
      </c>
      <c r="E658">
        <v>1.119</v>
      </c>
      <c r="F658">
        <v>0.08936550491510277</v>
      </c>
      <c r="G658">
        <v>-0.02223613591459395</v>
      </c>
      <c r="H658">
        <v>0.02</v>
      </c>
      <c r="I658">
        <v>0.08091191359001093</v>
      </c>
      <c r="J658" t="s">
        <v>778</v>
      </c>
      <c r="K658" t="s">
        <v>777</v>
      </c>
      <c r="L658">
        <v>1.3</v>
      </c>
      <c r="M658">
        <v>1</v>
      </c>
      <c r="N658">
        <v>0.7692307692307692</v>
      </c>
      <c r="O658">
        <v>1</v>
      </c>
      <c r="P658">
        <v>0.03012896281839894</v>
      </c>
      <c r="Q658">
        <v>0.279076413099388</v>
      </c>
      <c r="R658" t="s">
        <v>782</v>
      </c>
      <c r="S658" t="s">
        <v>794</v>
      </c>
      <c r="T658">
        <v>5221.029305</v>
      </c>
      <c r="U658" s="2">
        <v>44503</v>
      </c>
      <c r="V658" t="s">
        <v>800</v>
      </c>
    </row>
    <row r="659" spans="1:22">
      <c r="A659" s="1" t="s">
        <v>679</v>
      </c>
      <c r="B659">
        <f>HYPERLINK("https://www.suredividend.com/sure-analysis-CORR/","CorEnergy Infrastructure Trust Inc")</f>
        <v>0</v>
      </c>
      <c r="C659">
        <v>4.2</v>
      </c>
      <c r="D659">
        <v>4.69</v>
      </c>
      <c r="E659">
        <v>0.8955223880597014</v>
      </c>
      <c r="F659">
        <v>0.04761904761904762</v>
      </c>
      <c r="G659">
        <v>0.02231494680276813</v>
      </c>
      <c r="H659">
        <v>0.02</v>
      </c>
      <c r="I659">
        <v>0.08024353659299766</v>
      </c>
      <c r="J659" t="s">
        <v>778</v>
      </c>
      <c r="K659" t="s">
        <v>513</v>
      </c>
      <c r="L659">
        <v>-1.19</v>
      </c>
      <c r="M659">
        <v>0.2</v>
      </c>
      <c r="N659">
        <v>9.99</v>
      </c>
      <c r="O659">
        <v>0</v>
      </c>
      <c r="P659">
        <v>0</v>
      </c>
      <c r="Q659">
        <v>-0.181588703952039</v>
      </c>
      <c r="R659" t="s">
        <v>780</v>
      </c>
      <c r="S659" t="s">
        <v>794</v>
      </c>
      <c r="T659">
        <v>61.697216</v>
      </c>
      <c r="U659" s="2">
        <v>44514</v>
      </c>
      <c r="V659" t="s">
        <v>796</v>
      </c>
    </row>
    <row r="660" spans="1:22">
      <c r="A660" s="1" t="s">
        <v>680</v>
      </c>
      <c r="B660">
        <f>HYPERLINK("https://www.suredividend.com/sure-analysis-NLY/","Annaly Capital Management Inc")</f>
        <v>0</v>
      </c>
      <c r="C660">
        <v>8.43</v>
      </c>
      <c r="D660">
        <v>7.8</v>
      </c>
      <c r="E660">
        <v>1.080769230769231</v>
      </c>
      <c r="F660">
        <v>0.1043890865954923</v>
      </c>
      <c r="G660">
        <v>-0.01541456803934571</v>
      </c>
      <c r="H660">
        <v>-0.004</v>
      </c>
      <c r="I660">
        <v>0.08022090799452397</v>
      </c>
      <c r="J660" t="s">
        <v>778</v>
      </c>
      <c r="K660" t="s">
        <v>777</v>
      </c>
      <c r="L660">
        <v>1.12</v>
      </c>
      <c r="M660">
        <v>0.88</v>
      </c>
      <c r="N660">
        <v>0.7857142857142857</v>
      </c>
      <c r="O660">
        <v>0</v>
      </c>
      <c r="P660">
        <v>0.02589630491023409</v>
      </c>
      <c r="Q660">
        <v>0.175233153355304</v>
      </c>
      <c r="R660" t="s">
        <v>782</v>
      </c>
      <c r="S660" t="s">
        <v>794</v>
      </c>
      <c r="T660">
        <v>12152.011365</v>
      </c>
      <c r="U660" s="2">
        <v>44503</v>
      </c>
      <c r="V660" t="s">
        <v>805</v>
      </c>
    </row>
    <row r="661" spans="1:22">
      <c r="A661" s="1" t="s">
        <v>681</v>
      </c>
      <c r="B661">
        <f>HYPERLINK("https://www.suredividend.com/sure-analysis-ACRE/","Ares Commercial Real Estate Corp")</f>
        <v>0</v>
      </c>
      <c r="C661">
        <v>15.48</v>
      </c>
      <c r="D661">
        <v>15.87</v>
      </c>
      <c r="E661">
        <v>0.9754253308128545</v>
      </c>
      <c r="F661">
        <v>0.08527131782945736</v>
      </c>
      <c r="G661">
        <v>0.004988735786255916</v>
      </c>
      <c r="H661">
        <v>0</v>
      </c>
      <c r="I661">
        <v>0.07737383279594168</v>
      </c>
      <c r="J661" t="s">
        <v>778</v>
      </c>
      <c r="K661" t="s">
        <v>372</v>
      </c>
      <c r="L661">
        <v>1.38</v>
      </c>
      <c r="M661">
        <v>1.32</v>
      </c>
      <c r="N661">
        <v>0.9565217391304349</v>
      </c>
      <c r="O661">
        <v>0</v>
      </c>
      <c r="P661">
        <v>0</v>
      </c>
      <c r="Q661">
        <v>0.4767068770172611</v>
      </c>
      <c r="R661" t="s">
        <v>782</v>
      </c>
      <c r="S661" t="s">
        <v>794</v>
      </c>
      <c r="T661">
        <v>728.998244</v>
      </c>
      <c r="U661" s="2">
        <v>44506</v>
      </c>
      <c r="V661" t="s">
        <v>795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28.11</v>
      </c>
      <c r="D662">
        <v>29</v>
      </c>
      <c r="E662">
        <v>0.9693103448275862</v>
      </c>
      <c r="F662">
        <v>0.05620775524724297</v>
      </c>
      <c r="G662">
        <v>0.006253561389666595</v>
      </c>
      <c r="H662">
        <v>0.02</v>
      </c>
      <c r="I662">
        <v>0.07658360138050968</v>
      </c>
      <c r="J662" t="s">
        <v>778</v>
      </c>
      <c r="K662" t="s">
        <v>372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0.516679086485775</v>
      </c>
      <c r="R662" t="s">
        <v>780</v>
      </c>
      <c r="S662" t="s">
        <v>793</v>
      </c>
      <c r="T662">
        <v>49901.432696</v>
      </c>
      <c r="U662" s="2">
        <v>44502</v>
      </c>
      <c r="V662" t="s">
        <v>803</v>
      </c>
    </row>
    <row r="663" spans="1:22">
      <c r="A663" s="1" t="s">
        <v>683</v>
      </c>
      <c r="B663">
        <f>HYPERLINK("https://www.suredividend.com/sure-analysis-NMFC/","New Mountain Finance Corp")</f>
        <v>0</v>
      </c>
      <c r="C663">
        <v>13.59</v>
      </c>
      <c r="D663">
        <v>14</v>
      </c>
      <c r="E663">
        <v>0.9707142857142858</v>
      </c>
      <c r="F663">
        <v>0.08830022075055187</v>
      </c>
      <c r="G663">
        <v>0.005962324610073289</v>
      </c>
      <c r="H663">
        <v>-0.005</v>
      </c>
      <c r="I663">
        <v>0.07558315798025017</v>
      </c>
      <c r="J663" t="s">
        <v>778</v>
      </c>
      <c r="K663" t="s">
        <v>372</v>
      </c>
      <c r="L663">
        <v>1.25</v>
      </c>
      <c r="M663">
        <v>1.2</v>
      </c>
      <c r="N663">
        <v>0.96</v>
      </c>
      <c r="O663">
        <v>0</v>
      </c>
      <c r="P663">
        <v>-0.005050763379468082</v>
      </c>
      <c r="Q663">
        <v>0.324304133963307</v>
      </c>
      <c r="R663" t="s">
        <v>783</v>
      </c>
      <c r="S663" t="s">
        <v>790</v>
      </c>
      <c r="T663">
        <v>1322.780386</v>
      </c>
      <c r="U663" s="2">
        <v>44509</v>
      </c>
      <c r="V663" t="s">
        <v>795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15.13</v>
      </c>
      <c r="D664">
        <v>15.6</v>
      </c>
      <c r="E664">
        <v>0.969871794871795</v>
      </c>
      <c r="F664">
        <v>0.07666886979510905</v>
      </c>
      <c r="G664">
        <v>0.006137032179243107</v>
      </c>
      <c r="H664">
        <v>0</v>
      </c>
      <c r="I664">
        <v>0.07180300186616217</v>
      </c>
      <c r="J664" t="s">
        <v>778</v>
      </c>
      <c r="K664" t="s">
        <v>372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0.172177032752915</v>
      </c>
      <c r="R664" t="s">
        <v>783</v>
      </c>
      <c r="S664" t="s">
        <v>790</v>
      </c>
      <c r="T664">
        <v>2564.342152</v>
      </c>
      <c r="U664" s="2">
        <v>44418</v>
      </c>
      <c r="V664" t="s">
        <v>795</v>
      </c>
    </row>
    <row r="665" spans="1:22">
      <c r="A665" s="1" t="s">
        <v>685</v>
      </c>
      <c r="B665">
        <f>HYPERLINK("https://www.suredividend.com/sure-analysis-EIC/","Eagle Point Income Company Inc")</f>
        <v>0</v>
      </c>
      <c r="C665">
        <v>17.63</v>
      </c>
      <c r="D665">
        <v>15.86</v>
      </c>
      <c r="E665">
        <v>1.111601513240857</v>
      </c>
      <c r="F665">
        <v>0.07543959160521839</v>
      </c>
      <c r="G665">
        <v>-0.02093804651741971</v>
      </c>
      <c r="H665">
        <v>0.02</v>
      </c>
      <c r="I665">
        <v>0.07168383680789381</v>
      </c>
      <c r="J665" t="s">
        <v>778</v>
      </c>
      <c r="K665" t="s">
        <v>372</v>
      </c>
      <c r="L665">
        <v>1.22</v>
      </c>
      <c r="M665">
        <v>1.33</v>
      </c>
      <c r="N665">
        <v>1.090163934426229</v>
      </c>
      <c r="O665">
        <v>1</v>
      </c>
      <c r="P665">
        <v>0.03635631157614205</v>
      </c>
      <c r="Q665">
        <v>0.415813374408414</v>
      </c>
      <c r="R665" t="s">
        <v>780</v>
      </c>
      <c r="S665" t="s">
        <v>790</v>
      </c>
      <c r="T665">
        <v>108.328565</v>
      </c>
      <c r="U665" s="2">
        <v>44517</v>
      </c>
      <c r="V665" t="s">
        <v>795</v>
      </c>
    </row>
    <row r="666" spans="1:22">
      <c r="A666" s="1" t="s">
        <v>686</v>
      </c>
      <c r="B666">
        <f>HYPERLINK("https://www.suredividend.com/sure-analysis-SACH/","Sachem Capital Corp")</f>
        <v>0</v>
      </c>
      <c r="C666">
        <v>5.83</v>
      </c>
      <c r="D666">
        <v>5.26</v>
      </c>
      <c r="E666">
        <v>1.108365019011407</v>
      </c>
      <c r="F666">
        <v>0.08233276157804459</v>
      </c>
      <c r="G666">
        <v>-0.02036692894751346</v>
      </c>
      <c r="H666">
        <v>0.02</v>
      </c>
      <c r="I666">
        <v>0.07079934581314973</v>
      </c>
      <c r="J666" t="s">
        <v>778</v>
      </c>
      <c r="K666" t="s">
        <v>372</v>
      </c>
      <c r="L666">
        <v>0.47</v>
      </c>
      <c r="M666">
        <v>0.48</v>
      </c>
      <c r="N666">
        <v>1.021276595744681</v>
      </c>
      <c r="O666">
        <v>0</v>
      </c>
      <c r="P666">
        <v>0</v>
      </c>
      <c r="Q666">
        <v>0.5618633709085971</v>
      </c>
      <c r="R666" t="s">
        <v>782</v>
      </c>
      <c r="S666" t="s">
        <v>794</v>
      </c>
      <c r="T666">
        <v>169.298504</v>
      </c>
      <c r="U666" s="2">
        <v>44517</v>
      </c>
      <c r="V666" t="s">
        <v>795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41.6</v>
      </c>
      <c r="D667">
        <v>40</v>
      </c>
      <c r="E667">
        <v>1.04</v>
      </c>
      <c r="F667">
        <v>0.05288461538461538</v>
      </c>
      <c r="G667">
        <v>-0.007813457628780496</v>
      </c>
      <c r="H667">
        <v>0.03</v>
      </c>
      <c r="I667">
        <v>0.07019853485589533</v>
      </c>
      <c r="J667" t="s">
        <v>778</v>
      </c>
      <c r="K667" t="s">
        <v>372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0.17949186724789</v>
      </c>
      <c r="R667" t="s">
        <v>780</v>
      </c>
      <c r="S667" t="s">
        <v>785</v>
      </c>
      <c r="T667">
        <v>103866.568025</v>
      </c>
      <c r="U667" s="2">
        <v>44496</v>
      </c>
      <c r="V667" t="s">
        <v>796</v>
      </c>
    </row>
    <row r="668" spans="1:22">
      <c r="A668" s="1" t="s">
        <v>688</v>
      </c>
      <c r="B668">
        <f>HYPERLINK("https://www.suredividend.com/sure-analysis-NEM/","Newmont Corp")</f>
        <v>0</v>
      </c>
      <c r="C668">
        <v>55.49</v>
      </c>
      <c r="D668">
        <v>56</v>
      </c>
      <c r="E668">
        <v>0.9908928571428571</v>
      </c>
      <c r="F668">
        <v>0.03964678320418093</v>
      </c>
      <c r="G668">
        <v>0.001831448336097052</v>
      </c>
      <c r="H668">
        <v>0.03</v>
      </c>
      <c r="I668">
        <v>0.06860471841640359</v>
      </c>
      <c r="J668" t="s">
        <v>778</v>
      </c>
      <c r="K668" t="s">
        <v>513</v>
      </c>
      <c r="L668">
        <v>3.1</v>
      </c>
      <c r="M668">
        <v>2.2</v>
      </c>
      <c r="N668">
        <v>0.7096774193548387</v>
      </c>
      <c r="O668">
        <v>6</v>
      </c>
      <c r="P668">
        <v>0.04026125343417397</v>
      </c>
      <c r="Q668">
        <v>-0.064011484768593</v>
      </c>
      <c r="R668" t="s">
        <v>780</v>
      </c>
      <c r="S668" t="s">
        <v>788</v>
      </c>
      <c r="T668">
        <v>44504.864316</v>
      </c>
      <c r="U668" s="2">
        <v>44502</v>
      </c>
      <c r="V668" t="s">
        <v>800</v>
      </c>
    </row>
    <row r="669" spans="1:22">
      <c r="A669" s="1" t="s">
        <v>689</v>
      </c>
      <c r="B669">
        <f>HYPERLINK("https://www.suredividend.com/sure-analysis-VTR/","Ventas Inc")</f>
        <v>0</v>
      </c>
      <c r="C669">
        <v>51.04</v>
      </c>
      <c r="D669">
        <v>41</v>
      </c>
      <c r="E669">
        <v>1.244878048780488</v>
      </c>
      <c r="F669">
        <v>0.03526645768025079</v>
      </c>
      <c r="G669">
        <v>-0.0428618250048266</v>
      </c>
      <c r="H669">
        <v>0.08</v>
      </c>
      <c r="I669">
        <v>0.06748754463174955</v>
      </c>
      <c r="J669" t="s">
        <v>778</v>
      </c>
      <c r="K669" t="s">
        <v>513</v>
      </c>
      <c r="L669">
        <v>2.9</v>
      </c>
      <c r="M669">
        <v>1.8</v>
      </c>
      <c r="N669">
        <v>0.6206896551724138</v>
      </c>
      <c r="O669">
        <v>0</v>
      </c>
      <c r="P669">
        <v>0.05206626739843068</v>
      </c>
      <c r="Q669">
        <v>0.06762925189556701</v>
      </c>
      <c r="R669" t="s">
        <v>782</v>
      </c>
      <c r="S669" t="s">
        <v>794</v>
      </c>
      <c r="T669">
        <v>20082.539127</v>
      </c>
      <c r="U669" s="2">
        <v>44518</v>
      </c>
      <c r="V669" t="s">
        <v>803</v>
      </c>
    </row>
    <row r="670" spans="1:22">
      <c r="A670" s="1" t="s">
        <v>690</v>
      </c>
      <c r="B670">
        <f>HYPERLINK("https://www.suredividend.com/sure-analysis-ARR/","ARMOUR Residential REIT Inc")</f>
        <v>0</v>
      </c>
      <c r="C670">
        <v>10.08</v>
      </c>
      <c r="D670">
        <v>6.7</v>
      </c>
      <c r="E670">
        <v>1.504477611940298</v>
      </c>
      <c r="F670">
        <v>0.119047619047619</v>
      </c>
      <c r="G670">
        <v>-0.07844161686550555</v>
      </c>
      <c r="H670">
        <v>0.046</v>
      </c>
      <c r="I670">
        <v>0.06685910291666142</v>
      </c>
      <c r="J670" t="s">
        <v>778</v>
      </c>
      <c r="K670" t="s">
        <v>372</v>
      </c>
      <c r="L670">
        <v>0.96</v>
      </c>
      <c r="M670">
        <v>1.2</v>
      </c>
      <c r="N670">
        <v>1.25</v>
      </c>
      <c r="O670">
        <v>0</v>
      </c>
      <c r="P670">
        <v>-0.0263528193848318</v>
      </c>
      <c r="Q670">
        <v>0.070915087956698</v>
      </c>
      <c r="R670" t="s">
        <v>782</v>
      </c>
      <c r="S670" t="s">
        <v>794</v>
      </c>
      <c r="T670">
        <v>908.549864</v>
      </c>
      <c r="U670" s="2">
        <v>44503</v>
      </c>
      <c r="V670" t="s">
        <v>805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16.98</v>
      </c>
      <c r="D671">
        <v>15.76</v>
      </c>
      <c r="E671">
        <v>1.077411167512691</v>
      </c>
      <c r="F671">
        <v>0.07067137809187278</v>
      </c>
      <c r="G671">
        <v>-0.01480158277665489</v>
      </c>
      <c r="H671">
        <v>0.02</v>
      </c>
      <c r="I671">
        <v>0.06624448492814716</v>
      </c>
      <c r="J671" t="s">
        <v>778</v>
      </c>
      <c r="K671" t="s">
        <v>372</v>
      </c>
      <c r="L671">
        <v>1.37</v>
      </c>
      <c r="M671">
        <v>1.2</v>
      </c>
      <c r="N671">
        <v>0.875912408759124</v>
      </c>
      <c r="O671">
        <v>0</v>
      </c>
      <c r="P671">
        <v>0</v>
      </c>
      <c r="Q671">
        <v>0.5291732372155891</v>
      </c>
      <c r="R671" t="s">
        <v>783</v>
      </c>
      <c r="S671" t="s">
        <v>790</v>
      </c>
      <c r="T671">
        <v>346.650314</v>
      </c>
      <c r="U671" s="2">
        <v>44502</v>
      </c>
      <c r="V671" t="s">
        <v>795</v>
      </c>
    </row>
    <row r="672" spans="1:22">
      <c r="A672" s="1" t="s">
        <v>692</v>
      </c>
      <c r="B672">
        <f>HYPERLINK("https://www.suredividend.com/sure-analysis-BEP/","Brookfield Renewable Partners LP")</f>
        <v>0</v>
      </c>
      <c r="C672">
        <v>36.53</v>
      </c>
      <c r="D672">
        <v>32</v>
      </c>
      <c r="E672">
        <v>1.1415625</v>
      </c>
      <c r="F672">
        <v>0.03339720777443198</v>
      </c>
      <c r="G672">
        <v>-0.02613207738722279</v>
      </c>
      <c r="H672">
        <v>0.06</v>
      </c>
      <c r="I672">
        <v>0.06440588265304892</v>
      </c>
      <c r="J672" t="s">
        <v>778</v>
      </c>
      <c r="K672" t="s">
        <v>513</v>
      </c>
      <c r="L672">
        <v>1.9</v>
      </c>
      <c r="M672">
        <v>1.22</v>
      </c>
      <c r="N672">
        <v>0.6421052631578947</v>
      </c>
      <c r="O672">
        <v>0</v>
      </c>
      <c r="P672">
        <v>0.05039574430966676</v>
      </c>
      <c r="Q672">
        <v>0.0007321778818140001</v>
      </c>
      <c r="R672" t="s">
        <v>781</v>
      </c>
      <c r="S672" t="s">
        <v>792</v>
      </c>
      <c r="T672">
        <v>10299.106</v>
      </c>
      <c r="U672" s="2">
        <v>44518</v>
      </c>
      <c r="V672" t="s">
        <v>803</v>
      </c>
    </row>
    <row r="673" spans="1:22">
      <c r="A673" s="1" t="s">
        <v>693</v>
      </c>
      <c r="B673">
        <f>HYPERLINK("https://www.suredividend.com/sure-analysis-VNO/","Vornado Realty Trust")</f>
        <v>0</v>
      </c>
      <c r="C673">
        <v>44.06</v>
      </c>
      <c r="D673">
        <v>42</v>
      </c>
      <c r="E673">
        <v>1.049047619047619</v>
      </c>
      <c r="F673">
        <v>0.04811620517476169</v>
      </c>
      <c r="G673">
        <v>-0.009530835542790217</v>
      </c>
      <c r="H673">
        <v>0.03</v>
      </c>
      <c r="I673">
        <v>0.06349546692931995</v>
      </c>
      <c r="J673" t="s">
        <v>778</v>
      </c>
      <c r="K673" t="s">
        <v>372</v>
      </c>
      <c r="L673">
        <v>2.8</v>
      </c>
      <c r="M673">
        <v>2.12</v>
      </c>
      <c r="N673">
        <v>0.7571428571428572</v>
      </c>
      <c r="O673">
        <v>0</v>
      </c>
      <c r="P673">
        <v>0.01994322923769842</v>
      </c>
      <c r="Q673">
        <v>0.161401680796088</v>
      </c>
      <c r="R673" t="s">
        <v>782</v>
      </c>
      <c r="S673" t="s">
        <v>794</v>
      </c>
      <c r="T673">
        <v>8455.491770000001</v>
      </c>
      <c r="U673" s="2">
        <v>44503</v>
      </c>
      <c r="V673" t="s">
        <v>795</v>
      </c>
    </row>
    <row r="674" spans="1:22">
      <c r="A674" s="1" t="s">
        <v>694</v>
      </c>
      <c r="B674">
        <f>HYPERLINK("https://www.suredividend.com/sure-analysis-XRX/","Xerox Holdings Corp")</f>
        <v>0</v>
      </c>
      <c r="C674">
        <v>20.19</v>
      </c>
      <c r="D674">
        <v>16</v>
      </c>
      <c r="E674">
        <v>1.261875</v>
      </c>
      <c r="F674">
        <v>0.04952947003467063</v>
      </c>
      <c r="G674">
        <v>-0.04545428427378717</v>
      </c>
      <c r="H674">
        <v>0.07000000000000001</v>
      </c>
      <c r="I674">
        <v>0.06329109710653946</v>
      </c>
      <c r="J674" t="s">
        <v>778</v>
      </c>
      <c r="K674" t="s">
        <v>372</v>
      </c>
      <c r="L674">
        <v>1.6</v>
      </c>
      <c r="M674">
        <v>1</v>
      </c>
      <c r="N674">
        <v>0.625</v>
      </c>
      <c r="O674">
        <v>0</v>
      </c>
      <c r="P674">
        <v>0</v>
      </c>
      <c r="Q674">
        <v>-0.052033264667734</v>
      </c>
      <c r="R674" t="s">
        <v>780</v>
      </c>
      <c r="S674" t="s">
        <v>786</v>
      </c>
      <c r="T674">
        <v>3548.819673</v>
      </c>
      <c r="U674" s="2">
        <v>44512</v>
      </c>
      <c r="V674" t="s">
        <v>798</v>
      </c>
    </row>
    <row r="675" spans="1:22">
      <c r="A675" s="1" t="s">
        <v>695</v>
      </c>
      <c r="B675">
        <f>HYPERLINK("https://www.suredividend.com/sure-analysis-PFLT/","PennantPark Floating Rate Capital Ltd")</f>
        <v>0</v>
      </c>
      <c r="C675">
        <v>13.09</v>
      </c>
      <c r="D675">
        <v>12</v>
      </c>
      <c r="E675">
        <v>1.090833333333333</v>
      </c>
      <c r="F675">
        <v>0.08708938120702826</v>
      </c>
      <c r="G675">
        <v>-0.01723808049358189</v>
      </c>
      <c r="H675">
        <v>0.001</v>
      </c>
      <c r="I675">
        <v>0.06292164370214248</v>
      </c>
      <c r="J675" t="s">
        <v>778</v>
      </c>
      <c r="K675" t="s">
        <v>777</v>
      </c>
      <c r="L675">
        <v>1.62</v>
      </c>
      <c r="M675">
        <v>1.14</v>
      </c>
      <c r="N675">
        <v>0.7037037037037036</v>
      </c>
      <c r="O675">
        <v>0</v>
      </c>
      <c r="P675">
        <v>0</v>
      </c>
      <c r="Q675">
        <v>0.401903872480871</v>
      </c>
      <c r="R675" t="s">
        <v>783</v>
      </c>
      <c r="S675" t="s">
        <v>790</v>
      </c>
      <c r="T675">
        <v>513.614417</v>
      </c>
      <c r="U675" s="2">
        <v>44420</v>
      </c>
      <c r="V675" t="s">
        <v>805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9.81</v>
      </c>
      <c r="D676">
        <v>7.8</v>
      </c>
      <c r="E676">
        <v>1.257692307692308</v>
      </c>
      <c r="F676">
        <v>0.0856269113149847</v>
      </c>
      <c r="G676">
        <v>-0.04482022292933074</v>
      </c>
      <c r="H676">
        <v>0.03</v>
      </c>
      <c r="I676">
        <v>0.06184012086238444</v>
      </c>
      <c r="J676" t="s">
        <v>778</v>
      </c>
      <c r="K676" t="s">
        <v>372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0.062115361735725</v>
      </c>
      <c r="R676" t="s">
        <v>782</v>
      </c>
      <c r="S676" t="s">
        <v>794</v>
      </c>
      <c r="T676">
        <v>1303.033898</v>
      </c>
      <c r="U676" s="2">
        <v>44509</v>
      </c>
      <c r="V676" t="s">
        <v>796</v>
      </c>
    </row>
    <row r="677" spans="1:22">
      <c r="A677" s="1" t="s">
        <v>697</v>
      </c>
      <c r="B677">
        <f>HYPERLINK("https://www.suredividend.com/sure-analysis-TSLX/","Sixth Street Specialty Lending Inc")</f>
        <v>0</v>
      </c>
      <c r="C677">
        <v>24.27</v>
      </c>
      <c r="D677">
        <v>21.78</v>
      </c>
      <c r="E677">
        <v>1.114325068870523</v>
      </c>
      <c r="F677">
        <v>0.06757313555830242</v>
      </c>
      <c r="G677">
        <v>-0.0214171060912749</v>
      </c>
      <c r="H677">
        <v>0.02</v>
      </c>
      <c r="I677">
        <v>0.06176588573040154</v>
      </c>
      <c r="J677" t="s">
        <v>778</v>
      </c>
      <c r="K677" t="s">
        <v>372</v>
      </c>
      <c r="L677">
        <v>1.98</v>
      </c>
      <c r="M677">
        <v>1.64</v>
      </c>
      <c r="N677">
        <v>0.8282828282828283</v>
      </c>
      <c r="O677">
        <v>6</v>
      </c>
      <c r="P677">
        <v>0.01992196624507558</v>
      </c>
      <c r="Q677">
        <v>0.392627604692048</v>
      </c>
      <c r="R677" t="s">
        <v>783</v>
      </c>
      <c r="S677" t="s">
        <v>790</v>
      </c>
      <c r="T677">
        <v>1766.184619</v>
      </c>
      <c r="U677" s="2">
        <v>44504</v>
      </c>
      <c r="V677" t="s">
        <v>795</v>
      </c>
    </row>
    <row r="678" spans="1:22">
      <c r="A678" s="1" t="s">
        <v>698</v>
      </c>
      <c r="B678">
        <f>HYPERLINK("https://www.suredividend.com/sure-analysis-IDEXY/","Industria De Diseno Textil SA")</f>
        <v>0</v>
      </c>
      <c r="C678">
        <v>17.98</v>
      </c>
      <c r="D678">
        <v>13.5</v>
      </c>
      <c r="E678">
        <v>1.331851851851852</v>
      </c>
      <c r="F678">
        <v>0.02335928809788654</v>
      </c>
      <c r="G678">
        <v>-0.05570255150148407</v>
      </c>
      <c r="H678">
        <v>0.1</v>
      </c>
      <c r="I678">
        <v>0.06113012483206526</v>
      </c>
      <c r="J678" t="s">
        <v>778</v>
      </c>
      <c r="K678" t="s">
        <v>778</v>
      </c>
      <c r="L678">
        <v>0.54</v>
      </c>
      <c r="M678">
        <v>0.42</v>
      </c>
      <c r="N678">
        <v>0.7777777777777777</v>
      </c>
      <c r="O678">
        <v>0</v>
      </c>
      <c r="P678">
        <v>0.05154749679728043</v>
      </c>
      <c r="Q678">
        <v>0.06843403205918601</v>
      </c>
      <c r="R678" t="s">
        <v>780</v>
      </c>
      <c r="S678" t="s">
        <v>789</v>
      </c>
      <c r="T678">
        <v>108023.15832</v>
      </c>
      <c r="U678" s="2">
        <v>44458</v>
      </c>
      <c r="V678" t="s">
        <v>795</v>
      </c>
    </row>
    <row r="679" spans="1:22">
      <c r="A679" s="1" t="s">
        <v>699</v>
      </c>
      <c r="B679">
        <f>HYPERLINK("https://www.suredividend.com/sure-analysis-VLO/","Valero Energy Corp.")</f>
        <v>0</v>
      </c>
      <c r="C679">
        <v>72.55</v>
      </c>
      <c r="D679">
        <v>64</v>
      </c>
      <c r="E679">
        <v>1.13359375</v>
      </c>
      <c r="F679">
        <v>0.05403170227429359</v>
      </c>
      <c r="G679">
        <v>-0.02476672402751789</v>
      </c>
      <c r="H679">
        <v>0.04</v>
      </c>
      <c r="I679">
        <v>0.06082306617849498</v>
      </c>
      <c r="J679" t="s">
        <v>778</v>
      </c>
      <c r="K679" t="s">
        <v>513</v>
      </c>
      <c r="L679">
        <v>0.5</v>
      </c>
      <c r="M679">
        <v>3.92</v>
      </c>
      <c r="N679">
        <v>7.84</v>
      </c>
      <c r="O679">
        <v>10</v>
      </c>
      <c r="P679">
        <v>0</v>
      </c>
      <c r="Q679">
        <v>0.468521875051964</v>
      </c>
      <c r="R679" t="s">
        <v>780</v>
      </c>
      <c r="S679" t="s">
        <v>793</v>
      </c>
      <c r="T679">
        <v>28884.2362</v>
      </c>
      <c r="U679" s="2">
        <v>44491</v>
      </c>
      <c r="V679" t="s">
        <v>803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46.65</v>
      </c>
      <c r="D680">
        <v>49</v>
      </c>
      <c r="E680">
        <v>0.9520408163265306</v>
      </c>
      <c r="F680">
        <v>0.05744908896034299</v>
      </c>
      <c r="G680">
        <v>0.009877942119293825</v>
      </c>
      <c r="H680">
        <v>-0.001</v>
      </c>
      <c r="I680">
        <v>0.06028905026068809</v>
      </c>
      <c r="J680" t="s">
        <v>778</v>
      </c>
      <c r="K680" t="s">
        <v>372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0.176850888446657</v>
      </c>
      <c r="R680" t="s">
        <v>782</v>
      </c>
      <c r="S680" t="s">
        <v>794</v>
      </c>
      <c r="T680">
        <v>11107.161633</v>
      </c>
      <c r="U680" s="2">
        <v>44506</v>
      </c>
      <c r="V680" t="s">
        <v>805</v>
      </c>
    </row>
    <row r="681" spans="1:22">
      <c r="A681" s="1" t="s">
        <v>701</v>
      </c>
      <c r="B681">
        <f>HYPERLINK("https://www.suredividend.com/sure-analysis-CSWC/","Capital Southwest Corp.")</f>
        <v>0</v>
      </c>
      <c r="C681">
        <v>27.6</v>
      </c>
      <c r="D681">
        <v>23</v>
      </c>
      <c r="E681">
        <v>1.2</v>
      </c>
      <c r="F681">
        <v>0.06811594202898549</v>
      </c>
      <c r="G681">
        <v>-0.03580749599737276</v>
      </c>
      <c r="H681">
        <v>0.03</v>
      </c>
      <c r="I681">
        <v>0.06006036525082714</v>
      </c>
      <c r="J681" t="s">
        <v>778</v>
      </c>
      <c r="K681" t="s">
        <v>372</v>
      </c>
      <c r="L681">
        <v>1.65</v>
      </c>
      <c r="M681">
        <v>1.88</v>
      </c>
      <c r="N681">
        <v>1.139393939393939</v>
      </c>
      <c r="O681">
        <v>5</v>
      </c>
      <c r="P681">
        <v>0.03005337366563188</v>
      </c>
      <c r="Q681">
        <v>0.7110063896763851</v>
      </c>
      <c r="R681" t="s">
        <v>783</v>
      </c>
      <c r="S681" t="s">
        <v>790</v>
      </c>
      <c r="T681">
        <v>638.144006</v>
      </c>
      <c r="U681" s="2">
        <v>44504</v>
      </c>
      <c r="V681" t="s">
        <v>795</v>
      </c>
    </row>
    <row r="682" spans="1:22">
      <c r="A682" s="1" t="s">
        <v>702</v>
      </c>
      <c r="B682">
        <f>HYPERLINK("https://www.suredividend.com/sure-analysis-LWSCF/","Sienna Senior Living, Inc.")</f>
        <v>0</v>
      </c>
      <c r="C682">
        <v>11.68</v>
      </c>
      <c r="D682">
        <v>11.88</v>
      </c>
      <c r="E682">
        <v>0.9831649831649831</v>
      </c>
      <c r="F682">
        <v>0.06421232876712329</v>
      </c>
      <c r="G682">
        <v>0.003401439116312188</v>
      </c>
      <c r="H682">
        <v>0</v>
      </c>
      <c r="I682">
        <v>0.05999356081920437</v>
      </c>
      <c r="J682" t="s">
        <v>778</v>
      </c>
      <c r="K682" t="s">
        <v>372</v>
      </c>
      <c r="L682">
        <v>0.88</v>
      </c>
      <c r="M682">
        <v>0.75</v>
      </c>
      <c r="N682">
        <v>0.8522727272727273</v>
      </c>
      <c r="O682">
        <v>0</v>
      </c>
      <c r="P682">
        <v>0</v>
      </c>
      <c r="Q682">
        <v>0.123076923076923</v>
      </c>
      <c r="R682" t="s">
        <v>780</v>
      </c>
      <c r="S682" t="s">
        <v>785</v>
      </c>
      <c r="T682">
        <v>783.016957</v>
      </c>
      <c r="U682" s="2">
        <v>44516</v>
      </c>
      <c r="V682" t="s">
        <v>795</v>
      </c>
    </row>
    <row r="683" spans="1:22">
      <c r="A683" s="1" t="s">
        <v>703</v>
      </c>
      <c r="B683">
        <f>HYPERLINK("https://www.suredividend.com/sure-analysis-NSA/","National Storage Affiliates Trust")</f>
        <v>0</v>
      </c>
      <c r="C683">
        <v>62.13</v>
      </c>
      <c r="D683">
        <v>49</v>
      </c>
      <c r="E683">
        <v>1.267959183673469</v>
      </c>
      <c r="F683">
        <v>0.02897151134717528</v>
      </c>
      <c r="G683">
        <v>-0.04637210728980368</v>
      </c>
      <c r="H683">
        <v>0.08</v>
      </c>
      <c r="I683">
        <v>0.05978676740043509</v>
      </c>
      <c r="J683" t="s">
        <v>778</v>
      </c>
      <c r="K683" t="s">
        <v>513</v>
      </c>
      <c r="L683">
        <v>2.21</v>
      </c>
      <c r="M683">
        <v>1.8</v>
      </c>
      <c r="N683">
        <v>0.8144796380090498</v>
      </c>
      <c r="O683">
        <v>6</v>
      </c>
      <c r="P683">
        <v>0.06961037572506878</v>
      </c>
      <c r="Q683">
        <v>0.8471519722614431</v>
      </c>
      <c r="R683" t="s">
        <v>782</v>
      </c>
      <c r="S683" t="s">
        <v>794</v>
      </c>
      <c r="T683">
        <v>5523.142088</v>
      </c>
      <c r="U683" s="2">
        <v>44505</v>
      </c>
      <c r="V683" t="s">
        <v>795</v>
      </c>
    </row>
    <row r="684" spans="1:22">
      <c r="A684" s="1" t="s">
        <v>704</v>
      </c>
      <c r="B684">
        <f>HYPERLINK("https://www.suredividend.com/sure-analysis-GMRE/","Global Medical REIT Inc")</f>
        <v>0</v>
      </c>
      <c r="C684">
        <v>16.89</v>
      </c>
      <c r="D684">
        <v>14.25</v>
      </c>
      <c r="E684">
        <v>1.185263157894737</v>
      </c>
      <c r="F684">
        <v>0.04854943753700414</v>
      </c>
      <c r="G684">
        <v>-0.0334216953350317</v>
      </c>
      <c r="H684">
        <v>0.05</v>
      </c>
      <c r="I684">
        <v>0.05815163301737769</v>
      </c>
      <c r="J684" t="s">
        <v>778</v>
      </c>
      <c r="K684" t="s">
        <v>513</v>
      </c>
      <c r="L684">
        <v>0.95</v>
      </c>
      <c r="M684">
        <v>0.82</v>
      </c>
      <c r="N684">
        <v>0.8631578947368421</v>
      </c>
      <c r="O684">
        <v>1</v>
      </c>
      <c r="P684">
        <v>0.009571122817161548</v>
      </c>
      <c r="Q684">
        <v>0.272851919561243</v>
      </c>
      <c r="R684" t="s">
        <v>782</v>
      </c>
      <c r="S684" t="s">
        <v>794</v>
      </c>
      <c r="T684">
        <v>1072.914393</v>
      </c>
      <c r="U684" s="2">
        <v>44504</v>
      </c>
      <c r="V684" t="s">
        <v>795</v>
      </c>
    </row>
    <row r="685" spans="1:22">
      <c r="A685" s="1" t="s">
        <v>705</v>
      </c>
      <c r="B685">
        <f>HYPERLINK("https://www.suredividend.com/sure-analysis-STWD/","Starwood Property Trust Inc")</f>
        <v>0</v>
      </c>
      <c r="C685">
        <v>26.21</v>
      </c>
      <c r="D685">
        <v>25</v>
      </c>
      <c r="E685">
        <v>1.0484</v>
      </c>
      <c r="F685">
        <v>0.07325448302174742</v>
      </c>
      <c r="G685">
        <v>-0.00940849898010887</v>
      </c>
      <c r="H685">
        <v>0</v>
      </c>
      <c r="I685">
        <v>0.05711397828765796</v>
      </c>
      <c r="J685" t="s">
        <v>778</v>
      </c>
      <c r="K685" t="s">
        <v>372</v>
      </c>
      <c r="L685">
        <v>2</v>
      </c>
      <c r="M685">
        <v>1.92</v>
      </c>
      <c r="N685">
        <v>0.96</v>
      </c>
      <c r="O685">
        <v>0</v>
      </c>
      <c r="P685">
        <v>0</v>
      </c>
      <c r="Q685">
        <v>0.6198349157524601</v>
      </c>
      <c r="R685" t="s">
        <v>782</v>
      </c>
      <c r="S685" t="s">
        <v>794</v>
      </c>
      <c r="T685">
        <v>7538.133737</v>
      </c>
      <c r="U685" s="2">
        <v>44509</v>
      </c>
      <c r="V685" t="s">
        <v>795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18.49</v>
      </c>
      <c r="D686">
        <v>17.97</v>
      </c>
      <c r="E686">
        <v>1.028937117417919</v>
      </c>
      <c r="F686">
        <v>0.06922660897782586</v>
      </c>
      <c r="G686">
        <v>-0.005689024781061258</v>
      </c>
      <c r="H686">
        <v>0</v>
      </c>
      <c r="I686">
        <v>0.0567779027772517</v>
      </c>
      <c r="J686" t="s">
        <v>778</v>
      </c>
      <c r="K686" t="s">
        <v>372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0.4661094978397901</v>
      </c>
      <c r="R686" t="s">
        <v>783</v>
      </c>
      <c r="S686" t="s">
        <v>790</v>
      </c>
      <c r="T686">
        <v>455.268762</v>
      </c>
      <c r="U686" s="2">
        <v>44513</v>
      </c>
      <c r="V686" t="s">
        <v>795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33.73</v>
      </c>
      <c r="D687">
        <v>29</v>
      </c>
      <c r="E687">
        <v>1.163103448275862</v>
      </c>
      <c r="F687">
        <v>0.04565668544322562</v>
      </c>
      <c r="G687">
        <v>-0.0297663535077175</v>
      </c>
      <c r="H687">
        <v>0.04</v>
      </c>
      <c r="I687">
        <v>0.05650387821496627</v>
      </c>
      <c r="J687" t="s">
        <v>778</v>
      </c>
      <c r="K687" t="s">
        <v>372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0.122624646294085</v>
      </c>
      <c r="R687" t="s">
        <v>782</v>
      </c>
      <c r="S687" t="s">
        <v>794</v>
      </c>
      <c r="T687">
        <v>9281.833342</v>
      </c>
      <c r="U687" s="2">
        <v>44439</v>
      </c>
      <c r="V687" t="s">
        <v>802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17.26</v>
      </c>
      <c r="D688">
        <v>15.6</v>
      </c>
      <c r="E688">
        <v>1.106410256410256</v>
      </c>
      <c r="F688">
        <v>0.09038238702201622</v>
      </c>
      <c r="G688">
        <v>-0.02002101779780519</v>
      </c>
      <c r="H688">
        <v>-0.0016</v>
      </c>
      <c r="I688">
        <v>0.05599425121528934</v>
      </c>
      <c r="J688" t="s">
        <v>778</v>
      </c>
      <c r="K688" t="s">
        <v>372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0.07173628716829701</v>
      </c>
      <c r="R688" t="s">
        <v>782</v>
      </c>
      <c r="S688" t="s">
        <v>794</v>
      </c>
      <c r="T688">
        <v>633.951768</v>
      </c>
      <c r="U688" s="2">
        <v>44503</v>
      </c>
      <c r="V688" t="s">
        <v>805</v>
      </c>
    </row>
    <row r="689" spans="1:22">
      <c r="A689" s="1" t="s">
        <v>709</v>
      </c>
      <c r="B689">
        <f>HYPERLINK("https://www.suredividend.com/sure-analysis-ARCC/","Ares Capital Corp")</f>
        <v>0</v>
      </c>
      <c r="C689">
        <v>20.54</v>
      </c>
      <c r="D689">
        <v>16.4</v>
      </c>
      <c r="E689">
        <v>1.252439024390244</v>
      </c>
      <c r="F689">
        <v>0.0798442064264849</v>
      </c>
      <c r="G689">
        <v>-0.04402027463617719</v>
      </c>
      <c r="H689">
        <v>0.019</v>
      </c>
      <c r="I689">
        <v>0.05425921648448684</v>
      </c>
      <c r="J689" t="s">
        <v>778</v>
      </c>
      <c r="K689" t="s">
        <v>372</v>
      </c>
      <c r="L689">
        <v>1.82</v>
      </c>
      <c r="M689">
        <v>1.64</v>
      </c>
      <c r="N689">
        <v>0.901098901098901</v>
      </c>
      <c r="O689">
        <v>4</v>
      </c>
      <c r="P689">
        <v>0.02104646949148603</v>
      </c>
      <c r="Q689">
        <v>0.3857248769966971</v>
      </c>
      <c r="R689" t="s">
        <v>783</v>
      </c>
      <c r="S689" t="s">
        <v>790</v>
      </c>
      <c r="T689">
        <v>9473.100985999999</v>
      </c>
      <c r="U689" s="2">
        <v>44496</v>
      </c>
      <c r="V689" t="s">
        <v>805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</v>
      </c>
      <c r="D690">
        <v>10.6</v>
      </c>
      <c r="E690">
        <v>1.132075471698113</v>
      </c>
      <c r="F690">
        <v>0.06083333333333333</v>
      </c>
      <c r="G690">
        <v>-0.02450527823577675</v>
      </c>
      <c r="H690">
        <v>0.02</v>
      </c>
      <c r="I690">
        <v>0.05051885579831872</v>
      </c>
      <c r="J690" t="s">
        <v>778</v>
      </c>
      <c r="K690" t="s">
        <v>372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0.294132974334477</v>
      </c>
      <c r="R690" t="s">
        <v>780</v>
      </c>
      <c r="S690" t="s">
        <v>792</v>
      </c>
      <c r="T690">
        <v>185.622865</v>
      </c>
      <c r="U690" s="2">
        <v>44519</v>
      </c>
      <c r="V690" t="s">
        <v>803</v>
      </c>
    </row>
    <row r="691" spans="1:22">
      <c r="A691" s="1" t="s">
        <v>711</v>
      </c>
      <c r="B691">
        <f>HYPERLINK("https://www.suredividend.com/sure-analysis-AM/","Antero Midstream Corp")</f>
        <v>0</v>
      </c>
      <c r="C691">
        <v>10.42</v>
      </c>
      <c r="D691">
        <v>8.800000000000001</v>
      </c>
      <c r="E691">
        <v>1.184090909090909</v>
      </c>
      <c r="F691">
        <v>0.08637236084452975</v>
      </c>
      <c r="G691">
        <v>-0.03323038876832674</v>
      </c>
      <c r="H691">
        <v>0</v>
      </c>
      <c r="I691">
        <v>0.05001809754757947</v>
      </c>
      <c r="J691" t="s">
        <v>778</v>
      </c>
      <c r="K691" t="s">
        <v>372</v>
      </c>
      <c r="L691">
        <v>1.25</v>
      </c>
      <c r="M691">
        <v>0.9</v>
      </c>
      <c r="N691">
        <v>0.72</v>
      </c>
      <c r="O691">
        <v>0</v>
      </c>
      <c r="P691">
        <v>0</v>
      </c>
      <c r="Q691">
        <v>0.7540812782216041</v>
      </c>
      <c r="R691" t="s">
        <v>780</v>
      </c>
      <c r="S691" t="s">
        <v>793</v>
      </c>
      <c r="T691">
        <v>4822.788249</v>
      </c>
      <c r="U691" s="2">
        <v>44504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12.76</v>
      </c>
      <c r="D692">
        <v>12.6</v>
      </c>
      <c r="E692">
        <v>1.012698412698413</v>
      </c>
      <c r="F692">
        <v>0.03448275862068965</v>
      </c>
      <c r="G692">
        <v>-0.002520510956409705</v>
      </c>
      <c r="H692">
        <v>0.02</v>
      </c>
      <c r="I692">
        <v>0.0496633943855731</v>
      </c>
      <c r="J692" t="s">
        <v>778</v>
      </c>
      <c r="K692" t="s">
        <v>513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0.046766532700036</v>
      </c>
      <c r="R692" t="s">
        <v>780</v>
      </c>
      <c r="S692" t="s">
        <v>791</v>
      </c>
      <c r="T692">
        <v>43341.9492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HYPERLINK("https://www.suredividend.com/sure-analysis-TPVG/","TriplePoint Venture Growth BDC Corp")</f>
        <v>0</v>
      </c>
      <c r="C693">
        <v>18.73</v>
      </c>
      <c r="D693">
        <v>15</v>
      </c>
      <c r="E693">
        <v>1.248666666666667</v>
      </c>
      <c r="F693">
        <v>0.07688200747463961</v>
      </c>
      <c r="G693">
        <v>-0.04344334766712143</v>
      </c>
      <c r="H693">
        <v>0.02</v>
      </c>
      <c r="I693">
        <v>0.04873596674123437</v>
      </c>
      <c r="J693" t="s">
        <v>778</v>
      </c>
      <c r="K693" t="s">
        <v>372</v>
      </c>
      <c r="L693">
        <v>1.25</v>
      </c>
      <c r="M693">
        <v>1.44</v>
      </c>
      <c r="N693">
        <v>1.152</v>
      </c>
      <c r="O693">
        <v>0</v>
      </c>
      <c r="P693">
        <v>0</v>
      </c>
      <c r="Q693">
        <v>0.6383573425069881</v>
      </c>
      <c r="R693" t="s">
        <v>783</v>
      </c>
      <c r="S693" t="s">
        <v>790</v>
      </c>
      <c r="T693">
        <v>590.246629</v>
      </c>
      <c r="U693" s="2">
        <v>44506</v>
      </c>
      <c r="V693" t="s">
        <v>795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22.46</v>
      </c>
      <c r="D694">
        <v>19</v>
      </c>
      <c r="E694">
        <v>1.182105263157895</v>
      </c>
      <c r="F694">
        <v>0.06678539626001781</v>
      </c>
      <c r="G694">
        <v>-0.03290581976742246</v>
      </c>
      <c r="H694">
        <v>0.02</v>
      </c>
      <c r="I694">
        <v>0.04862094807004058</v>
      </c>
      <c r="J694" t="s">
        <v>778</v>
      </c>
      <c r="K694" t="s">
        <v>372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0.332091070449278</v>
      </c>
      <c r="R694" t="s">
        <v>782</v>
      </c>
      <c r="S694" t="s">
        <v>794</v>
      </c>
      <c r="T694">
        <v>841.893517</v>
      </c>
      <c r="U694" s="2">
        <v>44424</v>
      </c>
      <c r="V694" t="s">
        <v>798</v>
      </c>
    </row>
    <row r="695" spans="1:22">
      <c r="A695" s="1" t="s">
        <v>715</v>
      </c>
      <c r="B695">
        <f>HYPERLINK("https://www.suredividend.com/sure-analysis-ABEV/","Ambev S.A.")</f>
        <v>0</v>
      </c>
      <c r="C695">
        <v>3.05</v>
      </c>
      <c r="D695">
        <v>2.95</v>
      </c>
      <c r="E695">
        <v>1.033898305084746</v>
      </c>
      <c r="F695">
        <v>0.02622950819672131</v>
      </c>
      <c r="G695">
        <v>-0.006645107029404906</v>
      </c>
      <c r="H695">
        <v>0.03</v>
      </c>
      <c r="I695">
        <v>0.04765516512138457</v>
      </c>
      <c r="J695" t="s">
        <v>778</v>
      </c>
      <c r="K695" t="s">
        <v>513</v>
      </c>
      <c r="L695">
        <v>0.13</v>
      </c>
      <c r="M695">
        <v>0.08</v>
      </c>
      <c r="N695">
        <v>0.6153846153846154</v>
      </c>
      <c r="O695">
        <v>0</v>
      </c>
      <c r="P695">
        <v>0.02383625553960966</v>
      </c>
      <c r="Q695">
        <v>0.1654654194142</v>
      </c>
      <c r="R695" t="s">
        <v>780</v>
      </c>
      <c r="S695" t="s">
        <v>791</v>
      </c>
      <c r="T695">
        <v>47854.023793</v>
      </c>
      <c r="U695" s="2">
        <v>44439</v>
      </c>
      <c r="V695" t="s">
        <v>802</v>
      </c>
    </row>
    <row r="696" spans="1:22">
      <c r="A696" s="1" t="s">
        <v>716</v>
      </c>
      <c r="B696">
        <f>HYPERLINK("https://www.suredividend.com/sure-analysis-ARI/","Apollo Commercial Real Estate Finance Inc")</f>
        <v>0</v>
      </c>
      <c r="C696">
        <v>14.19</v>
      </c>
      <c r="D696">
        <v>11</v>
      </c>
      <c r="E696">
        <v>1.29</v>
      </c>
      <c r="F696">
        <v>0.09866102889358704</v>
      </c>
      <c r="G696">
        <v>-0.04965332858499649</v>
      </c>
      <c r="H696">
        <v>0.003</v>
      </c>
      <c r="I696">
        <v>0.0471153865602596</v>
      </c>
      <c r="J696" t="s">
        <v>778</v>
      </c>
      <c r="K696" t="s">
        <v>372</v>
      </c>
      <c r="L696">
        <v>1.38</v>
      </c>
      <c r="M696">
        <v>1.4</v>
      </c>
      <c r="N696">
        <v>1.014492753623188</v>
      </c>
      <c r="O696">
        <v>0</v>
      </c>
      <c r="P696">
        <v>-0.01471229526229867</v>
      </c>
      <c r="Q696">
        <v>0.46226807554705</v>
      </c>
      <c r="R696" t="s">
        <v>782</v>
      </c>
      <c r="S696" t="s">
        <v>794</v>
      </c>
      <c r="T696">
        <v>1966.910484</v>
      </c>
      <c r="U696" s="2">
        <v>44503</v>
      </c>
      <c r="V696" t="s">
        <v>805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15.41</v>
      </c>
      <c r="D697">
        <v>12.1</v>
      </c>
      <c r="E697">
        <v>1.273553719008264</v>
      </c>
      <c r="F697">
        <v>0.07787151200519143</v>
      </c>
      <c r="G697">
        <v>-0.04721141295575704</v>
      </c>
      <c r="H697">
        <v>0.02</v>
      </c>
      <c r="I697">
        <v>0.04668921904096179</v>
      </c>
      <c r="J697" t="s">
        <v>778</v>
      </c>
      <c r="K697" t="s">
        <v>372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0.16390401531925</v>
      </c>
      <c r="R697" t="s">
        <v>783</v>
      </c>
      <c r="S697" t="s">
        <v>790</v>
      </c>
      <c r="T697">
        <v>249.722969</v>
      </c>
      <c r="U697" s="2">
        <v>44504</v>
      </c>
      <c r="V697" t="s">
        <v>795</v>
      </c>
    </row>
    <row r="698" spans="1:22">
      <c r="A698" s="1" t="s">
        <v>718</v>
      </c>
      <c r="B698">
        <f>HYPERLINK("https://www.suredividend.com/sure-analysis-PBA/","Pembina Pipeline Corporation")</f>
        <v>0</v>
      </c>
      <c r="C698">
        <v>31.27</v>
      </c>
      <c r="D698">
        <v>24</v>
      </c>
      <c r="E698">
        <v>1.302916666666667</v>
      </c>
      <c r="F698">
        <v>0.06395906619763352</v>
      </c>
      <c r="G698">
        <v>-0.05154512724494764</v>
      </c>
      <c r="H698">
        <v>0.04</v>
      </c>
      <c r="I698">
        <v>0.0462390006393476</v>
      </c>
      <c r="J698" t="s">
        <v>778</v>
      </c>
      <c r="K698" t="s">
        <v>372</v>
      </c>
      <c r="L698">
        <v>2</v>
      </c>
      <c r="M698">
        <v>2</v>
      </c>
      <c r="N698">
        <v>1</v>
      </c>
      <c r="O698">
        <v>5</v>
      </c>
      <c r="P698">
        <v>0</v>
      </c>
      <c r="Q698">
        <v>0.406668353958252</v>
      </c>
      <c r="R698" t="s">
        <v>780</v>
      </c>
      <c r="S698" t="s">
        <v>793</v>
      </c>
      <c r="T698">
        <v>17432.077893</v>
      </c>
      <c r="U698" s="2">
        <v>44512</v>
      </c>
      <c r="V698" t="s">
        <v>803</v>
      </c>
    </row>
    <row r="699" spans="1:22">
      <c r="A699" s="1" t="s">
        <v>719</v>
      </c>
      <c r="B699">
        <f>HYPERLINK("https://www.suredividend.com/sure-analysis-OXSQ/","Oxford Square Capital Corp")</f>
        <v>0</v>
      </c>
      <c r="C699">
        <v>4.12</v>
      </c>
      <c r="D699">
        <v>3.4</v>
      </c>
      <c r="E699">
        <v>1.211764705882353</v>
      </c>
      <c r="F699">
        <v>0.1019417475728155</v>
      </c>
      <c r="G699">
        <v>-0.03768702784689937</v>
      </c>
      <c r="H699">
        <v>0</v>
      </c>
      <c r="I699">
        <v>0.04590982888838924</v>
      </c>
      <c r="J699" t="s">
        <v>778</v>
      </c>
      <c r="K699" t="s">
        <v>372</v>
      </c>
      <c r="L699">
        <v>0.34</v>
      </c>
      <c r="M699">
        <v>0.42</v>
      </c>
      <c r="N699">
        <v>1.235294117647059</v>
      </c>
      <c r="O699">
        <v>0</v>
      </c>
      <c r="P699">
        <v>-0.05892880441130122</v>
      </c>
      <c r="Q699">
        <v>0.6407398808141781</v>
      </c>
      <c r="R699" t="s">
        <v>783</v>
      </c>
      <c r="S699" t="s">
        <v>790</v>
      </c>
      <c r="T699">
        <v>210.538366</v>
      </c>
      <c r="U699" s="2">
        <v>44502</v>
      </c>
      <c r="V699" t="s">
        <v>795</v>
      </c>
    </row>
    <row r="700" spans="1:22">
      <c r="A700" s="1" t="s">
        <v>720</v>
      </c>
      <c r="B700">
        <f>HYPERLINK("https://www.suredividend.com/sure-analysis-BGS/","B&amp;G Foods, Inc")</f>
        <v>0</v>
      </c>
      <c r="C700">
        <v>30.76</v>
      </c>
      <c r="D700">
        <v>25</v>
      </c>
      <c r="E700">
        <v>1.2304</v>
      </c>
      <c r="F700">
        <v>0.06176853055916774</v>
      </c>
      <c r="G700">
        <v>-0.04061983446863415</v>
      </c>
      <c r="H700">
        <v>0.03</v>
      </c>
      <c r="I700">
        <v>0.04581273610970804</v>
      </c>
      <c r="J700" t="s">
        <v>778</v>
      </c>
      <c r="K700" t="s">
        <v>513</v>
      </c>
      <c r="L700">
        <v>1.9</v>
      </c>
      <c r="M700">
        <v>1.9</v>
      </c>
      <c r="N700">
        <v>1</v>
      </c>
      <c r="O700">
        <v>0</v>
      </c>
      <c r="P700">
        <v>0</v>
      </c>
      <c r="Q700">
        <v>0.258923618281725</v>
      </c>
      <c r="R700" t="s">
        <v>780</v>
      </c>
      <c r="S700" t="s">
        <v>791</v>
      </c>
      <c r="T700">
        <v>2017.644901</v>
      </c>
      <c r="U700" s="2">
        <v>44511</v>
      </c>
      <c r="V700" t="s">
        <v>799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46.59</v>
      </c>
      <c r="D701">
        <v>40</v>
      </c>
      <c r="E701">
        <v>1.16475</v>
      </c>
      <c r="F701">
        <v>0.05408886027044429</v>
      </c>
      <c r="G701">
        <v>-0.03004082339342773</v>
      </c>
      <c r="H701">
        <v>0.025</v>
      </c>
      <c r="I701">
        <v>0.04566186217835555</v>
      </c>
      <c r="J701" t="s">
        <v>778</v>
      </c>
      <c r="K701" t="s">
        <v>372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0.5941829683363701</v>
      </c>
      <c r="R701" t="s">
        <v>783</v>
      </c>
      <c r="S701" t="s">
        <v>790</v>
      </c>
      <c r="T701">
        <v>3226.572567</v>
      </c>
      <c r="U701" s="2">
        <v>44511</v>
      </c>
      <c r="V701" t="s">
        <v>801</v>
      </c>
    </row>
    <row r="702" spans="1:22">
      <c r="A702" s="1" t="s">
        <v>722</v>
      </c>
      <c r="B702">
        <f>HYPERLINK("https://www.suredividend.com/sure-analysis-APTS/","Preferred Apartment Communities Inc")</f>
        <v>0</v>
      </c>
      <c r="C702">
        <v>14.15</v>
      </c>
      <c r="D702">
        <v>12.3</v>
      </c>
      <c r="E702">
        <v>1.150406504065041</v>
      </c>
      <c r="F702">
        <v>0.04946996466431095</v>
      </c>
      <c r="G702">
        <v>-0.02763406821706371</v>
      </c>
      <c r="H702">
        <v>0.02</v>
      </c>
      <c r="I702">
        <v>0.04531551483678009</v>
      </c>
      <c r="J702" t="s">
        <v>778</v>
      </c>
      <c r="K702" t="s">
        <v>372</v>
      </c>
      <c r="L702">
        <v>1.04</v>
      </c>
      <c r="M702">
        <v>0.7</v>
      </c>
      <c r="N702">
        <v>0.673076923076923</v>
      </c>
      <c r="O702">
        <v>0</v>
      </c>
      <c r="P702">
        <v>0.05154749679728043</v>
      </c>
      <c r="Q702">
        <v>0.801893256858614</v>
      </c>
      <c r="R702" t="s">
        <v>782</v>
      </c>
      <c r="S702" t="s">
        <v>794</v>
      </c>
      <c r="T702">
        <v>751.835373</v>
      </c>
      <c r="U702" s="2">
        <v>44515</v>
      </c>
      <c r="V702" t="s">
        <v>803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20.84</v>
      </c>
      <c r="D703">
        <v>19.11</v>
      </c>
      <c r="E703">
        <v>1.090528519099948</v>
      </c>
      <c r="F703">
        <v>0.0345489443378119</v>
      </c>
      <c r="G703">
        <v>-0.01718314816867494</v>
      </c>
      <c r="H703">
        <v>0.03</v>
      </c>
      <c r="I703">
        <v>0.04492513421983801</v>
      </c>
      <c r="J703" t="s">
        <v>778</v>
      </c>
      <c r="K703" t="s">
        <v>513</v>
      </c>
      <c r="L703">
        <v>0.91</v>
      </c>
      <c r="M703">
        <v>0.72</v>
      </c>
      <c r="N703">
        <v>0.7912087912087912</v>
      </c>
      <c r="O703">
        <v>1</v>
      </c>
      <c r="P703">
        <v>0.01872958559274807</v>
      </c>
      <c r="Q703">
        <v>0.4892522295906691</v>
      </c>
      <c r="R703" t="s">
        <v>782</v>
      </c>
      <c r="S703" t="s">
        <v>794</v>
      </c>
      <c r="T703">
        <v>2049.393429</v>
      </c>
      <c r="U703" s="2">
        <v>44520</v>
      </c>
      <c r="V703" t="s">
        <v>795</v>
      </c>
    </row>
    <row r="704" spans="1:22">
      <c r="A704" s="1" t="s">
        <v>724</v>
      </c>
      <c r="B704">
        <f>HYPERLINK("https://www.suredividend.com/sure-analysis-HTGC/","Hercules Capital Inc")</f>
        <v>0</v>
      </c>
      <c r="C704">
        <v>16.7</v>
      </c>
      <c r="D704">
        <v>13.7</v>
      </c>
      <c r="E704">
        <v>1.218978102189781</v>
      </c>
      <c r="F704">
        <v>0.07904191616766468</v>
      </c>
      <c r="G704">
        <v>-0.03882864544577347</v>
      </c>
      <c r="H704">
        <v>0.001</v>
      </c>
      <c r="I704">
        <v>0.0444220600163221</v>
      </c>
      <c r="J704" t="s">
        <v>778</v>
      </c>
      <c r="K704" t="s">
        <v>372</v>
      </c>
      <c r="L704">
        <v>1.28</v>
      </c>
      <c r="M704">
        <v>1.32</v>
      </c>
      <c r="N704">
        <v>1.03125</v>
      </c>
      <c r="O704">
        <v>0</v>
      </c>
      <c r="P704">
        <v>0.01896393794917839</v>
      </c>
      <c r="Q704">
        <v>0.371421974088948</v>
      </c>
      <c r="R704" t="s">
        <v>783</v>
      </c>
      <c r="S704" t="s">
        <v>790</v>
      </c>
      <c r="T704">
        <v>1927.407388</v>
      </c>
      <c r="U704" s="2">
        <v>44506</v>
      </c>
      <c r="V704" t="s">
        <v>805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34.39</v>
      </c>
      <c r="D705">
        <v>31</v>
      </c>
      <c r="E705">
        <v>1.109354838709677</v>
      </c>
      <c r="F705">
        <v>0.03751090433265484</v>
      </c>
      <c r="G705">
        <v>-0.02054180651297433</v>
      </c>
      <c r="H705">
        <v>0.03</v>
      </c>
      <c r="I705">
        <v>0.04416137776103879</v>
      </c>
      <c r="J705" t="s">
        <v>778</v>
      </c>
      <c r="K705" t="s">
        <v>513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0.35017181860359</v>
      </c>
      <c r="R705" t="s">
        <v>782</v>
      </c>
      <c r="S705" t="s">
        <v>794</v>
      </c>
      <c r="T705">
        <v>7583.580423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HYPERLINK("https://www.suredividend.com/sure-analysis-CRT/","Cross Timbers Royalty Trust")</f>
        <v>0</v>
      </c>
      <c r="C706">
        <v>12.49</v>
      </c>
      <c r="D706">
        <v>9.9</v>
      </c>
      <c r="E706">
        <v>1.261616161616162</v>
      </c>
      <c r="F706">
        <v>0.08807045636509207</v>
      </c>
      <c r="G706">
        <v>-0.04541511977920343</v>
      </c>
      <c r="H706">
        <v>0</v>
      </c>
      <c r="I706">
        <v>0.0427775111960178</v>
      </c>
      <c r="J706" t="s">
        <v>778</v>
      </c>
      <c r="K706" t="s">
        <v>372</v>
      </c>
      <c r="L706">
        <v>1.1</v>
      </c>
      <c r="M706">
        <v>1.1</v>
      </c>
      <c r="N706">
        <v>1</v>
      </c>
      <c r="O706">
        <v>0</v>
      </c>
      <c r="P706">
        <v>0</v>
      </c>
      <c r="Q706">
        <v>0.634165686623088</v>
      </c>
      <c r="R706" t="s">
        <v>780</v>
      </c>
      <c r="S706" t="s">
        <v>793</v>
      </c>
      <c r="T706">
        <v>71.7</v>
      </c>
      <c r="U706" s="2">
        <v>44519</v>
      </c>
      <c r="V706" t="s">
        <v>803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16.64</v>
      </c>
      <c r="D707">
        <v>12</v>
      </c>
      <c r="E707">
        <v>1.386666666666667</v>
      </c>
      <c r="F707">
        <v>0.07932692307692307</v>
      </c>
      <c r="G707">
        <v>-0.06328907647246151</v>
      </c>
      <c r="H707">
        <v>0.02</v>
      </c>
      <c r="I707">
        <v>0.04018713962053355</v>
      </c>
      <c r="J707" t="s">
        <v>778</v>
      </c>
      <c r="K707" t="s">
        <v>372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0.8088793530285521</v>
      </c>
      <c r="R707" t="s">
        <v>780</v>
      </c>
      <c r="S707" t="s">
        <v>794</v>
      </c>
      <c r="T707">
        <v>3894.384616</v>
      </c>
      <c r="U707" s="2">
        <v>44515</v>
      </c>
      <c r="V707" t="s">
        <v>803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14.12</v>
      </c>
      <c r="D708">
        <v>11</v>
      </c>
      <c r="E708">
        <v>1.283636363636363</v>
      </c>
      <c r="F708">
        <v>0.0793201133144476</v>
      </c>
      <c r="G708">
        <v>-0.04871292149968998</v>
      </c>
      <c r="H708">
        <v>0.01</v>
      </c>
      <c r="I708">
        <v>0.03978162533526453</v>
      </c>
      <c r="J708" t="s">
        <v>778</v>
      </c>
      <c r="K708" t="s">
        <v>372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0.3981458281132541</v>
      </c>
      <c r="R708" t="s">
        <v>783</v>
      </c>
      <c r="S708" t="s">
        <v>790</v>
      </c>
      <c r="T708">
        <v>271.829742</v>
      </c>
      <c r="U708" s="2">
        <v>44522</v>
      </c>
      <c r="V708" t="s">
        <v>798</v>
      </c>
    </row>
    <row r="709" spans="1:22">
      <c r="A709" s="1" t="s">
        <v>729</v>
      </c>
      <c r="B709">
        <f>HYPERLINK("https://www.suredividend.com/sure-analysis-PRT/","PermRock Royalty Trust")</f>
        <v>0</v>
      </c>
      <c r="C709">
        <v>6.99</v>
      </c>
      <c r="D709">
        <v>4.13</v>
      </c>
      <c r="E709">
        <v>1.692493946731235</v>
      </c>
      <c r="F709">
        <v>0.07868383404864092</v>
      </c>
      <c r="G709">
        <v>-0.09989209630912521</v>
      </c>
      <c r="H709">
        <v>0.05</v>
      </c>
      <c r="I709">
        <v>0.03882787893769302</v>
      </c>
      <c r="J709" t="s">
        <v>778</v>
      </c>
      <c r="K709" t="s">
        <v>372</v>
      </c>
      <c r="L709">
        <v>0.55</v>
      </c>
      <c r="M709">
        <v>0.55</v>
      </c>
      <c r="N709">
        <v>1</v>
      </c>
      <c r="O709">
        <v>0</v>
      </c>
      <c r="P709">
        <v>0.04941452284458392</v>
      </c>
      <c r="Q709">
        <v>1.480955575432319</v>
      </c>
      <c r="R709" t="s">
        <v>780</v>
      </c>
      <c r="S709" t="s">
        <v>793</v>
      </c>
      <c r="T709">
        <v>80.98606100000001</v>
      </c>
      <c r="U709" s="2">
        <v>44516</v>
      </c>
      <c r="V709" t="s">
        <v>801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53.14</v>
      </c>
      <c r="D710">
        <v>40</v>
      </c>
      <c r="E710">
        <v>1.3285</v>
      </c>
      <c r="F710">
        <v>0.03537824614226571</v>
      </c>
      <c r="G710">
        <v>-0.05522653258242105</v>
      </c>
      <c r="H710">
        <v>0.06</v>
      </c>
      <c r="I710">
        <v>0.03680705011911911</v>
      </c>
      <c r="J710" t="s">
        <v>778</v>
      </c>
      <c r="K710" t="s">
        <v>513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0.359442859712692</v>
      </c>
      <c r="R710" t="s">
        <v>782</v>
      </c>
      <c r="S710" t="s">
        <v>794</v>
      </c>
      <c r="T710">
        <v>7361.387896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HYPERLINK("https://www.suredividend.com/sure-analysis-BCE/","BCE Inc")</f>
        <v>0</v>
      </c>
      <c r="C711">
        <v>51.21</v>
      </c>
      <c r="D711">
        <v>40</v>
      </c>
      <c r="E711">
        <v>1.28025</v>
      </c>
      <c r="F711">
        <v>0.05487209529388791</v>
      </c>
      <c r="G711">
        <v>-0.04821020702655721</v>
      </c>
      <c r="H711">
        <v>0.03</v>
      </c>
      <c r="I711">
        <v>0.03434864780585944</v>
      </c>
      <c r="J711" t="s">
        <v>778</v>
      </c>
      <c r="K711" t="s">
        <v>513</v>
      </c>
      <c r="L711">
        <v>2.56</v>
      </c>
      <c r="M711">
        <v>2.81</v>
      </c>
      <c r="N711">
        <v>1.09765625</v>
      </c>
      <c r="O711">
        <v>12</v>
      </c>
      <c r="P711">
        <v>0.00493329096672368</v>
      </c>
      <c r="Q711">
        <v>0.249112150677214</v>
      </c>
      <c r="R711" t="s">
        <v>780</v>
      </c>
      <c r="S711" t="s">
        <v>784</v>
      </c>
      <c r="T711">
        <v>46346.627247</v>
      </c>
      <c r="U711" s="2">
        <v>44517</v>
      </c>
      <c r="V711" t="s">
        <v>804</v>
      </c>
    </row>
    <row r="712" spans="1:22">
      <c r="A712" s="1" t="s">
        <v>732</v>
      </c>
      <c r="B712">
        <f>HYPERLINK("https://www.suredividend.com/sure-analysis-BX/","Blackstone Inc")</f>
        <v>0</v>
      </c>
      <c r="C712">
        <v>145.52</v>
      </c>
      <c r="D712">
        <v>92</v>
      </c>
      <c r="E712">
        <v>1.581739130434783</v>
      </c>
      <c r="F712">
        <v>0.02996151731720726</v>
      </c>
      <c r="G712">
        <v>-0.08762573192684364</v>
      </c>
      <c r="H712">
        <v>0.1</v>
      </c>
      <c r="I712">
        <v>0.03399711556613316</v>
      </c>
      <c r="J712" t="s">
        <v>778</v>
      </c>
      <c r="K712" t="s">
        <v>778</v>
      </c>
      <c r="L712">
        <v>4.6</v>
      </c>
      <c r="M712">
        <v>4.36</v>
      </c>
      <c r="N712">
        <v>0.9478260869565219</v>
      </c>
      <c r="O712">
        <v>0</v>
      </c>
      <c r="P712">
        <v>0.02981918386499416</v>
      </c>
      <c r="Q712">
        <v>1.553889202349599</v>
      </c>
      <c r="R712" t="s">
        <v>780</v>
      </c>
      <c r="S712" t="s">
        <v>790</v>
      </c>
      <c r="T712">
        <v>99177.42107900001</v>
      </c>
      <c r="U712" s="2">
        <v>44494</v>
      </c>
      <c r="V712" t="s">
        <v>795</v>
      </c>
    </row>
    <row r="713" spans="1:22">
      <c r="A713" s="1" t="s">
        <v>733</v>
      </c>
      <c r="B713">
        <f>HYPERLINK("https://www.suredividend.com/sure-analysis-LSI/","Life Storage Inc")</f>
        <v>0</v>
      </c>
      <c r="C713">
        <v>132.59</v>
      </c>
      <c r="D713">
        <v>88</v>
      </c>
      <c r="E713">
        <v>1.506704545454546</v>
      </c>
      <c r="F713">
        <v>0.02594464137566935</v>
      </c>
      <c r="G713">
        <v>-0.0787141936802439</v>
      </c>
      <c r="H713">
        <v>0.09</v>
      </c>
      <c r="I713">
        <v>0.03297956998167773</v>
      </c>
      <c r="J713" t="s">
        <v>778</v>
      </c>
      <c r="K713" t="s">
        <v>778</v>
      </c>
      <c r="L713">
        <v>4.85</v>
      </c>
      <c r="M713">
        <v>3.44</v>
      </c>
      <c r="N713">
        <v>0.709278350515464</v>
      </c>
      <c r="O713">
        <v>3</v>
      </c>
      <c r="P713">
        <v>0.05983895403096029</v>
      </c>
      <c r="Q713">
        <v>0.8612369377046241</v>
      </c>
      <c r="R713" t="s">
        <v>782</v>
      </c>
      <c r="S713" t="s">
        <v>794</v>
      </c>
      <c r="T713">
        <v>10891.762382</v>
      </c>
      <c r="U713" s="2">
        <v>44518</v>
      </c>
      <c r="V713" t="s">
        <v>803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31.69</v>
      </c>
      <c r="D714">
        <v>24.3</v>
      </c>
      <c r="E714">
        <v>1.304115226337448</v>
      </c>
      <c r="F714">
        <v>0.07825812559166929</v>
      </c>
      <c r="G714">
        <v>-0.05171952868970209</v>
      </c>
      <c r="H714">
        <v>0.004</v>
      </c>
      <c r="I714">
        <v>0.03252496871606136</v>
      </c>
      <c r="J714" t="s">
        <v>778</v>
      </c>
      <c r="K714" t="s">
        <v>372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0.331226961558715</v>
      </c>
      <c r="R714" t="s">
        <v>782</v>
      </c>
      <c r="S714" t="s">
        <v>794</v>
      </c>
      <c r="T714">
        <v>4973.140123</v>
      </c>
      <c r="U714" s="2">
        <v>44503</v>
      </c>
      <c r="V714" t="s">
        <v>805</v>
      </c>
    </row>
    <row r="715" spans="1:22">
      <c r="A715" s="1" t="s">
        <v>735</v>
      </c>
      <c r="B715">
        <f>HYPERLINK("https://www.suredividend.com/sure-analysis-BKR/","Baker Hughes Co")</f>
        <v>0</v>
      </c>
      <c r="C715">
        <v>23.76</v>
      </c>
      <c r="D715">
        <v>13</v>
      </c>
      <c r="E715">
        <v>1.827692307692308</v>
      </c>
      <c r="F715">
        <v>0.0303030303030303</v>
      </c>
      <c r="G715">
        <v>-0.1136211531672349</v>
      </c>
      <c r="H715">
        <v>0.13</v>
      </c>
      <c r="I715">
        <v>0.03005462961818473</v>
      </c>
      <c r="J715" t="s">
        <v>778</v>
      </c>
      <c r="K715" t="s">
        <v>778</v>
      </c>
      <c r="L715">
        <v>0.75</v>
      </c>
      <c r="M715">
        <v>0.72</v>
      </c>
      <c r="N715">
        <v>0.96</v>
      </c>
      <c r="O715">
        <v>0</v>
      </c>
      <c r="P715">
        <v>0</v>
      </c>
      <c r="Q715">
        <v>0.282973553185343</v>
      </c>
      <c r="R715" t="s">
        <v>780</v>
      </c>
      <c r="S715" t="s">
        <v>793</v>
      </c>
      <c r="T715">
        <v>23448.186</v>
      </c>
      <c r="U715" s="2">
        <v>44491</v>
      </c>
      <c r="V715" t="s">
        <v>803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43.19</v>
      </c>
      <c r="D716">
        <v>32</v>
      </c>
      <c r="E716">
        <v>1.3496875</v>
      </c>
      <c r="F716">
        <v>0.07293354943273907</v>
      </c>
      <c r="G716">
        <v>-0.05821156114741111</v>
      </c>
      <c r="H716">
        <v>0.01</v>
      </c>
      <c r="I716">
        <v>0.02913496739699695</v>
      </c>
      <c r="J716" t="s">
        <v>778</v>
      </c>
      <c r="K716" t="s">
        <v>372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0.622249726533964</v>
      </c>
      <c r="R716" t="s">
        <v>780</v>
      </c>
      <c r="S716" t="s">
        <v>793</v>
      </c>
      <c r="T716">
        <v>624.870727</v>
      </c>
      <c r="U716" s="2">
        <v>44519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46.85</v>
      </c>
      <c r="D717">
        <v>37</v>
      </c>
      <c r="E717">
        <v>1.266216216216216</v>
      </c>
      <c r="F717">
        <v>0.05272145144076841</v>
      </c>
      <c r="G717">
        <v>-0.04610971482781412</v>
      </c>
      <c r="H717">
        <v>0.02</v>
      </c>
      <c r="I717">
        <v>0.02724045270054165</v>
      </c>
      <c r="J717" t="s">
        <v>778</v>
      </c>
      <c r="K717" t="s">
        <v>372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0.9401801981266361</v>
      </c>
      <c r="R717" t="s">
        <v>782</v>
      </c>
      <c r="S717" t="s">
        <v>794</v>
      </c>
      <c r="T717">
        <v>13536.439032</v>
      </c>
      <c r="U717" s="2">
        <v>44511</v>
      </c>
      <c r="V717" t="s">
        <v>800</v>
      </c>
    </row>
    <row r="718" spans="1:22">
      <c r="A718" s="1" t="s">
        <v>738</v>
      </c>
      <c r="B718">
        <f>HYPERLINK("https://www.suredividend.com/sure-analysis-GWRS/","Global Water Resources Inc")</f>
        <v>0</v>
      </c>
      <c r="C718">
        <v>18.9</v>
      </c>
      <c r="D718">
        <v>15</v>
      </c>
      <c r="E718">
        <v>1.26</v>
      </c>
      <c r="F718">
        <v>0.01534391534391534</v>
      </c>
      <c r="G718">
        <v>-0.04517036223791504</v>
      </c>
      <c r="H718">
        <v>0.06</v>
      </c>
      <c r="I718">
        <v>0.02718210585318537</v>
      </c>
      <c r="J718" t="s">
        <v>778</v>
      </c>
      <c r="K718" t="s">
        <v>778</v>
      </c>
      <c r="L718">
        <v>0.4</v>
      </c>
      <c r="M718">
        <v>0.29</v>
      </c>
      <c r="N718">
        <v>0.7249999999999999</v>
      </c>
      <c r="O718">
        <v>6</v>
      </c>
      <c r="P718">
        <v>0.01988310171094443</v>
      </c>
      <c r="Q718">
        <v>0.5493243517428881</v>
      </c>
      <c r="R718" t="s">
        <v>780</v>
      </c>
      <c r="S718" t="s">
        <v>792</v>
      </c>
      <c r="T718">
        <v>432.372961</v>
      </c>
      <c r="U718" s="2">
        <v>44513</v>
      </c>
      <c r="V718" t="s">
        <v>795</v>
      </c>
    </row>
    <row r="719" spans="1:22">
      <c r="A719" s="1" t="s">
        <v>739</v>
      </c>
      <c r="B719">
        <f>HYPERLINK("https://www.suredividend.com/sure-analysis-EVA/","Enviva Partners LP")</f>
        <v>0</v>
      </c>
      <c r="C719">
        <v>70.06999999999999</v>
      </c>
      <c r="D719">
        <v>45</v>
      </c>
      <c r="E719">
        <v>1.557111111111111</v>
      </c>
      <c r="F719">
        <v>0.04795204795204795</v>
      </c>
      <c r="G719">
        <v>-0.08475770961309326</v>
      </c>
      <c r="H719">
        <v>0.055</v>
      </c>
      <c r="I719">
        <v>0.0240217435399166</v>
      </c>
      <c r="J719" t="s">
        <v>778</v>
      </c>
      <c r="K719" t="s">
        <v>513</v>
      </c>
      <c r="L719">
        <v>3.78</v>
      </c>
      <c r="M719">
        <v>3.36</v>
      </c>
      <c r="N719">
        <v>0.888888888888889</v>
      </c>
      <c r="O719">
        <v>5</v>
      </c>
      <c r="P719">
        <v>0.06016789231717445</v>
      </c>
      <c r="Q719">
        <v>0.682907146212495</v>
      </c>
      <c r="R719" t="s">
        <v>780</v>
      </c>
      <c r="S719" t="s">
        <v>788</v>
      </c>
      <c r="T719">
        <v>4262.668788</v>
      </c>
      <c r="U719" s="2">
        <v>44512</v>
      </c>
      <c r="V719" t="s">
        <v>801</v>
      </c>
    </row>
    <row r="720" spans="1:22">
      <c r="A720" s="1" t="s">
        <v>740</v>
      </c>
      <c r="B720">
        <f>HYPERLINK("https://www.suredividend.com/sure-analysis-LADR/","Ladder Capital Corp")</f>
        <v>0</v>
      </c>
      <c r="C720">
        <v>12.04</v>
      </c>
      <c r="D720">
        <v>8.5</v>
      </c>
      <c r="E720">
        <v>1.416470588235294</v>
      </c>
      <c r="F720">
        <v>0.0664451827242525</v>
      </c>
      <c r="G720">
        <v>-0.06726453996305159</v>
      </c>
      <c r="H720">
        <v>0.02</v>
      </c>
      <c r="I720">
        <v>0.0232142628298504</v>
      </c>
      <c r="J720" t="s">
        <v>778</v>
      </c>
      <c r="K720" t="s">
        <v>513</v>
      </c>
      <c r="L720">
        <v>0.4</v>
      </c>
      <c r="M720">
        <v>0.8</v>
      </c>
      <c r="N720">
        <v>2</v>
      </c>
      <c r="O720">
        <v>0</v>
      </c>
      <c r="P720">
        <v>0.009805797673485328</v>
      </c>
      <c r="Q720">
        <v>0.45208722285268</v>
      </c>
      <c r="R720" t="s">
        <v>782</v>
      </c>
      <c r="S720" t="s">
        <v>794</v>
      </c>
      <c r="T720">
        <v>1492.986709</v>
      </c>
      <c r="U720" s="2">
        <v>44513</v>
      </c>
      <c r="V720" t="s">
        <v>801</v>
      </c>
    </row>
    <row r="721" spans="1:22">
      <c r="A721" s="1" t="s">
        <v>741</v>
      </c>
      <c r="B721">
        <f>HYPERLINK("https://www.suredividend.com/sure-analysis-OLP/","One Liberty Properties, Inc.")</f>
        <v>0</v>
      </c>
      <c r="C721">
        <v>34.15</v>
      </c>
      <c r="D721">
        <v>25</v>
      </c>
      <c r="E721">
        <v>1.366</v>
      </c>
      <c r="F721">
        <v>0.0527086383601757</v>
      </c>
      <c r="G721">
        <v>-0.06047171320316003</v>
      </c>
      <c r="H721">
        <v>0.03</v>
      </c>
      <c r="I721">
        <v>0.02293576492518068</v>
      </c>
      <c r="J721" t="s">
        <v>778</v>
      </c>
      <c r="K721" t="s">
        <v>513</v>
      </c>
      <c r="L721">
        <v>1.9</v>
      </c>
      <c r="M721">
        <v>1.8</v>
      </c>
      <c r="N721">
        <v>0.9473684210526316</v>
      </c>
      <c r="O721">
        <v>0</v>
      </c>
      <c r="P721">
        <v>0.009805797673485328</v>
      </c>
      <c r="Q721">
        <v>1.092864375556613</v>
      </c>
      <c r="R721" t="s">
        <v>782</v>
      </c>
      <c r="S721" t="s">
        <v>794</v>
      </c>
      <c r="T721">
        <v>717.462689</v>
      </c>
      <c r="U721" s="2">
        <v>44513</v>
      </c>
      <c r="V721" t="s">
        <v>801</v>
      </c>
    </row>
    <row r="722" spans="1:22">
      <c r="A722" s="1" t="s">
        <v>742</v>
      </c>
      <c r="B722">
        <f>HYPERLINK("https://www.suredividend.com/sure-analysis-SJR/","Shaw Communications Inc.")</f>
        <v>0</v>
      </c>
      <c r="C722">
        <v>29.07</v>
      </c>
      <c r="D722">
        <v>22</v>
      </c>
      <c r="E722">
        <v>1.321363636363636</v>
      </c>
      <c r="F722">
        <v>0.03302373581011352</v>
      </c>
      <c r="G722">
        <v>-0.05420823170622868</v>
      </c>
      <c r="H722">
        <v>0.045</v>
      </c>
      <c r="I722">
        <v>0.02207884153976192</v>
      </c>
      <c r="J722" t="s">
        <v>778</v>
      </c>
      <c r="K722" t="s">
        <v>513</v>
      </c>
      <c r="L722">
        <v>1.26</v>
      </c>
      <c r="M722">
        <v>0.96</v>
      </c>
      <c r="N722">
        <v>0.7619047619047619</v>
      </c>
      <c r="O722">
        <v>0</v>
      </c>
      <c r="P722">
        <v>0.01417569496143978</v>
      </c>
      <c r="Q722">
        <v>0.7051877718919231</v>
      </c>
      <c r="R722" t="s">
        <v>780</v>
      </c>
      <c r="S722" t="s">
        <v>784</v>
      </c>
      <c r="T722">
        <v>13730.144621</v>
      </c>
      <c r="U722" s="2">
        <v>44514</v>
      </c>
      <c r="V722" t="s">
        <v>801</v>
      </c>
    </row>
    <row r="723" spans="1:22">
      <c r="A723" s="1" t="s">
        <v>743</v>
      </c>
      <c r="B723">
        <f>HYPERLINK("https://www.suredividend.com/sure-analysis-IRT/","Independence Realty Trust Inc")</f>
        <v>0</v>
      </c>
      <c r="C723">
        <v>25.33</v>
      </c>
      <c r="D723">
        <v>18.7</v>
      </c>
      <c r="E723">
        <v>1.354545454545454</v>
      </c>
      <c r="F723">
        <v>0.0189498618239242</v>
      </c>
      <c r="G723">
        <v>-0.0588880601068843</v>
      </c>
      <c r="H723">
        <v>0.059</v>
      </c>
      <c r="I723">
        <v>0.02171238686718691</v>
      </c>
      <c r="J723" t="s">
        <v>778</v>
      </c>
      <c r="K723" t="s">
        <v>778</v>
      </c>
      <c r="L723">
        <v>0.79</v>
      </c>
      <c r="M723">
        <v>0.48</v>
      </c>
      <c r="N723">
        <v>0.6075949367088607</v>
      </c>
      <c r="O723">
        <v>0</v>
      </c>
      <c r="P723">
        <v>0.1075663432482901</v>
      </c>
      <c r="Q723">
        <v>0.977779716259189</v>
      </c>
      <c r="R723" t="s">
        <v>782</v>
      </c>
      <c r="S723" t="s">
        <v>794</v>
      </c>
      <c r="T723">
        <v>2621.491858</v>
      </c>
      <c r="U723" s="2">
        <v>44503</v>
      </c>
      <c r="V723" t="s">
        <v>805</v>
      </c>
    </row>
    <row r="724" spans="1:22">
      <c r="A724" s="1" t="s">
        <v>744</v>
      </c>
      <c r="B724">
        <f>HYPERLINK("https://www.suredividend.com/sure-analysis-EQR/","Equity Residential Properties Trust")</f>
        <v>0</v>
      </c>
      <c r="C724">
        <v>86.66</v>
      </c>
      <c r="D724">
        <v>65</v>
      </c>
      <c r="E724">
        <v>1.333230769230769</v>
      </c>
      <c r="F724">
        <v>0.02792522501730902</v>
      </c>
      <c r="G724">
        <v>-0.0558979636114515</v>
      </c>
      <c r="H724">
        <v>0.048</v>
      </c>
      <c r="I724">
        <v>0.02060008097137844</v>
      </c>
      <c r="J724" t="s">
        <v>778</v>
      </c>
      <c r="K724" t="s">
        <v>778</v>
      </c>
      <c r="L724">
        <v>2.95</v>
      </c>
      <c r="M724">
        <v>2.42</v>
      </c>
      <c r="N724">
        <v>0.8203389830508474</v>
      </c>
      <c r="O724">
        <v>1</v>
      </c>
      <c r="P724">
        <v>0.04390548076893097</v>
      </c>
      <c r="Q724">
        <v>0.455433538845148</v>
      </c>
      <c r="R724" t="s">
        <v>782</v>
      </c>
      <c r="S724" t="s">
        <v>794</v>
      </c>
      <c r="T724">
        <v>31958.882439</v>
      </c>
      <c r="U724" s="2">
        <v>44496</v>
      </c>
      <c r="V724" t="s">
        <v>805</v>
      </c>
    </row>
    <row r="725" spans="1:22">
      <c r="A725" s="1" t="s">
        <v>745</v>
      </c>
      <c r="B725">
        <f>HYPERLINK("https://www.suredividend.com/sure-analysis-STAG/","STAG Industrial Inc")</f>
        <v>0</v>
      </c>
      <c r="C725">
        <v>43.05</v>
      </c>
      <c r="D725">
        <v>31</v>
      </c>
      <c r="E725">
        <v>1.388709677419355</v>
      </c>
      <c r="F725">
        <v>0.03368176538908246</v>
      </c>
      <c r="G725">
        <v>-0.06356484867496004</v>
      </c>
      <c r="H725">
        <v>0.05</v>
      </c>
      <c r="I725">
        <v>0.01755637142947353</v>
      </c>
      <c r="J725" t="s">
        <v>778</v>
      </c>
      <c r="K725" t="s">
        <v>513</v>
      </c>
      <c r="L725">
        <v>2.04</v>
      </c>
      <c r="M725">
        <v>1.45</v>
      </c>
      <c r="N725">
        <v>0.7107843137254901</v>
      </c>
      <c r="O725">
        <v>10</v>
      </c>
      <c r="P725">
        <v>0.006803348678863008</v>
      </c>
      <c r="Q725">
        <v>0.488618287151202</v>
      </c>
      <c r="R725" t="s">
        <v>782</v>
      </c>
      <c r="S725" t="s">
        <v>794</v>
      </c>
      <c r="T725">
        <v>7276.396332</v>
      </c>
      <c r="U725" s="2">
        <v>44516</v>
      </c>
      <c r="V725" t="s">
        <v>803</v>
      </c>
    </row>
    <row r="726" spans="1:22">
      <c r="A726" s="1" t="s">
        <v>746</v>
      </c>
      <c r="B726">
        <f>HYPERLINK("https://www.suredividend.com/sure-analysis-PEAK/","Healthpeak Properties Inc")</f>
        <v>0</v>
      </c>
      <c r="C726">
        <v>34.22</v>
      </c>
      <c r="D726">
        <v>24</v>
      </c>
      <c r="E726">
        <v>1.425833333333333</v>
      </c>
      <c r="F726">
        <v>0.03506721215663355</v>
      </c>
      <c r="G726">
        <v>-0.06849273304461378</v>
      </c>
      <c r="H726">
        <v>0.05</v>
      </c>
      <c r="I726">
        <v>0.016940655496537</v>
      </c>
      <c r="J726" t="s">
        <v>778</v>
      </c>
      <c r="K726" t="s">
        <v>513</v>
      </c>
      <c r="L726">
        <v>1.6</v>
      </c>
      <c r="M726">
        <v>1.2</v>
      </c>
      <c r="N726">
        <v>0.7499999999999999</v>
      </c>
      <c r="O726">
        <v>0</v>
      </c>
      <c r="P726">
        <v>0.03131030647754507</v>
      </c>
      <c r="Q726">
        <v>0.148677054938497</v>
      </c>
      <c r="R726" t="s">
        <v>782</v>
      </c>
      <c r="S726" t="s">
        <v>794</v>
      </c>
      <c r="T726">
        <v>18263.766915</v>
      </c>
      <c r="U726" s="2">
        <v>44515</v>
      </c>
      <c r="V726" t="s">
        <v>803</v>
      </c>
    </row>
    <row r="727" spans="1:22">
      <c r="A727" s="1" t="s">
        <v>747</v>
      </c>
      <c r="B727">
        <f>HYPERLINK("https://www.suredividend.com/sure-analysis-PSEC/","Prospect Capital Corp")</f>
        <v>0</v>
      </c>
      <c r="C727">
        <v>8.94</v>
      </c>
      <c r="D727">
        <v>6.1</v>
      </c>
      <c r="E727">
        <v>1.465573770491803</v>
      </c>
      <c r="F727">
        <v>0.08053691275167785</v>
      </c>
      <c r="G727">
        <v>-0.0736001773479843</v>
      </c>
      <c r="H727">
        <v>0</v>
      </c>
      <c r="I727">
        <v>0.01645192595079981</v>
      </c>
      <c r="J727" t="s">
        <v>778</v>
      </c>
      <c r="K727" t="s">
        <v>372</v>
      </c>
      <c r="L727">
        <v>0.72</v>
      </c>
      <c r="M727">
        <v>0.72</v>
      </c>
      <c r="N727">
        <v>1</v>
      </c>
      <c r="O727">
        <v>0</v>
      </c>
      <c r="P727">
        <v>0</v>
      </c>
      <c r="Q727">
        <v>0.8516985972607271</v>
      </c>
      <c r="R727" t="s">
        <v>783</v>
      </c>
      <c r="S727" t="s">
        <v>790</v>
      </c>
      <c r="T727">
        <v>3489.305175</v>
      </c>
      <c r="U727" s="2">
        <v>44444</v>
      </c>
      <c r="V727" t="s">
        <v>798</v>
      </c>
    </row>
    <row r="728" spans="1:22">
      <c r="A728" s="1" t="s">
        <v>748</v>
      </c>
      <c r="B728">
        <f>HYPERLINK("https://www.suredividend.com/sure-analysis-PLYM/","Plymouth Industrial Reit Inc")</f>
        <v>0</v>
      </c>
      <c r="C728">
        <v>30.12</v>
      </c>
      <c r="D728">
        <v>20</v>
      </c>
      <c r="E728">
        <v>1.506</v>
      </c>
      <c r="F728">
        <v>0.02788844621513944</v>
      </c>
      <c r="G728">
        <v>-0.07862800957701643</v>
      </c>
      <c r="H728">
        <v>0.07000000000000001</v>
      </c>
      <c r="I728">
        <v>0.01451465605929703</v>
      </c>
      <c r="J728" t="s">
        <v>778</v>
      </c>
      <c r="K728" t="s">
        <v>513</v>
      </c>
      <c r="L728">
        <v>1.39</v>
      </c>
      <c r="M728">
        <v>0.84</v>
      </c>
      <c r="N728">
        <v>0.6043165467625899</v>
      </c>
      <c r="O728">
        <v>0</v>
      </c>
      <c r="P728">
        <v>0.009347419909568888</v>
      </c>
      <c r="Q728">
        <v>1.358441970123232</v>
      </c>
      <c r="R728" t="s">
        <v>782</v>
      </c>
      <c r="S728" t="s">
        <v>794</v>
      </c>
      <c r="T728">
        <v>1029.85846</v>
      </c>
      <c r="U728" s="2">
        <v>44513</v>
      </c>
      <c r="V728" t="s">
        <v>801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56.71</v>
      </c>
      <c r="D729">
        <v>40</v>
      </c>
      <c r="E729">
        <v>1.41775</v>
      </c>
      <c r="F729">
        <v>0.02556868277199788</v>
      </c>
      <c r="G729">
        <v>-0.06743294535447009</v>
      </c>
      <c r="H729">
        <v>0.055</v>
      </c>
      <c r="I729">
        <v>0.01365630554831054</v>
      </c>
      <c r="J729" t="s">
        <v>778</v>
      </c>
      <c r="K729" t="s">
        <v>778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0.463627681322237</v>
      </c>
      <c r="R729" t="s">
        <v>782</v>
      </c>
      <c r="S729" t="s">
        <v>794</v>
      </c>
      <c r="T729">
        <v>17200.038264</v>
      </c>
      <c r="U729" s="2">
        <v>44512</v>
      </c>
      <c r="V729" t="s">
        <v>801</v>
      </c>
    </row>
    <row r="730" spans="1:22">
      <c r="A730" s="1" t="s">
        <v>750</v>
      </c>
      <c r="B730">
        <f>HYPERLINK("https://www.suredividend.com/sure-analysis-GAIN/","Gladstone Investment Corporation")</f>
        <v>0</v>
      </c>
      <c r="C730">
        <v>16.79</v>
      </c>
      <c r="D730">
        <v>11</v>
      </c>
      <c r="E730">
        <v>1.526363636363636</v>
      </c>
      <c r="F730">
        <v>0.05360333531864205</v>
      </c>
      <c r="G730">
        <v>-0.08109969049873123</v>
      </c>
      <c r="H730">
        <v>0.03</v>
      </c>
      <c r="I730">
        <v>0.008531951414870287</v>
      </c>
      <c r="J730" t="s">
        <v>778</v>
      </c>
      <c r="K730" t="s">
        <v>513</v>
      </c>
      <c r="L730">
        <v>0.8</v>
      </c>
      <c r="M730">
        <v>0.9</v>
      </c>
      <c r="N730">
        <v>1.125</v>
      </c>
      <c r="O730">
        <v>1</v>
      </c>
      <c r="P730">
        <v>0.01924487649145656</v>
      </c>
      <c r="Q730">
        <v>0.8561202101017261</v>
      </c>
      <c r="R730" t="s">
        <v>783</v>
      </c>
      <c r="S730" t="s">
        <v>790</v>
      </c>
      <c r="T730">
        <v>556.184135</v>
      </c>
      <c r="U730" s="2">
        <v>44512</v>
      </c>
      <c r="V730" t="s">
        <v>800</v>
      </c>
    </row>
    <row r="731" spans="1:22">
      <c r="A731" s="1" t="s">
        <v>751</v>
      </c>
      <c r="B731">
        <f>HYPERLINK("https://www.suredividend.com/sure-analysis-SJT/","San Juan Basin Royalty Trust")</f>
        <v>0</v>
      </c>
      <c r="C731">
        <v>7.5</v>
      </c>
      <c r="D731">
        <v>4.8</v>
      </c>
      <c r="E731">
        <v>1.5625</v>
      </c>
      <c r="F731">
        <v>0.08</v>
      </c>
      <c r="G731">
        <v>-0.08538989614534731</v>
      </c>
      <c r="H731">
        <v>0</v>
      </c>
      <c r="I731">
        <v>0.007874988517892145</v>
      </c>
      <c r="J731" t="s">
        <v>778</v>
      </c>
      <c r="K731" t="s">
        <v>372</v>
      </c>
      <c r="L731">
        <v>0.6</v>
      </c>
      <c r="M731">
        <v>0.6</v>
      </c>
      <c r="N731">
        <v>1</v>
      </c>
      <c r="O731">
        <v>1</v>
      </c>
      <c r="P731">
        <v>0</v>
      </c>
      <c r="Q731">
        <v>1.131020419885694</v>
      </c>
      <c r="R731" t="s">
        <v>780</v>
      </c>
      <c r="S731" t="s">
        <v>793</v>
      </c>
      <c r="T731">
        <v>345.837266</v>
      </c>
      <c r="U731" s="2">
        <v>44519</v>
      </c>
      <c r="V731" t="s">
        <v>803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18.39</v>
      </c>
      <c r="D732">
        <v>11.5</v>
      </c>
      <c r="E732">
        <v>1.599130434782609</v>
      </c>
      <c r="F732">
        <v>0.07830342577487764</v>
      </c>
      <c r="G732">
        <v>-0.08961892250315695</v>
      </c>
      <c r="H732">
        <v>0.008</v>
      </c>
      <c r="I732">
        <v>0.007044881354000498</v>
      </c>
      <c r="J732" t="s">
        <v>778</v>
      </c>
      <c r="K732" t="s">
        <v>372</v>
      </c>
      <c r="L732">
        <v>1.6</v>
      </c>
      <c r="M732">
        <v>1.44</v>
      </c>
      <c r="N732">
        <v>0.8999999999999999</v>
      </c>
      <c r="O732">
        <v>9</v>
      </c>
      <c r="P732">
        <v>-0.005618333193698977</v>
      </c>
      <c r="Q732">
        <v>0.469716531468985</v>
      </c>
      <c r="R732" t="s">
        <v>782</v>
      </c>
      <c r="S732" t="s">
        <v>794</v>
      </c>
      <c r="T732">
        <v>2588.420528</v>
      </c>
      <c r="U732" s="2">
        <v>44506</v>
      </c>
      <c r="V732" t="s">
        <v>805</v>
      </c>
    </row>
    <row r="733" spans="1:22">
      <c r="A733" s="1" t="s">
        <v>753</v>
      </c>
      <c r="B733">
        <f>HYPERLINK("https://www.suredividend.com/sure-analysis-DREUF/","Dream Industrial Real Estate Investment Trust")</f>
        <v>0</v>
      </c>
      <c r="C733">
        <v>13.2399</v>
      </c>
      <c r="D733">
        <v>9</v>
      </c>
      <c r="E733">
        <v>1.4711</v>
      </c>
      <c r="F733">
        <v>0.04380697739408908</v>
      </c>
      <c r="G733">
        <v>-0.07429723506496966</v>
      </c>
      <c r="H733">
        <v>0.035</v>
      </c>
      <c r="I733">
        <v>0.005663745997408043</v>
      </c>
      <c r="J733" t="s">
        <v>778</v>
      </c>
      <c r="K733" t="s">
        <v>513</v>
      </c>
      <c r="L733">
        <v>0.65</v>
      </c>
      <c r="M733">
        <v>0.58</v>
      </c>
      <c r="N733">
        <v>0.8923076923076922</v>
      </c>
      <c r="O733">
        <v>0</v>
      </c>
      <c r="P733">
        <v>0.003424737731033467</v>
      </c>
      <c r="Q733">
        <v>0.376288981288981</v>
      </c>
      <c r="R733" t="s">
        <v>782</v>
      </c>
      <c r="S733" t="s">
        <v>790</v>
      </c>
      <c r="T733">
        <v>3041.569154</v>
      </c>
      <c r="U733" s="2">
        <v>44513</v>
      </c>
      <c r="V733" t="s">
        <v>801</v>
      </c>
    </row>
    <row r="734" spans="1:22">
      <c r="A734" s="1" t="s">
        <v>754</v>
      </c>
      <c r="B734">
        <f>HYPERLINK("https://www.suredividend.com/sure-analysis-LXP/","Lexington Realty Trust")</f>
        <v>0</v>
      </c>
      <c r="C734">
        <v>15.24</v>
      </c>
      <c r="D734">
        <v>11</v>
      </c>
      <c r="E734">
        <v>1.385454545454545</v>
      </c>
      <c r="F734">
        <v>0.03149606299212598</v>
      </c>
      <c r="G734">
        <v>-0.06312522987794666</v>
      </c>
      <c r="H734">
        <v>0.035</v>
      </c>
      <c r="I734">
        <v>0.003702440127001605</v>
      </c>
      <c r="J734" t="s">
        <v>778</v>
      </c>
      <c r="K734" t="s">
        <v>513</v>
      </c>
      <c r="L734">
        <v>0.76</v>
      </c>
      <c r="M734">
        <v>0.48</v>
      </c>
      <c r="N734">
        <v>0.631578947368421</v>
      </c>
      <c r="O734">
        <v>2</v>
      </c>
      <c r="P734">
        <v>0.008197818497166498</v>
      </c>
      <c r="Q734">
        <v>0.5406417653608661</v>
      </c>
      <c r="R734" t="s">
        <v>782</v>
      </c>
      <c r="S734" t="s">
        <v>794</v>
      </c>
      <c r="T734">
        <v>4304.481315</v>
      </c>
      <c r="U734" s="2">
        <v>44513</v>
      </c>
      <c r="V734" t="s">
        <v>801</v>
      </c>
    </row>
    <row r="735" spans="1:22">
      <c r="A735" s="1" t="s">
        <v>755</v>
      </c>
      <c r="B735">
        <f>HYPERLINK("https://www.suredividend.com/sure-analysis-UBA/","Urstadt Biddle Properties, Inc.")</f>
        <v>0</v>
      </c>
      <c r="C735">
        <v>20.48</v>
      </c>
      <c r="D735">
        <v>14</v>
      </c>
      <c r="E735">
        <v>1.462857142857143</v>
      </c>
      <c r="F735">
        <v>0.044921875</v>
      </c>
      <c r="G735">
        <v>-0.07325635485116244</v>
      </c>
      <c r="H735">
        <v>0.018</v>
      </c>
      <c r="I735">
        <v>-0.0004562250638361354</v>
      </c>
      <c r="J735" t="s">
        <v>778</v>
      </c>
      <c r="K735" t="s">
        <v>372</v>
      </c>
      <c r="L735">
        <v>1.37</v>
      </c>
      <c r="M735">
        <v>0.92</v>
      </c>
      <c r="N735">
        <v>0.6715328467153284</v>
      </c>
      <c r="O735">
        <v>0</v>
      </c>
      <c r="P735">
        <v>0.03638464900130689</v>
      </c>
      <c r="Q735">
        <v>0.6771866546438231</v>
      </c>
      <c r="R735" t="s">
        <v>782</v>
      </c>
      <c r="S735" t="s">
        <v>794</v>
      </c>
      <c r="T735">
        <v>795.436274</v>
      </c>
      <c r="U735" s="2">
        <v>44452</v>
      </c>
      <c r="V735" t="s">
        <v>805</v>
      </c>
    </row>
    <row r="736" spans="1:22">
      <c r="A736" s="1" t="s">
        <v>756</v>
      </c>
      <c r="B736">
        <f>HYPERLINK("https://www.suredividend.com/sure-analysis-MPC/","Marathon Petroleum Corp")</f>
        <v>0</v>
      </c>
      <c r="C736">
        <v>63.85</v>
      </c>
      <c r="D736">
        <v>49</v>
      </c>
      <c r="E736">
        <v>1.303061224489796</v>
      </c>
      <c r="F736">
        <v>0.03633516053249804</v>
      </c>
      <c r="G736">
        <v>-0.05156617194394597</v>
      </c>
      <c r="H736">
        <v>0.01</v>
      </c>
      <c r="I736">
        <v>-0.001233825923997567</v>
      </c>
      <c r="J736" t="s">
        <v>778</v>
      </c>
      <c r="K736" t="s">
        <v>513</v>
      </c>
      <c r="L736">
        <v>1.5</v>
      </c>
      <c r="M736">
        <v>2.32</v>
      </c>
      <c r="N736">
        <v>1.546666666666667</v>
      </c>
      <c r="O736">
        <v>9</v>
      </c>
      <c r="P736">
        <v>0.01013720758985226</v>
      </c>
      <c r="Q736">
        <v>0.6586186870859501</v>
      </c>
      <c r="R736" t="s">
        <v>780</v>
      </c>
      <c r="S736" t="s">
        <v>793</v>
      </c>
      <c r="T736">
        <v>37975.604041</v>
      </c>
      <c r="U736" s="2">
        <v>44504</v>
      </c>
      <c r="V736" t="s">
        <v>803</v>
      </c>
    </row>
    <row r="737" spans="1:22">
      <c r="A737" s="1" t="s">
        <v>757</v>
      </c>
      <c r="B737">
        <f>HYPERLINK("https://www.suredividend.com/sure-analysis-GLAD/","Gladstone Capital Corp.")</f>
        <v>0</v>
      </c>
      <c r="C737">
        <v>12.15</v>
      </c>
      <c r="D737">
        <v>8</v>
      </c>
      <c r="E737">
        <v>1.51875</v>
      </c>
      <c r="F737">
        <v>0.06419753086419754</v>
      </c>
      <c r="G737">
        <v>-0.08018022569252348</v>
      </c>
      <c r="H737">
        <v>0</v>
      </c>
      <c r="I737">
        <v>-0.004149520781882909</v>
      </c>
      <c r="J737" t="s">
        <v>778</v>
      </c>
      <c r="K737" t="s">
        <v>372</v>
      </c>
      <c r="L737">
        <v>0.8</v>
      </c>
      <c r="M737">
        <v>0.78</v>
      </c>
      <c r="N737">
        <v>0.975</v>
      </c>
      <c r="O737">
        <v>0</v>
      </c>
      <c r="P737">
        <v>0</v>
      </c>
      <c r="Q737">
        <v>0.5152100310251161</v>
      </c>
      <c r="R737" t="s">
        <v>780</v>
      </c>
      <c r="S737" t="s">
        <v>790</v>
      </c>
      <c r="T737">
        <v>403.762447</v>
      </c>
      <c r="U737" s="2">
        <v>44520</v>
      </c>
      <c r="V737" t="s">
        <v>798</v>
      </c>
    </row>
    <row r="738" spans="1:22">
      <c r="A738" s="1" t="s">
        <v>758</v>
      </c>
      <c r="B738">
        <f>HYPERLINK("https://www.suredividend.com/sure-analysis-PPRQF/","Choice Properties Real Estate Investment Trust")</f>
        <v>0</v>
      </c>
      <c r="C738">
        <v>11.7395</v>
      </c>
      <c r="D738">
        <v>6.7</v>
      </c>
      <c r="E738">
        <v>1.752164179104478</v>
      </c>
      <c r="F738">
        <v>0.05025767707312918</v>
      </c>
      <c r="G738">
        <v>-0.1061080206098813</v>
      </c>
      <c r="H738">
        <v>0.049</v>
      </c>
      <c r="I738">
        <v>-0.00584904298829525</v>
      </c>
      <c r="J738" t="s">
        <v>778</v>
      </c>
      <c r="K738" t="s">
        <v>513</v>
      </c>
      <c r="L738">
        <v>0.67</v>
      </c>
      <c r="M738">
        <v>0.59</v>
      </c>
      <c r="N738">
        <v>0.880597014925373</v>
      </c>
      <c r="O738">
        <v>1</v>
      </c>
      <c r="P738">
        <v>-0.006873503878979115</v>
      </c>
      <c r="Q738">
        <v>0.125369620761921</v>
      </c>
      <c r="R738" t="s">
        <v>782</v>
      </c>
      <c r="S738" t="s">
        <v>790</v>
      </c>
      <c r="T738">
        <v>3851.584855</v>
      </c>
      <c r="U738" s="2">
        <v>44509</v>
      </c>
      <c r="V738" t="s">
        <v>805</v>
      </c>
    </row>
    <row r="739" spans="1:22">
      <c r="A739" s="1" t="s">
        <v>759</v>
      </c>
      <c r="B739">
        <f>HYPERLINK("https://www.suredividend.com/sure-analysis-HP/","Helmerich &amp; Payne, Inc.")</f>
        <v>0</v>
      </c>
      <c r="C739">
        <v>25.59</v>
      </c>
      <c r="D739">
        <v>9</v>
      </c>
      <c r="E739">
        <v>2.843333333333333</v>
      </c>
      <c r="F739">
        <v>0.0390777647518562</v>
      </c>
      <c r="G739">
        <v>-0.1886010437496463</v>
      </c>
      <c r="H739">
        <v>0.17</v>
      </c>
      <c r="I739">
        <v>-0.006797271650833103</v>
      </c>
      <c r="J739" t="s">
        <v>778</v>
      </c>
      <c r="K739" t="s">
        <v>513</v>
      </c>
      <c r="L739">
        <v>0.55</v>
      </c>
      <c r="M739">
        <v>1</v>
      </c>
      <c r="N739">
        <v>1.818181818181818</v>
      </c>
      <c r="O739">
        <v>0</v>
      </c>
      <c r="P739">
        <v>0</v>
      </c>
      <c r="Q739">
        <v>0.277570454252992</v>
      </c>
      <c r="R739" t="s">
        <v>780</v>
      </c>
      <c r="S739" t="s">
        <v>793</v>
      </c>
      <c r="T739">
        <v>2680.616168</v>
      </c>
      <c r="U739" s="2">
        <v>44524</v>
      </c>
      <c r="V739" t="s">
        <v>803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372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HYPERLINK("https://www.suredividend.com/sure-analysis-LAMR/","Lamar Advertising Co")</f>
        <v>0</v>
      </c>
      <c r="C741">
        <v>113.55</v>
      </c>
      <c r="D741">
        <v>78</v>
      </c>
      <c r="E741">
        <v>1.455769230769231</v>
      </c>
      <c r="F741">
        <v>0.03522677234698371</v>
      </c>
      <c r="G741">
        <v>-0.07235567336309756</v>
      </c>
      <c r="H741">
        <v>0.001</v>
      </c>
      <c r="I741">
        <v>-0.02825245150639732</v>
      </c>
      <c r="J741" t="s">
        <v>778</v>
      </c>
      <c r="K741" t="s">
        <v>513</v>
      </c>
      <c r="L741">
        <v>6.48</v>
      </c>
      <c r="M741">
        <v>4</v>
      </c>
      <c r="N741">
        <v>0.6172839506172839</v>
      </c>
      <c r="O741">
        <v>1</v>
      </c>
      <c r="P741">
        <v>0</v>
      </c>
      <c r="Q741">
        <v>0.544606650446066</v>
      </c>
      <c r="R741" t="s">
        <v>782</v>
      </c>
      <c r="S741" t="s">
        <v>794</v>
      </c>
      <c r="T741">
        <v>9920.852267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85.78</v>
      </c>
      <c r="D742">
        <v>56</v>
      </c>
      <c r="E742">
        <v>1.531785714285714</v>
      </c>
      <c r="F742">
        <v>0.0284448589414782</v>
      </c>
      <c r="G742">
        <v>-0.08175114174064868</v>
      </c>
      <c r="H742">
        <v>0.012</v>
      </c>
      <c r="I742">
        <v>-0.03019904920596028</v>
      </c>
      <c r="J742" t="s">
        <v>778</v>
      </c>
      <c r="K742" t="s">
        <v>513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0.344011621117028</v>
      </c>
      <c r="R742" t="s">
        <v>782</v>
      </c>
      <c r="S742" t="s">
        <v>794</v>
      </c>
      <c r="T742">
        <v>36567.413097</v>
      </c>
      <c r="U742" s="2">
        <v>44505</v>
      </c>
      <c r="V742" t="s">
        <v>804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54.93</v>
      </c>
      <c r="D743">
        <v>35.5</v>
      </c>
      <c r="E743">
        <v>1.547323943661972</v>
      </c>
      <c r="F743">
        <v>0.06517385763699254</v>
      </c>
      <c r="G743">
        <v>-0.08360280580341439</v>
      </c>
      <c r="H743">
        <v>-0.053</v>
      </c>
      <c r="I743">
        <v>-0.04709671586344943</v>
      </c>
      <c r="J743" t="s">
        <v>778</v>
      </c>
      <c r="K743" t="s">
        <v>372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0.8370465366931791</v>
      </c>
      <c r="R743" t="s">
        <v>780</v>
      </c>
      <c r="S743" t="s">
        <v>790</v>
      </c>
      <c r="T743">
        <v>5318.898411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28.25</v>
      </c>
      <c r="D744">
        <v>14</v>
      </c>
      <c r="E744">
        <v>2.017857142857143</v>
      </c>
      <c r="F744">
        <v>0.01911504424778761</v>
      </c>
      <c r="G744">
        <v>-0.130995717452032</v>
      </c>
      <c r="H744">
        <v>0.06</v>
      </c>
      <c r="I744">
        <v>-0.05139218317245453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0.9207323302842271</v>
      </c>
      <c r="R744" t="s">
        <v>782</v>
      </c>
      <c r="S744" t="s">
        <v>794</v>
      </c>
      <c r="T744">
        <v>964.722367</v>
      </c>
      <c r="U744" s="2">
        <v>44424</v>
      </c>
      <c r="V744" t="s">
        <v>798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9.24</v>
      </c>
      <c r="D745">
        <v>2.7</v>
      </c>
      <c r="E745">
        <v>3.422222222222222</v>
      </c>
      <c r="F745">
        <v>0.02272727272727272</v>
      </c>
      <c r="G745">
        <v>-0.2181231428630402</v>
      </c>
      <c r="H745">
        <v>0.13</v>
      </c>
      <c r="I745">
        <v>-0.06734915394189867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2.557804887260641</v>
      </c>
      <c r="R745" t="s">
        <v>780</v>
      </c>
      <c r="S745" t="s">
        <v>793</v>
      </c>
      <c r="T745">
        <v>439.054858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5.9</v>
      </c>
      <c r="D746">
        <v>3.1</v>
      </c>
      <c r="E746">
        <v>1.903225806451613</v>
      </c>
      <c r="F746">
        <v>0.01016949152542373</v>
      </c>
      <c r="G746">
        <v>-0.1207711371410769</v>
      </c>
      <c r="H746">
        <v>0.026</v>
      </c>
      <c r="I746">
        <v>-0.08030166911578129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0.8511593118922961</v>
      </c>
      <c r="R746" t="s">
        <v>780</v>
      </c>
      <c r="S746" t="s">
        <v>790</v>
      </c>
      <c r="T746">
        <v>76.95452400000001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28.73</v>
      </c>
      <c r="D747">
        <v>11</v>
      </c>
      <c r="E747">
        <v>2.611818181818182</v>
      </c>
      <c r="F747">
        <v>0.05777932474765054</v>
      </c>
      <c r="G747">
        <v>-0.1747008233643161</v>
      </c>
      <c r="H747">
        <v>0.02</v>
      </c>
      <c r="I747">
        <v>-0.09396111915364336</v>
      </c>
      <c r="J747" t="s">
        <v>778</v>
      </c>
      <c r="K747" t="s">
        <v>372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0.035763071468015</v>
      </c>
      <c r="R747" t="s">
        <v>780</v>
      </c>
      <c r="S747" t="s">
        <v>792</v>
      </c>
      <c r="T747">
        <v>21941.462071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HYPERLINK("https://www.suredividend.com/sure-analysis-CVA/","Covanta Holding Corporation")</f>
        <v>0</v>
      </c>
      <c r="C748">
        <v>20.23</v>
      </c>
      <c r="D748">
        <v>5.55</v>
      </c>
      <c r="E748">
        <v>3.645045045045045</v>
      </c>
      <c r="F748">
        <v>0.01581809194265942</v>
      </c>
      <c r="G748">
        <v>-0.2279251245103541</v>
      </c>
      <c r="H748">
        <v>0.1</v>
      </c>
      <c r="I748">
        <v>-0.1222816331061856</v>
      </c>
      <c r="J748" t="s">
        <v>778</v>
      </c>
      <c r="K748" t="s">
        <v>778</v>
      </c>
      <c r="L748">
        <v>0.37</v>
      </c>
      <c r="M748">
        <v>0.32</v>
      </c>
      <c r="N748">
        <v>0.8648648648648649</v>
      </c>
      <c r="O748">
        <v>0</v>
      </c>
      <c r="P748">
        <v>0</v>
      </c>
      <c r="Q748">
        <v>0.76594278135988</v>
      </c>
      <c r="R748" t="s">
        <v>780</v>
      </c>
      <c r="S748" t="s">
        <v>787</v>
      </c>
      <c r="T748">
        <v>2692.105844</v>
      </c>
      <c r="U748" s="2">
        <v>44507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7.63</v>
      </c>
      <c r="D749">
        <v>5.95</v>
      </c>
      <c r="E749">
        <v>1.28235294117647</v>
      </c>
      <c r="F749">
        <v>0.01048492791612058</v>
      </c>
      <c r="G749">
        <v>-0.04852258158812939</v>
      </c>
      <c r="H749">
        <v>-0.1</v>
      </c>
      <c r="I749">
        <v>-0.1250035630049068</v>
      </c>
      <c r="J749" t="s">
        <v>778</v>
      </c>
      <c r="K749" t="s">
        <v>778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0.7938440221694371</v>
      </c>
      <c r="R749" t="s">
        <v>780</v>
      </c>
      <c r="S749" t="s">
        <v>793</v>
      </c>
      <c r="T749">
        <v>1559.563421</v>
      </c>
      <c r="U749" s="2">
        <v>44516</v>
      </c>
      <c r="V749" t="s">
        <v>803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42.51</v>
      </c>
      <c r="D750">
        <v>12</v>
      </c>
      <c r="E750">
        <v>3.5425</v>
      </c>
      <c r="F750">
        <v>0.0002352387673488591</v>
      </c>
      <c r="G750">
        <v>-0.223506135974378</v>
      </c>
      <c r="H750">
        <v>0.06</v>
      </c>
      <c r="I750">
        <v>-0.1733353585552059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0.6998053657978091</v>
      </c>
      <c r="R750" t="s">
        <v>780</v>
      </c>
      <c r="S750" t="s">
        <v>789</v>
      </c>
      <c r="T750">
        <v>20887.471407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33.29</v>
      </c>
      <c r="D751">
        <v>39</v>
      </c>
      <c r="E751">
        <v>0.8535897435897436</v>
      </c>
      <c r="F751">
        <v>0</v>
      </c>
      <c r="G751">
        <v>0.03216745749312167</v>
      </c>
      <c r="H751">
        <v>0.03</v>
      </c>
      <c r="I751">
        <v>0.08218916308685564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0.4538777667416911</v>
      </c>
      <c r="R751" t="s">
        <v>780</v>
      </c>
      <c r="S751" t="s">
        <v>793</v>
      </c>
      <c r="T751">
        <v>5185.254859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2.17</v>
      </c>
      <c r="D752">
        <v>3.46</v>
      </c>
      <c r="E752">
        <v>0.6271676300578034</v>
      </c>
      <c r="F752">
        <v>0</v>
      </c>
      <c r="G752">
        <v>0.09780011765101393</v>
      </c>
      <c r="H752">
        <v>-0.015</v>
      </c>
      <c r="I752">
        <v>0.08133311588624892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-0.199248120300752</v>
      </c>
      <c r="R752" t="s">
        <v>781</v>
      </c>
      <c r="S752" t="s">
        <v>793</v>
      </c>
      <c r="T752">
        <v>276.03509</v>
      </c>
      <c r="U752" s="2">
        <v>44515</v>
      </c>
      <c r="V752" t="s">
        <v>801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12.59</v>
      </c>
      <c r="D753">
        <v>11</v>
      </c>
      <c r="E753">
        <v>1.144545454545455</v>
      </c>
      <c r="F753">
        <v>0</v>
      </c>
      <c r="G753">
        <v>-0.02664023316703013</v>
      </c>
      <c r="H753">
        <v>0.05</v>
      </c>
      <c r="I753">
        <v>0.0469861548828916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0.149628252788104</v>
      </c>
      <c r="R753" t="s">
        <v>782</v>
      </c>
      <c r="S753" t="s">
        <v>794</v>
      </c>
      <c r="T753">
        <v>603.262399</v>
      </c>
      <c r="U753" s="2">
        <v>44512</v>
      </c>
      <c r="V753" t="s">
        <v>801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18.82</v>
      </c>
      <c r="D754">
        <v>18</v>
      </c>
      <c r="E754">
        <v>1.045555555555556</v>
      </c>
      <c r="F754">
        <v>0</v>
      </c>
      <c r="G754">
        <v>-0.008870101712004752</v>
      </c>
      <c r="H754">
        <v>0.015</v>
      </c>
      <c r="I754">
        <v>0.04355206354634289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0.244680851063829</v>
      </c>
      <c r="R754" t="s">
        <v>782</v>
      </c>
      <c r="S754" t="s">
        <v>794</v>
      </c>
      <c r="T754">
        <v>4426.890231</v>
      </c>
      <c r="U754" s="2">
        <v>44513</v>
      </c>
      <c r="V754" t="s">
        <v>801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3.042</v>
      </c>
      <c r="D755">
        <v>2.24</v>
      </c>
      <c r="E755">
        <v>1.358035714285714</v>
      </c>
      <c r="F755">
        <v>0</v>
      </c>
      <c r="G755">
        <v>-0.05937230468141752</v>
      </c>
      <c r="H755">
        <v>0.03</v>
      </c>
      <c r="I755">
        <v>0.0003136707750723833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-0.051331628516185</v>
      </c>
      <c r="R755" t="s">
        <v>780</v>
      </c>
      <c r="S755" t="s">
        <v>787</v>
      </c>
      <c r="T755">
        <v>540.414001</v>
      </c>
      <c r="U755" s="2">
        <v>44515</v>
      </c>
      <c r="V755" t="s">
        <v>801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789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479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719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396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646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677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640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652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678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690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600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720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559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747</v>
      </c>
      <c r="B341">
        <v>43853</v>
      </c>
    </row>
    <row r="342" spans="1:2">
      <c r="A342" s="1" t="s">
        <v>686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649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366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569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656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680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726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713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716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683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643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594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420</v>
      </c>
      <c r="B483">
        <v>43832</v>
      </c>
    </row>
    <row r="484" spans="1:2">
      <c r="A484" s="1" t="s">
        <v>357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695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639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685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544</v>
      </c>
      <c r="B561">
        <v>43845</v>
      </c>
    </row>
    <row r="562" spans="1:2">
      <c r="A562" s="1" t="s">
        <v>709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658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670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676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632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681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454</v>
      </c>
      <c r="B629">
        <v>43845</v>
      </c>
    </row>
    <row r="630" spans="1:2">
      <c r="A630" s="1" t="s">
        <v>653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748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757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722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729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740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705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383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209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739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697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701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349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498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679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371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768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528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759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404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741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660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509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511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499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662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441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641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742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542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584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191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523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689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369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721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501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750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266</v>
      </c>
      <c r="B1527">
        <v>43830</v>
      </c>
    </row>
    <row r="1528" spans="1:2">
      <c r="A1528" s="1" t="s">
        <v>365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342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623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423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351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491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49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547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731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651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637</v>
      </c>
      <c r="B1677" t="s">
        <v>10116</v>
      </c>
    </row>
    <row r="1678" spans="1:2">
      <c r="A1678" s="1" t="s">
        <v>473</v>
      </c>
      <c r="B1678">
        <v>43741</v>
      </c>
    </row>
    <row r="1679" spans="1:2">
      <c r="A1679" s="1" t="s">
        <v>512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557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743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496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555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247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398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494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718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412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615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524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221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520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634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561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745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529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451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755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580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663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421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513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374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692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217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400</v>
      </c>
      <c r="B2101">
        <v>43802</v>
      </c>
    </row>
    <row r="2102" spans="1:2">
      <c r="A2102" s="1" t="s">
        <v>761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548</v>
      </c>
      <c r="B2124" t="s">
        <v>779</v>
      </c>
    </row>
    <row r="2125" spans="1:2">
      <c r="A2125" s="1" t="s">
        <v>585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645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604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408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380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551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427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246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83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616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565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693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228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703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202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478</v>
      </c>
      <c r="B2358">
        <v>43809</v>
      </c>
    </row>
    <row r="2359" spans="1:2">
      <c r="A2359" s="1" t="s">
        <v>500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201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430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657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222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487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572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431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273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571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231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521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442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394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291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215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502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397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733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527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699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76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34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531</v>
      </c>
      <c r="B2584">
        <v>43846</v>
      </c>
    </row>
    <row r="2585" spans="1:2">
      <c r="A2585" s="1" t="s">
        <v>444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395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595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350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271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212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633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413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148</v>
      </c>
      <c r="B2652">
        <v>43832</v>
      </c>
    </row>
    <row r="2653" spans="1:2">
      <c r="A2653" s="1" t="s">
        <v>488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560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732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340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419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530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667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237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575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364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756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62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52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550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533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675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410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276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292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230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310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74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447</v>
      </c>
      <c r="B2913">
        <v>43629</v>
      </c>
    </row>
    <row r="2914" spans="1:2">
      <c r="A2914" s="1" t="s">
        <v>36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535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186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355</v>
      </c>
      <c r="B2987">
        <v>43803</v>
      </c>
    </row>
    <row r="2988" spans="1:2">
      <c r="A2988" s="1" t="s">
        <v>284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130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203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567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378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543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269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46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613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435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644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618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259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507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552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517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348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240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576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607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516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409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382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376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568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352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242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744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168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80</v>
      </c>
      <c r="B3364">
        <v>43818</v>
      </c>
    </row>
    <row r="3365" spans="1:2">
      <c r="A3365" s="1" t="s">
        <v>289</v>
      </c>
      <c r="B3365">
        <v>43837</v>
      </c>
    </row>
    <row r="3366" spans="1:2">
      <c r="A3366" s="1" t="s">
        <v>32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84</v>
      </c>
      <c r="B3400">
        <v>43845</v>
      </c>
    </row>
    <row r="3401" spans="1:2">
      <c r="A3401" s="1" t="s">
        <v>373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206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577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461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598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223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257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250</v>
      </c>
      <c r="B3463">
        <v>43845</v>
      </c>
    </row>
    <row r="3464" spans="1:2">
      <c r="A3464" s="1" t="s">
        <v>200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627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694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665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67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268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573</v>
      </c>
      <c r="B3529">
        <v>43801</v>
      </c>
    </row>
    <row r="3530" spans="1:2">
      <c r="A3530" s="1" t="s">
        <v>43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210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360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558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315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108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489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41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372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47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416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596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411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287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415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218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418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602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288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204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81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227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133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301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264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402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593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265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90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129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385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484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564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505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445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69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738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94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314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592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68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109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606</v>
      </c>
      <c r="B4011">
        <v>43851</v>
      </c>
    </row>
    <row r="4012" spans="1:2">
      <c r="A4012" s="1" t="s">
        <v>358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125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244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137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85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504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70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77</v>
      </c>
      <c r="B4199">
        <v>43812</v>
      </c>
    </row>
    <row r="4200" spans="1:2">
      <c r="A4200" s="1" t="s">
        <v>213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664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294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666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295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116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59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145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356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698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99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309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458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345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283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28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399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127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86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79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97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258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279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254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101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290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98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317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540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302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483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281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286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72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205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235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142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51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141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481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590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132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296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436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207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363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158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556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285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243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100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54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50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425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135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219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95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480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579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120</v>
      </c>
      <c r="B5207">
        <v>43871</v>
      </c>
    </row>
    <row r="5208" spans="1:2">
      <c r="A5208" s="1" t="s">
        <v>688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123</v>
      </c>
      <c r="B5274">
        <v>43801</v>
      </c>
    </row>
    <row r="5275" spans="1:2">
      <c r="A5275" s="1" t="s">
        <v>333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248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611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78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263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211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126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233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234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253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93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53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426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167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96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57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138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71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143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195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66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140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446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455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261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591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136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650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117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405</v>
      </c>
      <c r="B5927">
        <v>43784</v>
      </c>
    </row>
    <row r="5928" spans="1:2">
      <c r="A5928" s="1" t="s">
        <v>318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119</v>
      </c>
      <c r="B5933">
        <v>43811</v>
      </c>
    </row>
    <row r="5934" spans="1:2">
      <c r="A5934" s="1" t="s">
        <v>724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113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87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56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156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614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344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495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88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335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280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40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65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482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493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387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563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375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586</v>
      </c>
      <c r="B6348">
        <v>43755</v>
      </c>
    </row>
    <row r="6349" spans="1:2">
      <c r="A6349" s="1" t="s">
        <v>163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403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468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715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216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546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343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541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2021-11-24T07:13:54Z</dcterms:created>
  <dcterms:modified xsi:type="dcterms:W3CDTF">2021-11-24T07:13:54Z</dcterms:modified>
</cp:coreProperties>
</file>