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<sst xmlns="http://schemas.openxmlformats.org/spreadsheetml/2006/main" count="20795" uniqueCount="10145">
  <si>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</si>
  <si>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</si>
  <si>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</si>
  <si>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</si>
  <si>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</si>
  <si>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</si>
  <si>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</si>
  <si>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</si>
  <si>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</si>
  <si>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</si>
  <si>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</si>
  <si>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</si>
  <si>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</si>
  <si>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</si>
  <si>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</si>
  <si>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</si>
  <si>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</si>
  <si>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</si>
  <si>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</si>
  <si>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</si>
  <si>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</si>
  <si>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</si>
  <si>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</si>
  <si>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</si>
  <si>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</si>
  <si>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</si>
  <si>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NOC</t>
  </si>
  <si>
    <t>DCI</t>
  </si>
  <si>
    <t>FDX</t>
  </si>
  <si>
    <t>WBA</t>
  </si>
  <si>
    <t>MDU</t>
  </si>
  <si>
    <t>PII</t>
  </si>
  <si>
    <t>ADM</t>
  </si>
  <si>
    <t>SLGN</t>
  </si>
  <si>
    <t>CHRW</t>
  </si>
  <si>
    <t>BANF</t>
  </si>
  <si>
    <t>BDX</t>
  </si>
  <si>
    <t>UNM</t>
  </si>
  <si>
    <t>CAH</t>
  </si>
  <si>
    <t>SYK</t>
  </si>
  <si>
    <t>ATO</t>
  </si>
  <si>
    <t>JW.A</t>
  </si>
  <si>
    <t>RGLD</t>
  </si>
  <si>
    <t>NIDB</t>
  </si>
  <si>
    <t>EFSI</t>
  </si>
  <si>
    <t>BKH</t>
  </si>
  <si>
    <t>ABBV</t>
  </si>
  <si>
    <t>FMS</t>
  </si>
  <si>
    <t>TNC</t>
  </si>
  <si>
    <t>JNJ</t>
  </si>
  <si>
    <t>V</t>
  </si>
  <si>
    <t>CINF</t>
  </si>
  <si>
    <t>LEG</t>
  </si>
  <si>
    <t>PH</t>
  </si>
  <si>
    <t>LHX</t>
  </si>
  <si>
    <t>SWK</t>
  </si>
  <si>
    <t>MMM</t>
  </si>
  <si>
    <t>AFL</t>
  </si>
  <si>
    <t>ANTM</t>
  </si>
  <si>
    <t>MET</t>
  </si>
  <si>
    <t>CTBI</t>
  </si>
  <si>
    <t>WMT</t>
  </si>
  <si>
    <t>BRC</t>
  </si>
  <si>
    <t>CP</t>
  </si>
  <si>
    <t>EBTC</t>
  </si>
  <si>
    <t>KO</t>
  </si>
  <si>
    <t>ABC</t>
  </si>
  <si>
    <t>SYY</t>
  </si>
  <si>
    <t>TMO</t>
  </si>
  <si>
    <t>ROP</t>
  </si>
  <si>
    <t>NWN</t>
  </si>
  <si>
    <t>FMCB</t>
  </si>
  <si>
    <t>LANC</t>
  </si>
  <si>
    <t>SEIC</t>
  </si>
  <si>
    <t>MATW</t>
  </si>
  <si>
    <t>NFG</t>
  </si>
  <si>
    <t>SKM</t>
  </si>
  <si>
    <t>WHR</t>
  </si>
  <si>
    <t>LOW</t>
  </si>
  <si>
    <t>CPKF</t>
  </si>
  <si>
    <t>CL</t>
  </si>
  <si>
    <t>EXPD</t>
  </si>
  <si>
    <t>AIZ</t>
  </si>
  <si>
    <t>RNR</t>
  </si>
  <si>
    <t>TRV</t>
  </si>
  <si>
    <t>DG</t>
  </si>
  <si>
    <t>QCOM</t>
  </si>
  <si>
    <t>BEN</t>
  </si>
  <si>
    <t>ADP</t>
  </si>
  <si>
    <t>SON</t>
  </si>
  <si>
    <t>MCK</t>
  </si>
  <si>
    <t>MKC</t>
  </si>
  <si>
    <t>AMP</t>
  </si>
  <si>
    <t>GD</t>
  </si>
  <si>
    <t>BBY</t>
  </si>
  <si>
    <t>KR</t>
  </si>
  <si>
    <t>FFMR</t>
  </si>
  <si>
    <t>UGI</t>
  </si>
  <si>
    <t>JKHY</t>
  </si>
  <si>
    <t>INTU</t>
  </si>
  <si>
    <t>VFC</t>
  </si>
  <si>
    <t>SCL</t>
  </si>
  <si>
    <t>GPC</t>
  </si>
  <si>
    <t>TXT</t>
  </si>
  <si>
    <t>CAT</t>
  </si>
  <si>
    <t>PSBQ</t>
  </si>
  <si>
    <t>ORCL</t>
  </si>
  <si>
    <t>MDT</t>
  </si>
  <si>
    <t>CSX</t>
  </si>
  <si>
    <t>PPG</t>
  </si>
  <si>
    <t>EMR</t>
  </si>
  <si>
    <t>HRL</t>
  </si>
  <si>
    <t>CBSH</t>
  </si>
  <si>
    <t>AROW</t>
  </si>
  <si>
    <t>PNR</t>
  </si>
  <si>
    <t>BRO</t>
  </si>
  <si>
    <t>LECO</t>
  </si>
  <si>
    <t>SPGI</t>
  </si>
  <si>
    <t>CHD</t>
  </si>
  <si>
    <t>TGT</t>
  </si>
  <si>
    <t>THFF</t>
  </si>
  <si>
    <t>DOV</t>
  </si>
  <si>
    <t>RE</t>
  </si>
  <si>
    <t>CSL</t>
  </si>
  <si>
    <t>MCO</t>
  </si>
  <si>
    <t>MCD</t>
  </si>
  <si>
    <t>PG</t>
  </si>
  <si>
    <t>FUL</t>
  </si>
  <si>
    <t>OZK</t>
  </si>
  <si>
    <t>COST</t>
  </si>
  <si>
    <t>WSM</t>
  </si>
  <si>
    <t>AXP</t>
  </si>
  <si>
    <t>CB</t>
  </si>
  <si>
    <t>CSVI</t>
  </si>
  <si>
    <t>SRCE</t>
  </si>
  <si>
    <t>GRC</t>
  </si>
  <si>
    <t>TROW</t>
  </si>
  <si>
    <t>RPM</t>
  </si>
  <si>
    <t>ABT</t>
  </si>
  <si>
    <t>ITW</t>
  </si>
  <si>
    <t>AAPL</t>
  </si>
  <si>
    <t>GWW</t>
  </si>
  <si>
    <t>FELE</t>
  </si>
  <si>
    <t>SJW</t>
  </si>
  <si>
    <t>NKE</t>
  </si>
  <si>
    <t>UBSI</t>
  </si>
  <si>
    <t>TSCO</t>
  </si>
  <si>
    <t>AOS</t>
  </si>
  <si>
    <t>LIN</t>
  </si>
  <si>
    <t>MGEE</t>
  </si>
  <si>
    <t>MSFT</t>
  </si>
  <si>
    <t>TMP</t>
  </si>
  <si>
    <t>ECL</t>
  </si>
  <si>
    <t>AMAT</t>
  </si>
  <si>
    <t>BF.B</t>
  </si>
  <si>
    <t>CWT</t>
  </si>
  <si>
    <t>CTAS</t>
  </si>
  <si>
    <t>SHW</t>
  </si>
  <si>
    <t>ATR</t>
  </si>
  <si>
    <t>MSA</t>
  </si>
  <si>
    <t>EBAY</t>
  </si>
  <si>
    <t>NDSN</t>
  </si>
  <si>
    <t>MORN</t>
  </si>
  <si>
    <t>AWR</t>
  </si>
  <si>
    <t>ZTS</t>
  </si>
  <si>
    <t>RLI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</si>
  <si>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</si>
  <si>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</si>
  <si>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</si>
  <si>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</si>
  <si>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</si>
  <si>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</si>
  <si>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</si>
  <si>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</si>
  <si>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</si>
  <si>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WU</t>
  </si>
  <si>
    <t>VZ</t>
  </si>
  <si>
    <t>AMGN</t>
  </si>
  <si>
    <t>LAZ</t>
  </si>
  <si>
    <t>CMCSA</t>
  </si>
  <si>
    <t>NC</t>
  </si>
  <si>
    <t>PNGAY</t>
  </si>
  <si>
    <t>IPG</t>
  </si>
  <si>
    <t>OMC</t>
  </si>
  <si>
    <t>INTC</t>
  </si>
  <si>
    <t>SAP</t>
  </si>
  <si>
    <t>SRE</t>
  </si>
  <si>
    <t>SR</t>
  </si>
  <si>
    <t>OGN</t>
  </si>
  <si>
    <t>MO</t>
  </si>
  <si>
    <t>NVS</t>
  </si>
  <si>
    <t>MURGF</t>
  </si>
  <si>
    <t>ENB</t>
  </si>
  <si>
    <t>FLIC</t>
  </si>
  <si>
    <t>RDEIY</t>
  </si>
  <si>
    <t>SUN</t>
  </si>
  <si>
    <t>YUM</t>
  </si>
  <si>
    <t>EPD</t>
  </si>
  <si>
    <t>SWX</t>
  </si>
  <si>
    <t>NJR</t>
  </si>
  <si>
    <t>GILD</t>
  </si>
  <si>
    <t>EVRG</t>
  </si>
  <si>
    <t>LMT</t>
  </si>
  <si>
    <t>TDS</t>
  </si>
  <si>
    <t>HII</t>
  </si>
  <si>
    <t>BIP</t>
  </si>
  <si>
    <t>FTS</t>
  </si>
  <si>
    <t>BR</t>
  </si>
  <si>
    <t>BLK</t>
  </si>
  <si>
    <t>HRB</t>
  </si>
  <si>
    <t>KDP</t>
  </si>
  <si>
    <t>HBI</t>
  </si>
  <si>
    <t>BNS</t>
  </si>
  <si>
    <t>FNV</t>
  </si>
  <si>
    <t>CDUAF</t>
  </si>
  <si>
    <t>SLF</t>
  </si>
  <si>
    <t>CIO</t>
  </si>
  <si>
    <t>UNH</t>
  </si>
  <si>
    <t>MRK</t>
  </si>
  <si>
    <t>IMO</t>
  </si>
  <si>
    <t>RBGLY</t>
  </si>
  <si>
    <t>MDLZ</t>
  </si>
  <si>
    <t>MSM</t>
  </si>
  <si>
    <t>IBM</t>
  </si>
  <si>
    <t>EMN</t>
  </si>
  <si>
    <t>TD</t>
  </si>
  <si>
    <t>RY</t>
  </si>
  <si>
    <t>SNA</t>
  </si>
  <si>
    <t>CMI</t>
  </si>
  <si>
    <t>BMO</t>
  </si>
  <si>
    <t>CM</t>
  </si>
  <si>
    <t>LNT</t>
  </si>
  <si>
    <t>ORI</t>
  </si>
  <si>
    <t>PB</t>
  </si>
  <si>
    <t>NTIOF</t>
  </si>
  <si>
    <t>TXN</t>
  </si>
  <si>
    <t>UVV</t>
  </si>
  <si>
    <t>TTC</t>
  </si>
  <si>
    <t>EIX</t>
  </si>
  <si>
    <t>FOXA</t>
  </si>
  <si>
    <t>EQIX</t>
  </si>
  <si>
    <t>PBCT</t>
  </si>
  <si>
    <t>BAH</t>
  </si>
  <si>
    <t>CSCO</t>
  </si>
  <si>
    <t>HD</t>
  </si>
  <si>
    <t>AXS</t>
  </si>
  <si>
    <t>K</t>
  </si>
  <si>
    <t>AMX</t>
  </si>
  <si>
    <t>XOM</t>
  </si>
  <si>
    <t>YORW</t>
  </si>
  <si>
    <t>DTE</t>
  </si>
  <si>
    <t>RELX</t>
  </si>
  <si>
    <t>CVS</t>
  </si>
  <si>
    <t>TSN</t>
  </si>
  <si>
    <t>SBUX</t>
  </si>
  <si>
    <t>KMB</t>
  </si>
  <si>
    <t>CVX</t>
  </si>
  <si>
    <t>UPS</t>
  </si>
  <si>
    <t>DPZ</t>
  </si>
  <si>
    <t>ARTNA</t>
  </si>
  <si>
    <t>SJM</t>
  </si>
  <si>
    <t>RBA</t>
  </si>
  <si>
    <t>SPTN</t>
  </si>
  <si>
    <t>WEYS</t>
  </si>
  <si>
    <t>CLX</t>
  </si>
  <si>
    <t>CTSH</t>
  </si>
  <si>
    <t>WABC</t>
  </si>
  <si>
    <t>ETR</t>
  </si>
  <si>
    <t>ICE</t>
  </si>
  <si>
    <t>RSG</t>
  </si>
  <si>
    <t>AAP</t>
  </si>
  <si>
    <t>CONE</t>
  </si>
  <si>
    <t>OTTR</t>
  </si>
  <si>
    <t>SIEGY</t>
  </si>
  <si>
    <t>ED</t>
  </si>
  <si>
    <t>RTX</t>
  </si>
  <si>
    <t>NEP</t>
  </si>
  <si>
    <t>AMT</t>
  </si>
  <si>
    <t>PEG</t>
  </si>
  <si>
    <t>SBAC</t>
  </si>
  <si>
    <t>NSC</t>
  </si>
  <si>
    <t>XEL</t>
  </si>
  <si>
    <t>DE</t>
  </si>
  <si>
    <t>PEP</t>
  </si>
  <si>
    <t>MTB</t>
  </si>
  <si>
    <t>LRLCF</t>
  </si>
  <si>
    <t>HSY</t>
  </si>
  <si>
    <t>GEF</t>
  </si>
  <si>
    <t>AJG</t>
  </si>
  <si>
    <t>SBSI</t>
  </si>
  <si>
    <t>AWK</t>
  </si>
  <si>
    <t>RHHBY</t>
  </si>
  <si>
    <t>UNP</t>
  </si>
  <si>
    <t>NEE</t>
  </si>
  <si>
    <t>INGR</t>
  </si>
  <si>
    <t>HON</t>
  </si>
  <si>
    <t>MWA</t>
  </si>
  <si>
    <t>MGRC</t>
  </si>
  <si>
    <t>RMD</t>
  </si>
  <si>
    <t>PRGO</t>
  </si>
  <si>
    <t>TR</t>
  </si>
  <si>
    <t>WTRG</t>
  </si>
  <si>
    <t>APD</t>
  </si>
  <si>
    <t>IFF</t>
  </si>
  <si>
    <t>CARR</t>
  </si>
  <si>
    <t>CNI</t>
  </si>
  <si>
    <t>NVO</t>
  </si>
  <si>
    <t>ROK</t>
  </si>
  <si>
    <t>FRT</t>
  </si>
  <si>
    <t>UMBF</t>
  </si>
  <si>
    <t>OTIS</t>
  </si>
  <si>
    <t>UNF</t>
  </si>
  <si>
    <t>DDS</t>
  </si>
  <si>
    <t>TT</t>
  </si>
  <si>
    <t>ESS</t>
  </si>
  <si>
    <t>CFR</t>
  </si>
  <si>
    <t>ERIE</t>
  </si>
  <si>
    <t>WM</t>
  </si>
  <si>
    <t>CBU</t>
  </si>
  <si>
    <t>LLY</t>
  </si>
  <si>
    <t>XYL</t>
  </si>
  <si>
    <t>HMLP</t>
  </si>
  <si>
    <t>MFGP</t>
  </si>
  <si>
    <t>VTRS</t>
  </si>
  <si>
    <t>JACK</t>
  </si>
  <si>
    <t>MDC</t>
  </si>
  <si>
    <t>FL</t>
  </si>
  <si>
    <t>TRTN</t>
  </si>
  <si>
    <t>MMP</t>
  </si>
  <si>
    <t>LYB</t>
  </si>
  <si>
    <t>TX</t>
  </si>
  <si>
    <t>ALLY</t>
  </si>
  <si>
    <t>BTI</t>
  </si>
  <si>
    <t>DHI</t>
  </si>
  <si>
    <t>MCHP</t>
  </si>
  <si>
    <t>DKS</t>
  </si>
  <si>
    <t>TTE</t>
  </si>
  <si>
    <t>PNW</t>
  </si>
  <si>
    <t>THO</t>
  </si>
  <si>
    <t>FNF</t>
  </si>
  <si>
    <t>DGX</t>
  </si>
  <si>
    <t>OGS</t>
  </si>
  <si>
    <t>HPE</t>
  </si>
  <si>
    <t>ALL</t>
  </si>
  <si>
    <t>GWLIF</t>
  </si>
  <si>
    <t>SNY</t>
  </si>
  <si>
    <t>DFS</t>
  </si>
  <si>
    <t>EQNR</t>
  </si>
  <si>
    <t>OGE</t>
  </si>
  <si>
    <t>SJI</t>
  </si>
  <si>
    <t>JBL</t>
  </si>
  <si>
    <t>LRCX</t>
  </si>
  <si>
    <t>PHM</t>
  </si>
  <si>
    <t>UL</t>
  </si>
  <si>
    <t>SYF</t>
  </si>
  <si>
    <t>HPQ</t>
  </si>
  <si>
    <t>AEG</t>
  </si>
  <si>
    <t>TYCB</t>
  </si>
  <si>
    <t>NHI</t>
  </si>
  <si>
    <t>LNC</t>
  </si>
  <si>
    <t>BASFY</t>
  </si>
  <si>
    <t>PFE</t>
  </si>
  <si>
    <t>MPLX</t>
  </si>
  <si>
    <t>POR</t>
  </si>
  <si>
    <t>CC</t>
  </si>
  <si>
    <t>SMG</t>
  </si>
  <si>
    <t>C</t>
  </si>
  <si>
    <t>GPS</t>
  </si>
  <si>
    <t>FAF</t>
  </si>
  <si>
    <t>NAVI</t>
  </si>
  <si>
    <t>STN</t>
  </si>
  <si>
    <t>PFG</t>
  </si>
  <si>
    <t>PM</t>
  </si>
  <si>
    <t>ALE</t>
  </si>
  <si>
    <t>CE</t>
  </si>
  <si>
    <t>IVZ</t>
  </si>
  <si>
    <t>SVC</t>
  </si>
  <si>
    <t>PRU</t>
  </si>
  <si>
    <t>RCI</t>
  </si>
  <si>
    <t>CPB</t>
  </si>
  <si>
    <t>TM</t>
  </si>
  <si>
    <t>ITUB</t>
  </si>
  <si>
    <t>KSS</t>
  </si>
  <si>
    <t>ROST</t>
  </si>
  <si>
    <t>AEP</t>
  </si>
  <si>
    <t>COLD</t>
  </si>
  <si>
    <t>HUN</t>
  </si>
  <si>
    <t>SAXPY</t>
  </si>
  <si>
    <t>APLE</t>
  </si>
  <si>
    <t>SO</t>
  </si>
  <si>
    <t>GLOP</t>
  </si>
  <si>
    <t>UHT</t>
  </si>
  <si>
    <t>FLO</t>
  </si>
  <si>
    <t>GIS</t>
  </si>
  <si>
    <t>PKX</t>
  </si>
  <si>
    <t>GEO</t>
  </si>
  <si>
    <t>OKE</t>
  </si>
  <si>
    <t>R</t>
  </si>
  <si>
    <t>WFC</t>
  </si>
  <si>
    <t>BK</t>
  </si>
  <si>
    <t>NLSN</t>
  </si>
  <si>
    <t>CUBE</t>
  </si>
  <si>
    <t>DDAIF</t>
  </si>
  <si>
    <t>KLAC</t>
  </si>
  <si>
    <t>O</t>
  </si>
  <si>
    <t>AON</t>
  </si>
  <si>
    <t>BMWYY</t>
  </si>
  <si>
    <t>VIAC</t>
  </si>
  <si>
    <t>JPM</t>
  </si>
  <si>
    <t>HAL</t>
  </si>
  <si>
    <t>MA</t>
  </si>
  <si>
    <t>PNC</t>
  </si>
  <si>
    <t>KEY</t>
  </si>
  <si>
    <t>CFG</t>
  </si>
  <si>
    <t>PSB</t>
  </si>
  <si>
    <t>WEC</t>
  </si>
  <si>
    <t>GE</t>
  </si>
  <si>
    <t>BUD</t>
  </si>
  <si>
    <t>WY</t>
  </si>
  <si>
    <t>PDCO</t>
  </si>
  <si>
    <t>ASML</t>
  </si>
  <si>
    <t>WPC</t>
  </si>
  <si>
    <t>MGA</t>
  </si>
  <si>
    <t>ESRT</t>
  </si>
  <si>
    <t>DUK</t>
  </si>
  <si>
    <t>BWA</t>
  </si>
  <si>
    <t>AGM</t>
  </si>
  <si>
    <t>HOG</t>
  </si>
  <si>
    <t>MMC</t>
  </si>
  <si>
    <t>NNN</t>
  </si>
  <si>
    <t>BAC</t>
  </si>
  <si>
    <t>GS</t>
  </si>
  <si>
    <t>FITB</t>
  </si>
  <si>
    <t>GOLD</t>
  </si>
  <si>
    <t>STZ</t>
  </si>
  <si>
    <t>OSK</t>
  </si>
  <si>
    <t>GNTX</t>
  </si>
  <si>
    <t>PACW</t>
  </si>
  <si>
    <t>LOGI</t>
  </si>
  <si>
    <t>CMA</t>
  </si>
  <si>
    <t>PAYX</t>
  </si>
  <si>
    <t>PSA</t>
  </si>
  <si>
    <t>EAF</t>
  </si>
  <si>
    <t>DLR</t>
  </si>
  <si>
    <t>ABB</t>
  </si>
  <si>
    <t>MRVL</t>
  </si>
  <si>
    <t>NSRGY</t>
  </si>
  <si>
    <t>DEO</t>
  </si>
  <si>
    <t>KLIC</t>
  </si>
  <si>
    <t>M</t>
  </si>
  <si>
    <t>OXY</t>
  </si>
  <si>
    <t>AVB</t>
  </si>
  <si>
    <t>FAST</t>
  </si>
  <si>
    <t>MT</t>
  </si>
  <si>
    <t>FCX</t>
  </si>
  <si>
    <t>HNI</t>
  </si>
  <si>
    <t>STLD</t>
  </si>
  <si>
    <t>TER</t>
  </si>
  <si>
    <t>AUY</t>
  </si>
  <si>
    <t>INFY</t>
  </si>
  <si>
    <t>KSU</t>
  </si>
  <si>
    <t>RACE</t>
  </si>
  <si>
    <t>APA</t>
  </si>
  <si>
    <t>KKR</t>
  </si>
  <si>
    <t>SONY</t>
  </si>
  <si>
    <t>TRI</t>
  </si>
  <si>
    <t>NVDA</t>
  </si>
  <si>
    <t>VMC</t>
  </si>
  <si>
    <t>DHC</t>
  </si>
  <si>
    <t>OLN</t>
  </si>
  <si>
    <t>ERF</t>
  </si>
  <si>
    <t>SHLX</t>
  </si>
  <si>
    <t>PBR</t>
  </si>
  <si>
    <t>ARLP</t>
  </si>
  <si>
    <t>HEP</t>
  </si>
  <si>
    <t>SPH</t>
  </si>
  <si>
    <t>EOG</t>
  </si>
  <si>
    <t>PAA</t>
  </si>
  <si>
    <t>PGR</t>
  </si>
  <si>
    <t>BHP</t>
  </si>
  <si>
    <t>AVAL</t>
  </si>
  <si>
    <t>ERIC</t>
  </si>
  <si>
    <t>MS</t>
  </si>
  <si>
    <t>VALE</t>
  </si>
  <si>
    <t>PSX</t>
  </si>
  <si>
    <t>AZN</t>
  </si>
  <si>
    <t>KRC</t>
  </si>
  <si>
    <t>ET</t>
  </si>
  <si>
    <t>TPR</t>
  </si>
  <si>
    <t>SLG</t>
  </si>
  <si>
    <t>PTR</t>
  </si>
  <si>
    <t>TGP</t>
  </si>
  <si>
    <t>HSBC</t>
  </si>
  <si>
    <t>HAS</t>
  </si>
  <si>
    <t>NYCB</t>
  </si>
  <si>
    <t>PHG</t>
  </si>
  <si>
    <t>UNIT</t>
  </si>
  <si>
    <t>LUMN</t>
  </si>
  <si>
    <t>TFC</t>
  </si>
  <si>
    <t>DRI</t>
  </si>
  <si>
    <t>BAYRY</t>
  </si>
  <si>
    <t>MGP</t>
  </si>
  <si>
    <t>WEN</t>
  </si>
  <si>
    <t>BP</t>
  </si>
  <si>
    <t>SAFE</t>
  </si>
  <si>
    <t>TAP</t>
  </si>
  <si>
    <t>OPI</t>
  </si>
  <si>
    <t>DOW</t>
  </si>
  <si>
    <t>WSBC</t>
  </si>
  <si>
    <t>MKTX</t>
  </si>
  <si>
    <t>IMBBY</t>
  </si>
  <si>
    <t>MFC</t>
  </si>
  <si>
    <t>TRST</t>
  </si>
  <si>
    <t>RIO</t>
  </si>
  <si>
    <t>D</t>
  </si>
  <si>
    <t>RDS.B</t>
  </si>
  <si>
    <t>CAG</t>
  </si>
  <si>
    <t>GORO</t>
  </si>
  <si>
    <t>PGRE</t>
  </si>
  <si>
    <t>WASH</t>
  </si>
  <si>
    <t>KMI</t>
  </si>
  <si>
    <t>NTR</t>
  </si>
  <si>
    <t>RF</t>
  </si>
  <si>
    <t>SBS</t>
  </si>
  <si>
    <t>AMCR</t>
  </si>
  <si>
    <t>WMB</t>
  </si>
  <si>
    <t>NGG</t>
  </si>
  <si>
    <t>DD</t>
  </si>
  <si>
    <t>NWL</t>
  </si>
  <si>
    <t>INVH</t>
  </si>
  <si>
    <t>HIW</t>
  </si>
  <si>
    <t>SPG</t>
  </si>
  <si>
    <t>EMRAF</t>
  </si>
  <si>
    <t>FE</t>
  </si>
  <si>
    <t>IP</t>
  </si>
  <si>
    <t>CNP</t>
  </si>
  <si>
    <t>CNA</t>
  </si>
  <si>
    <t>PDM</t>
  </si>
  <si>
    <t>REG</t>
  </si>
  <si>
    <t>FRFHF</t>
  </si>
  <si>
    <t>DTEGY</t>
  </si>
  <si>
    <t>WSR</t>
  </si>
  <si>
    <t>SUUIF</t>
  </si>
  <si>
    <t>PETS</t>
  </si>
  <si>
    <t>SMFG</t>
  </si>
  <si>
    <t>LMRK</t>
  </si>
  <si>
    <t>MPW</t>
  </si>
  <si>
    <t>DEA</t>
  </si>
  <si>
    <t>ADC</t>
  </si>
  <si>
    <t>PCAR</t>
  </si>
  <si>
    <t>HASI</t>
  </si>
  <si>
    <t>MCY</t>
  </si>
  <si>
    <t>AGNC</t>
  </si>
  <si>
    <t>NTAP</t>
  </si>
  <si>
    <t>TS</t>
  </si>
  <si>
    <t>ING</t>
  </si>
  <si>
    <t>KHC</t>
  </si>
  <si>
    <t>CAJ</t>
  </si>
  <si>
    <t>KRG</t>
  </si>
  <si>
    <t>UE</t>
  </si>
  <si>
    <t>GLW</t>
  </si>
  <si>
    <t>JNPR</t>
  </si>
  <si>
    <t>DEI</t>
  </si>
  <si>
    <t>COP</t>
  </si>
  <si>
    <t>NSP</t>
  </si>
  <si>
    <t>GRMN</t>
  </si>
  <si>
    <t>BXP</t>
  </si>
  <si>
    <t>HBAN</t>
  </si>
  <si>
    <t>WPP</t>
  </si>
  <si>
    <t>BBD</t>
  </si>
  <si>
    <t>CCI</t>
  </si>
  <si>
    <t>USB</t>
  </si>
  <si>
    <t>GEL</t>
  </si>
  <si>
    <t>AVGO</t>
  </si>
  <si>
    <t>AES</t>
  </si>
  <si>
    <t>ALV</t>
  </si>
  <si>
    <t>HMC</t>
  </si>
  <si>
    <t>TU</t>
  </si>
  <si>
    <t>DOC</t>
  </si>
  <si>
    <t>STX</t>
  </si>
  <si>
    <t>TSM</t>
  </si>
  <si>
    <t>WRK</t>
  </si>
  <si>
    <t>CODI</t>
  </si>
  <si>
    <t>TJX</t>
  </si>
  <si>
    <t>EGP</t>
  </si>
  <si>
    <t>KTB</t>
  </si>
  <si>
    <t>PLD</t>
  </si>
  <si>
    <t>PLYM</t>
  </si>
  <si>
    <t>SKT</t>
  </si>
  <si>
    <t>PSO</t>
  </si>
  <si>
    <t>UBS</t>
  </si>
  <si>
    <t>MPWR</t>
  </si>
  <si>
    <t>RGA</t>
  </si>
  <si>
    <t>BRX</t>
  </si>
  <si>
    <t>ARE</t>
  </si>
  <si>
    <t>DRE</t>
  </si>
  <si>
    <t>APO</t>
  </si>
  <si>
    <t>MAC</t>
  </si>
  <si>
    <t>ELS</t>
  </si>
  <si>
    <t>SLB</t>
  </si>
  <si>
    <t>JCI</t>
  </si>
  <si>
    <t>CNQ</t>
  </si>
  <si>
    <t>EXPO</t>
  </si>
  <si>
    <t>EXC</t>
  </si>
  <si>
    <t>FR</t>
  </si>
  <si>
    <t>COR</t>
  </si>
  <si>
    <t>TRSWF</t>
  </si>
  <si>
    <t>CF</t>
  </si>
  <si>
    <t>TRGP</t>
  </si>
  <si>
    <t>AMH</t>
  </si>
  <si>
    <t>MAA</t>
  </si>
  <si>
    <t>OGZPY</t>
  </si>
  <si>
    <t>CWEN</t>
  </si>
  <si>
    <t>CME</t>
  </si>
  <si>
    <t>ACN</t>
  </si>
  <si>
    <t>WPM</t>
  </si>
  <si>
    <t>CPT</t>
  </si>
  <si>
    <t>ETN</t>
  </si>
  <si>
    <t>KIM</t>
  </si>
  <si>
    <t>SCHL</t>
  </si>
  <si>
    <t>TEF</t>
  </si>
  <si>
    <t>SNP</t>
  </si>
  <si>
    <t>SCCO</t>
  </si>
  <si>
    <t>APAM</t>
  </si>
  <si>
    <t>ORAN</t>
  </si>
  <si>
    <t>OHI</t>
  </si>
  <si>
    <t>IIPR</t>
  </si>
  <si>
    <t>PSXP</t>
  </si>
  <si>
    <t>CLPR</t>
  </si>
  <si>
    <t>IEP</t>
  </si>
  <si>
    <t>DHT</t>
  </si>
  <si>
    <t>GECC</t>
  </si>
  <si>
    <t>SU</t>
  </si>
  <si>
    <t>PINE</t>
  </si>
  <si>
    <t>USAC</t>
  </si>
  <si>
    <t>VICI</t>
  </si>
  <si>
    <t>NEWT</t>
  </si>
  <si>
    <t>TWO</t>
  </si>
  <si>
    <t>QSR</t>
  </si>
  <si>
    <t>LTC</t>
  </si>
  <si>
    <t>CQP</t>
  </si>
  <si>
    <t>SBRA</t>
  </si>
  <si>
    <t>VGR</t>
  </si>
  <si>
    <t>TRP</t>
  </si>
  <si>
    <t>CTRE</t>
  </si>
  <si>
    <t>EFC</t>
  </si>
  <si>
    <t>EIFZF</t>
  </si>
  <si>
    <t>SFL</t>
  </si>
  <si>
    <t>CTO</t>
  </si>
  <si>
    <t>AFIN</t>
  </si>
  <si>
    <t>VST</t>
  </si>
  <si>
    <t>GSBD</t>
  </si>
  <si>
    <t>FCPT</t>
  </si>
  <si>
    <t>SRC</t>
  </si>
  <si>
    <t>ORC</t>
  </si>
  <si>
    <t>ORCC</t>
  </si>
  <si>
    <t>AQN</t>
  </si>
  <si>
    <t>NYMT</t>
  </si>
  <si>
    <t>UMH</t>
  </si>
  <si>
    <t>EPRT</t>
  </si>
  <si>
    <t>CWCO</t>
  </si>
  <si>
    <t>WSO</t>
  </si>
  <si>
    <t>GNL</t>
  </si>
  <si>
    <t>AAT</t>
  </si>
  <si>
    <t>HR</t>
  </si>
  <si>
    <t>EXR</t>
  </si>
  <si>
    <t>NRZ</t>
  </si>
  <si>
    <t>PMT</t>
  </si>
  <si>
    <t>SSREY</t>
  </si>
  <si>
    <t>NLY</t>
  </si>
  <si>
    <t>KREF</t>
  </si>
  <si>
    <t>KNOP</t>
  </si>
  <si>
    <t>CHCT</t>
  </si>
  <si>
    <t>MRCC</t>
  </si>
  <si>
    <t>EPR</t>
  </si>
  <si>
    <t>VOD</t>
  </si>
  <si>
    <t>ACRE</t>
  </si>
  <si>
    <t>NTST</t>
  </si>
  <si>
    <t>E</t>
  </si>
  <si>
    <t>ILPT</t>
  </si>
  <si>
    <t>NMFC</t>
  </si>
  <si>
    <t>XRX</t>
  </si>
  <si>
    <t>GBDC</t>
  </si>
  <si>
    <t>EIC</t>
  </si>
  <si>
    <t>GSK</t>
  </si>
  <si>
    <t>CORR</t>
  </si>
  <si>
    <t>GMRE</t>
  </si>
  <si>
    <t>IDEXY</t>
  </si>
  <si>
    <t>CBRL</t>
  </si>
  <si>
    <t>TSLX</t>
  </si>
  <si>
    <t>HRZN</t>
  </si>
  <si>
    <t>ARR</t>
  </si>
  <si>
    <t>VNO</t>
  </si>
  <si>
    <t>FDUS</t>
  </si>
  <si>
    <t>STWD</t>
  </si>
  <si>
    <t>GLPI</t>
  </si>
  <si>
    <t>NEM</t>
  </si>
  <si>
    <t>NSA</t>
  </si>
  <si>
    <t>CSWC</t>
  </si>
  <si>
    <t>BRMK</t>
  </si>
  <si>
    <t>VLO</t>
  </si>
  <si>
    <t>SACH</t>
  </si>
  <si>
    <t>STOR</t>
  </si>
  <si>
    <t>VTR</t>
  </si>
  <si>
    <t>BEP</t>
  </si>
  <si>
    <t>PFLT</t>
  </si>
  <si>
    <t>ARCC</t>
  </si>
  <si>
    <t>LWSCF</t>
  </si>
  <si>
    <t>DX</t>
  </si>
  <si>
    <t>AM</t>
  </si>
  <si>
    <t>DANOY</t>
  </si>
  <si>
    <t>TPVG</t>
  </si>
  <si>
    <t>MAIN</t>
  </si>
  <si>
    <t>VIA</t>
  </si>
  <si>
    <t>APTS</t>
  </si>
  <si>
    <t>ARI</t>
  </si>
  <si>
    <t>GOOD</t>
  </si>
  <si>
    <t>SUNS</t>
  </si>
  <si>
    <t>CIM</t>
  </si>
  <si>
    <t>ABEV</t>
  </si>
  <si>
    <t>HTA</t>
  </si>
  <si>
    <t>HTGC</t>
  </si>
  <si>
    <t>PRT</t>
  </si>
  <si>
    <t>SCM</t>
  </si>
  <si>
    <t>ACC</t>
  </si>
  <si>
    <t>BGS</t>
  </si>
  <si>
    <t>BCE</t>
  </si>
  <si>
    <t>BX</t>
  </si>
  <si>
    <t>PBA</t>
  </si>
  <si>
    <t>OXSQ</t>
  </si>
  <si>
    <t>GWRS</t>
  </si>
  <si>
    <t>CMP</t>
  </si>
  <si>
    <t>LSI</t>
  </si>
  <si>
    <t>EVA</t>
  </si>
  <si>
    <t>IRM</t>
  </si>
  <si>
    <t>BKR</t>
  </si>
  <si>
    <t>BXMT</t>
  </si>
  <si>
    <t>SBR</t>
  </si>
  <si>
    <t>IRT</t>
  </si>
  <si>
    <t>LADR</t>
  </si>
  <si>
    <t>OLP</t>
  </si>
  <si>
    <t>SJR</t>
  </si>
  <si>
    <t>EQR</t>
  </si>
  <si>
    <t>PSEC</t>
  </si>
  <si>
    <t>STAG</t>
  </si>
  <si>
    <t>CRT</t>
  </si>
  <si>
    <t>UDR</t>
  </si>
  <si>
    <t>PEAK</t>
  </si>
  <si>
    <t>GAIN</t>
  </si>
  <si>
    <t>SJT</t>
  </si>
  <si>
    <t>DREUF</t>
  </si>
  <si>
    <t>ABR</t>
  </si>
  <si>
    <t>MNR</t>
  </si>
  <si>
    <t>LXP</t>
  </si>
  <si>
    <t>UBA</t>
  </si>
  <si>
    <t>MPC</t>
  </si>
  <si>
    <t>GLAD</t>
  </si>
  <si>
    <t>PPRQF</t>
  </si>
  <si>
    <t>DRETF</t>
  </si>
  <si>
    <t>WELL</t>
  </si>
  <si>
    <t>LAMR</t>
  </si>
  <si>
    <t>HP</t>
  </si>
  <si>
    <t>AB</t>
  </si>
  <si>
    <t>LAND</t>
  </si>
  <si>
    <t>PBT</t>
  </si>
  <si>
    <t>GROW</t>
  </si>
  <si>
    <t>PPL</t>
  </si>
  <si>
    <t>CVA</t>
  </si>
  <si>
    <t>PTEN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</si>
  <si>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</si>
  <si>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</si>
  <si>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</si>
  <si>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</si>
  <si>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</si>
  <si>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</si>
  <si>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</si>
  <si>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</si>
  <si>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</si>
  <si>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</si>
  <si>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</si>
  <si>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</si>
  <si>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</si>
  <si>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</si>
  <si>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</si>
  <si>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</si>
  <si>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</si>
  <si>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</si>
  <si>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</si>
  <si>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</si>
  <si>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Consumer Defensive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</si>
  <si>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</si>
  <si>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</si>
  <si>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</si>
  <si>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</si>
  <si>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</si>
  <si>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</si>
  <si>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</si>
  <si>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</si>
  <si>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Prakash Kolli</t>
  </si>
  <si>
    <t>Josh Arnold</t>
  </si>
  <si>
    <t>Eli Inkrot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</si>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</sst>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64.23</v>
      </c>
      <c r="D2">
        <v>70</v>
      </c>
      <c r="E2">
        <v>0.9175714285714286</v>
      </c>
      <c r="F2">
        <v>0.004203643157403083</v>
      </c>
      <c r="G2">
        <v>0.01735382812856634</v>
      </c>
      <c r="H2">
        <v>0.15</v>
      </c>
      <c r="I2">
        <v>0.1739689658501411</v>
      </c>
      <c r="J2" t="s">
        <v>775</v>
      </c>
      <c r="K2" t="s">
        <v>366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-0.147830673875774</v>
      </c>
      <c r="R2" t="s">
        <v>779</v>
      </c>
      <c r="S2" t="s">
        <v>783</v>
      </c>
      <c r="T2">
        <v>620110.0755790001</v>
      </c>
      <c r="U2" s="2">
        <v>44517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59.44</v>
      </c>
      <c r="D3">
        <v>101</v>
      </c>
      <c r="E3">
        <v>0.5885148514851485</v>
      </c>
      <c r="F3">
        <v>0.03297442799461642</v>
      </c>
      <c r="G3">
        <v>0.1118559246675572</v>
      </c>
      <c r="H3">
        <v>0.03</v>
      </c>
      <c r="I3">
        <v>0.1666319956286773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-0.054690399109393</v>
      </c>
      <c r="R3" t="s">
        <v>779</v>
      </c>
      <c r="S3" t="s">
        <v>784</v>
      </c>
      <c r="T3">
        <v>131181.015659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162.97</v>
      </c>
      <c r="D4">
        <v>174</v>
      </c>
      <c r="E4">
        <v>0.9366091954022988</v>
      </c>
      <c r="F4">
        <v>0.01374486101736516</v>
      </c>
      <c r="G4">
        <v>0.01318398522387754</v>
      </c>
      <c r="H4">
        <v>0.1</v>
      </c>
      <c r="I4">
        <v>0.1258973670285448</v>
      </c>
      <c r="J4" t="s">
        <v>775</v>
      </c>
      <c r="K4" t="s">
        <v>366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0.156098335774667</v>
      </c>
      <c r="R4" t="s">
        <v>779</v>
      </c>
      <c r="S4" t="s">
        <v>785</v>
      </c>
      <c r="T4">
        <v>27045.78535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47.7</v>
      </c>
      <c r="D5">
        <v>61</v>
      </c>
      <c r="E5">
        <v>0.7819672131147541</v>
      </c>
      <c r="F5">
        <v>0.01593291404612159</v>
      </c>
      <c r="G5">
        <v>0.05041832885143305</v>
      </c>
      <c r="H5">
        <v>0.05</v>
      </c>
      <c r="I5">
        <v>0.1144628581623008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0.251294885075744</v>
      </c>
      <c r="R5" t="s">
        <v>779</v>
      </c>
      <c r="S5" t="s">
        <v>786</v>
      </c>
      <c r="T5">
        <v>3281.367437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HYPERLINK("https://www.suredividend.com/sure-analysis-NOC/","Northrop Grumman Corp.")</f>
        <v>0</v>
      </c>
      <c r="C6">
        <v>353.96</v>
      </c>
      <c r="D6">
        <v>381</v>
      </c>
      <c r="E6">
        <v>0.929028871391076</v>
      </c>
      <c r="F6">
        <v>0.01774211775341847</v>
      </c>
      <c r="G6">
        <v>0.0148320111556719</v>
      </c>
      <c r="H6">
        <v>0.08</v>
      </c>
      <c r="I6">
        <v>0.1111764939463888</v>
      </c>
      <c r="J6" t="s">
        <v>775</v>
      </c>
      <c r="K6" t="s">
        <v>776</v>
      </c>
      <c r="L6">
        <v>25.4</v>
      </c>
      <c r="M6">
        <v>6.28</v>
      </c>
      <c r="N6">
        <v>0.247244094488189</v>
      </c>
      <c r="O6">
        <v>18</v>
      </c>
      <c r="P6">
        <v>0.0800613160089807</v>
      </c>
      <c r="Q6">
        <v>0.149126181248892</v>
      </c>
      <c r="R6" t="s">
        <v>779</v>
      </c>
      <c r="S6" t="s">
        <v>786</v>
      </c>
      <c r="T6">
        <v>56217.448208</v>
      </c>
      <c r="U6" s="2">
        <v>44504</v>
      </c>
      <c r="V6" t="s">
        <v>798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61.92</v>
      </c>
      <c r="D7">
        <v>64</v>
      </c>
      <c r="E7">
        <v>0.9675</v>
      </c>
      <c r="F7">
        <v>0.01421188630490956</v>
      </c>
      <c r="G7">
        <v>0.006629851624153416</v>
      </c>
      <c r="H7">
        <v>0.09</v>
      </c>
      <c r="I7">
        <v>0.1093621635770186</v>
      </c>
      <c r="J7" t="s">
        <v>775</v>
      </c>
      <c r="K7" t="s">
        <v>776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0.160448602449463</v>
      </c>
      <c r="R7" t="s">
        <v>779</v>
      </c>
      <c r="S7" t="s">
        <v>786</v>
      </c>
      <c r="T7">
        <v>7723.39661</v>
      </c>
      <c r="U7" s="2">
        <v>44444</v>
      </c>
      <c r="V7" t="s">
        <v>799</v>
      </c>
    </row>
    <row r="8" spans="1:22">
      <c r="A8" s="1" t="s">
        <v>28</v>
      </c>
      <c r="B8">
        <f>HYPERLINK("https://www.suredividend.com/sure-analysis-FDX/","Fedex Corp")</f>
        <v>0</v>
      </c>
      <c r="C8">
        <v>247.35</v>
      </c>
      <c r="D8">
        <v>296</v>
      </c>
      <c r="E8">
        <v>0.8356418918918919</v>
      </c>
      <c r="F8">
        <v>0.01212856276531231</v>
      </c>
      <c r="G8">
        <v>0.03656361240923967</v>
      </c>
      <c r="H8">
        <v>0.06</v>
      </c>
      <c r="I8">
        <v>0.1085199120626585</v>
      </c>
      <c r="J8" t="s">
        <v>775</v>
      </c>
      <c r="K8" t="s">
        <v>366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-0.08602082607573401</v>
      </c>
      <c r="R8" t="s">
        <v>779</v>
      </c>
      <c r="S8" t="s">
        <v>786</v>
      </c>
      <c r="T8">
        <v>67257.281178</v>
      </c>
      <c r="U8" s="2">
        <v>44464</v>
      </c>
      <c r="V8" t="s">
        <v>794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47.81</v>
      </c>
      <c r="D9">
        <v>54</v>
      </c>
      <c r="E9">
        <v>0.8853703703703704</v>
      </c>
      <c r="F9">
        <v>0.03994980129679983</v>
      </c>
      <c r="G9">
        <v>0.02464872320638012</v>
      </c>
      <c r="H9">
        <v>0.05</v>
      </c>
      <c r="I9">
        <v>0.1084655959303376</v>
      </c>
      <c r="J9" t="s">
        <v>775</v>
      </c>
      <c r="K9" t="s">
        <v>775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0.156949198567927</v>
      </c>
      <c r="R9" t="s">
        <v>779</v>
      </c>
      <c r="S9" t="s">
        <v>784</v>
      </c>
      <c r="T9">
        <v>42042.792228</v>
      </c>
      <c r="U9" s="2">
        <v>44483</v>
      </c>
      <c r="V9" t="s">
        <v>800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28.76</v>
      </c>
      <c r="D10">
        <v>34</v>
      </c>
      <c r="E10">
        <v>0.8458823529411765</v>
      </c>
      <c r="F10">
        <v>0.03025034770514604</v>
      </c>
      <c r="G10">
        <v>0.03404159065991386</v>
      </c>
      <c r="H10">
        <v>0.05</v>
      </c>
      <c r="I10">
        <v>0.1081895255314931</v>
      </c>
      <c r="J10" t="s">
        <v>775</v>
      </c>
      <c r="K10" t="s">
        <v>775</v>
      </c>
      <c r="L10">
        <v>2.1</v>
      </c>
      <c r="M10">
        <v>0.87</v>
      </c>
      <c r="N10">
        <v>0.4142857142857143</v>
      </c>
      <c r="O10">
        <v>31</v>
      </c>
      <c r="P10">
        <v>0.02409763832975087</v>
      </c>
      <c r="Q10">
        <v>0.165703664794537</v>
      </c>
      <c r="R10" t="s">
        <v>779</v>
      </c>
      <c r="S10" t="s">
        <v>787</v>
      </c>
      <c r="T10">
        <v>5840.132331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121.84</v>
      </c>
      <c r="D11">
        <v>144</v>
      </c>
      <c r="E11">
        <v>0.8461111111111111</v>
      </c>
      <c r="F11">
        <v>0.02068286277084701</v>
      </c>
      <c r="G11">
        <v>0.03398567104266004</v>
      </c>
      <c r="H11">
        <v>0.05</v>
      </c>
      <c r="I11">
        <v>0.1031584671370986</v>
      </c>
      <c r="J11" t="s">
        <v>775</v>
      </c>
      <c r="K11" t="s">
        <v>776</v>
      </c>
      <c r="L11">
        <v>9</v>
      </c>
      <c r="M11">
        <v>2.52</v>
      </c>
      <c r="N11">
        <v>0.28</v>
      </c>
      <c r="O11">
        <v>26</v>
      </c>
      <c r="P11">
        <v>0.06483841633998533</v>
      </c>
      <c r="Q11">
        <v>0.3260860123244</v>
      </c>
      <c r="R11" t="s">
        <v>779</v>
      </c>
      <c r="S11" t="s">
        <v>788</v>
      </c>
      <c r="T11">
        <v>7596.142842</v>
      </c>
      <c r="U11" s="2">
        <v>44496</v>
      </c>
      <c r="V11" t="s">
        <v>800</v>
      </c>
    </row>
    <row r="12" spans="1:22">
      <c r="A12" s="1" t="s">
        <v>32</v>
      </c>
      <c r="B12">
        <f>HYPERLINK("https://www.suredividend.com/sure-analysis-ADM/","Archer Daniels Midland Co.")</f>
        <v>0</v>
      </c>
      <c r="C12">
        <v>65.66</v>
      </c>
      <c r="D12">
        <v>74</v>
      </c>
      <c r="E12">
        <v>0.8872972972972972</v>
      </c>
      <c r="F12">
        <v>0.02254035942735303</v>
      </c>
      <c r="G12">
        <v>0.02420329401668075</v>
      </c>
      <c r="H12">
        <v>0.06</v>
      </c>
      <c r="I12">
        <v>0.1028730092717953</v>
      </c>
      <c r="J12" t="s">
        <v>775</v>
      </c>
      <c r="K12" t="s">
        <v>775</v>
      </c>
      <c r="L12">
        <v>4.9</v>
      </c>
      <c r="M12">
        <v>1.48</v>
      </c>
      <c r="N12">
        <v>0.3020408163265306</v>
      </c>
      <c r="O12">
        <v>46</v>
      </c>
      <c r="P12">
        <v>0.03051269507716325</v>
      </c>
      <c r="Q12">
        <v>0.358829114960217</v>
      </c>
      <c r="R12" t="s">
        <v>779</v>
      </c>
      <c r="S12" t="s">
        <v>789</v>
      </c>
      <c r="T12">
        <v>37146.899664</v>
      </c>
      <c r="U12" s="2">
        <v>44507</v>
      </c>
      <c r="V12" t="s">
        <v>796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43.19</v>
      </c>
      <c r="D13">
        <v>43</v>
      </c>
      <c r="E13">
        <v>1.004418604651163</v>
      </c>
      <c r="F13">
        <v>0.01296596434359806</v>
      </c>
      <c r="G13">
        <v>-0.0008813856071322457</v>
      </c>
      <c r="H13">
        <v>0.09</v>
      </c>
      <c r="I13">
        <v>0.1011319456962601</v>
      </c>
      <c r="J13" t="s">
        <v>775</v>
      </c>
      <c r="K13" t="s">
        <v>366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0.229023871425194</v>
      </c>
      <c r="R13" t="s">
        <v>779</v>
      </c>
      <c r="S13" t="s">
        <v>787</v>
      </c>
      <c r="T13">
        <v>4765.305484</v>
      </c>
      <c r="U13" s="2">
        <v>44500</v>
      </c>
      <c r="V13" t="s">
        <v>794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94.45</v>
      </c>
      <c r="D14">
        <v>100</v>
      </c>
      <c r="E14">
        <v>0.9445</v>
      </c>
      <c r="F14">
        <v>0.02191635786130227</v>
      </c>
      <c r="G14">
        <v>0.01148537460718568</v>
      </c>
      <c r="H14">
        <v>0.07000000000000001</v>
      </c>
      <c r="I14">
        <v>0.09972089595492806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0.06162812318803101</v>
      </c>
      <c r="R14" t="s">
        <v>779</v>
      </c>
      <c r="S14" t="s">
        <v>786</v>
      </c>
      <c r="T14">
        <v>12542.490208</v>
      </c>
      <c r="U14" s="2">
        <v>44495</v>
      </c>
      <c r="V14" t="s">
        <v>796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66.98999999999999</v>
      </c>
      <c r="D15">
        <v>74</v>
      </c>
      <c r="E15">
        <v>0.9052702702702702</v>
      </c>
      <c r="F15">
        <v>0.02149574563367667</v>
      </c>
      <c r="G15">
        <v>0.02010376012660475</v>
      </c>
      <c r="H15">
        <v>0.06</v>
      </c>
      <c r="I15">
        <v>0.09949649950360095</v>
      </c>
      <c r="J15" t="s">
        <v>775</v>
      </c>
      <c r="K15" t="s">
        <v>776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0.221865185662042</v>
      </c>
      <c r="R15" t="s">
        <v>779</v>
      </c>
      <c r="S15" t="s">
        <v>790</v>
      </c>
      <c r="T15">
        <v>2188.52726</v>
      </c>
      <c r="U15" s="2">
        <v>44492</v>
      </c>
      <c r="V15" t="s">
        <v>796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249.86</v>
      </c>
      <c r="D16">
        <v>231</v>
      </c>
      <c r="E16">
        <v>1.081645021645022</v>
      </c>
      <c r="F16">
        <v>0.01392779956775794</v>
      </c>
      <c r="G16">
        <v>-0.01557406035513775</v>
      </c>
      <c r="H16">
        <v>0.1</v>
      </c>
      <c r="I16">
        <v>0.09613716239761039</v>
      </c>
      <c r="J16" t="s">
        <v>775</v>
      </c>
      <c r="K16" t="s">
        <v>776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0.020061502049023</v>
      </c>
      <c r="R16" t="s">
        <v>779</v>
      </c>
      <c r="S16" t="s">
        <v>784</v>
      </c>
      <c r="T16">
        <v>70105.99484</v>
      </c>
      <c r="U16" s="2">
        <v>44507</v>
      </c>
      <c r="V16" t="s">
        <v>795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26.38</v>
      </c>
      <c r="D17">
        <v>32</v>
      </c>
      <c r="E17">
        <v>0.824375</v>
      </c>
      <c r="F17">
        <v>0.04548900682335102</v>
      </c>
      <c r="G17">
        <v>0.03938163137610773</v>
      </c>
      <c r="H17">
        <v>0.02</v>
      </c>
      <c r="I17">
        <v>0.09582981050616857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0.272039013743477</v>
      </c>
      <c r="R17" t="s">
        <v>779</v>
      </c>
      <c r="S17" t="s">
        <v>790</v>
      </c>
      <c r="T17">
        <v>5338.275846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49.73</v>
      </c>
      <c r="D18">
        <v>58</v>
      </c>
      <c r="E18">
        <v>0.8574137931034482</v>
      </c>
      <c r="F18">
        <v>0.03941282927810175</v>
      </c>
      <c r="G18">
        <v>0.03124512106177968</v>
      </c>
      <c r="H18">
        <v>0.03</v>
      </c>
      <c r="I18">
        <v>0.09493958846595696</v>
      </c>
      <c r="J18" t="s">
        <v>775</v>
      </c>
      <c r="K18" t="s">
        <v>775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-0.113600493152723</v>
      </c>
      <c r="R18" t="s">
        <v>779</v>
      </c>
      <c r="S18" t="s">
        <v>784</v>
      </c>
      <c r="T18">
        <v>14100.67162</v>
      </c>
      <c r="U18" s="2">
        <v>44511</v>
      </c>
      <c r="V18" t="s">
        <v>800</v>
      </c>
    </row>
    <row r="19" spans="1:22">
      <c r="A19" s="1" t="s">
        <v>39</v>
      </c>
      <c r="B19">
        <f>HYPERLINK("https://www.suredividend.com/sure-analysis-SYK/","Stryker Corp.")</f>
        <v>0</v>
      </c>
      <c r="C19">
        <v>262.06</v>
      </c>
      <c r="D19">
        <v>223</v>
      </c>
      <c r="E19">
        <v>1.175156950672646</v>
      </c>
      <c r="F19">
        <v>0.009616118446157368</v>
      </c>
      <c r="G19">
        <v>-0.0317648936579874</v>
      </c>
      <c r="H19">
        <v>0.12</v>
      </c>
      <c r="I19">
        <v>0.09414111651522616</v>
      </c>
      <c r="J19" t="s">
        <v>775</v>
      </c>
      <c r="K19" t="s">
        <v>366</v>
      </c>
      <c r="L19">
        <v>9.119999999999999</v>
      </c>
      <c r="M19">
        <v>2.52</v>
      </c>
      <c r="N19">
        <v>0.2763157894736842</v>
      </c>
      <c r="O19">
        <v>27</v>
      </c>
      <c r="P19">
        <v>0.1199444602155453</v>
      </c>
      <c r="Q19">
        <v>0.123661929836887</v>
      </c>
      <c r="R19" t="s">
        <v>779</v>
      </c>
      <c r="S19" t="s">
        <v>784</v>
      </c>
      <c r="T19">
        <v>98912.352146</v>
      </c>
      <c r="U19" s="2">
        <v>44500</v>
      </c>
      <c r="V19" t="s">
        <v>795</v>
      </c>
    </row>
    <row r="20" spans="1:22">
      <c r="A20" s="1" t="s">
        <v>40</v>
      </c>
      <c r="B20">
        <f>HYPERLINK("https://www.suredividend.com/sure-analysis-ATO/","Atmos Energy Corp.")</f>
        <v>0</v>
      </c>
      <c r="C20">
        <v>93.84999999999999</v>
      </c>
      <c r="D20">
        <v>97</v>
      </c>
      <c r="E20">
        <v>0.9675257731958762</v>
      </c>
      <c r="F20">
        <v>0.02898241875332979</v>
      </c>
      <c r="G20">
        <v>0.006624488594970002</v>
      </c>
      <c r="H20">
        <v>0.06</v>
      </c>
      <c r="I20">
        <v>0.09397324113913497</v>
      </c>
      <c r="J20" t="s">
        <v>775</v>
      </c>
      <c r="K20" t="s">
        <v>776</v>
      </c>
      <c r="L20">
        <v>5.1</v>
      </c>
      <c r="M20">
        <v>2.72</v>
      </c>
      <c r="N20">
        <v>0.5333333333333334</v>
      </c>
      <c r="O20">
        <v>38</v>
      </c>
      <c r="P20">
        <v>0.0801851873035635</v>
      </c>
      <c r="Q20">
        <v>-0.04793544847304201</v>
      </c>
      <c r="R20" t="s">
        <v>779</v>
      </c>
      <c r="S20" t="s">
        <v>791</v>
      </c>
      <c r="T20">
        <v>12523.509514</v>
      </c>
      <c r="U20" s="2">
        <v>44427</v>
      </c>
      <c r="V20" t="s">
        <v>799</v>
      </c>
    </row>
    <row r="21" spans="1:22">
      <c r="A21" s="1" t="s">
        <v>41</v>
      </c>
      <c r="B21">
        <f>HYPERLINK("https://www.suredividend.com/sure-analysis-JW.A/","John Wiley &amp; Sons Inc.")</f>
        <v>0</v>
      </c>
      <c r="C21">
        <v>54.27</v>
      </c>
      <c r="D21">
        <v>62</v>
      </c>
      <c r="E21">
        <v>0.8753225806451613</v>
      </c>
      <c r="F21">
        <v>0.02542841348811498</v>
      </c>
      <c r="G21">
        <v>0.02699037546071636</v>
      </c>
      <c r="H21">
        <v>0.045</v>
      </c>
      <c r="I21">
        <v>0.09339660960175378</v>
      </c>
      <c r="J21" t="s">
        <v>775</v>
      </c>
      <c r="K21" t="s">
        <v>776</v>
      </c>
      <c r="L21">
        <v>4.12</v>
      </c>
      <c r="M21">
        <v>1.38</v>
      </c>
      <c r="N21">
        <v>0.3349514563106796</v>
      </c>
      <c r="O21">
        <v>28</v>
      </c>
      <c r="P21">
        <v>0.03002598081465924</v>
      </c>
      <c r="Q21">
        <v>0.5830016540131731</v>
      </c>
      <c r="R21" t="s">
        <v>779</v>
      </c>
      <c r="S21" t="s">
        <v>783</v>
      </c>
      <c r="T21">
        <v>3025.238341</v>
      </c>
      <c r="U21" s="2">
        <v>44453</v>
      </c>
      <c r="V21" t="s">
        <v>797</v>
      </c>
    </row>
    <row r="22" spans="1:22">
      <c r="A22" s="1" t="s">
        <v>42</v>
      </c>
      <c r="B22">
        <f>HYPERLINK("https://www.suredividend.com/sure-analysis-RGLD/","Royal Gold, Inc.")</f>
        <v>0</v>
      </c>
      <c r="C22">
        <v>107.67</v>
      </c>
      <c r="D22">
        <v>128</v>
      </c>
      <c r="E22">
        <v>0.841171875</v>
      </c>
      <c r="F22">
        <v>0.01114516578434104</v>
      </c>
      <c r="G22">
        <v>0.03519711102366774</v>
      </c>
      <c r="H22">
        <v>0.045</v>
      </c>
      <c r="I22">
        <v>0.0922089660198373</v>
      </c>
      <c r="J22" t="s">
        <v>775</v>
      </c>
      <c r="K22" t="s">
        <v>366</v>
      </c>
      <c r="L22">
        <v>4.18</v>
      </c>
      <c r="M22">
        <v>1.2</v>
      </c>
      <c r="N22">
        <v>0.2870813397129187</v>
      </c>
      <c r="O22">
        <v>20</v>
      </c>
      <c r="P22">
        <v>0.0904307661344419</v>
      </c>
      <c r="Q22">
        <v>-0.085348420205461</v>
      </c>
      <c r="R22" t="s">
        <v>779</v>
      </c>
      <c r="S22" t="s">
        <v>787</v>
      </c>
      <c r="T22">
        <v>7034.348476</v>
      </c>
      <c r="U22" s="2">
        <v>44508</v>
      </c>
      <c r="V22" t="s">
        <v>801</v>
      </c>
    </row>
    <row r="23" spans="1:22">
      <c r="A23" s="1" t="s">
        <v>43</v>
      </c>
      <c r="B23">
        <f>HYPERLINK("https://www.suredividend.com/sure-analysis-NIDB/","Northeast Indiana Bancorp Inc.")</f>
        <v>0</v>
      </c>
      <c r="C23">
        <v>44.55</v>
      </c>
      <c r="D23">
        <v>54</v>
      </c>
      <c r="E23">
        <v>0.825</v>
      </c>
      <c r="F23">
        <v>0.02693602693602694</v>
      </c>
      <c r="G23">
        <v>0.03922410156720635</v>
      </c>
      <c r="H23">
        <v>0.03</v>
      </c>
      <c r="I23">
        <v>0.0919455808018661</v>
      </c>
      <c r="J23" t="s">
        <v>775</v>
      </c>
      <c r="K23" t="s">
        <v>775</v>
      </c>
      <c r="L23">
        <v>6</v>
      </c>
      <c r="M23">
        <v>1.2</v>
      </c>
      <c r="N23">
        <v>0.2</v>
      </c>
      <c r="O23">
        <v>27</v>
      </c>
      <c r="P23">
        <v>0.02983277847878951</v>
      </c>
      <c r="Q23">
        <v>0.235002777777777</v>
      </c>
      <c r="R23" t="s">
        <v>779</v>
      </c>
      <c r="S23" t="s">
        <v>790</v>
      </c>
      <c r="T23">
        <v>53.484833</v>
      </c>
      <c r="U23" s="2">
        <v>44503</v>
      </c>
      <c r="V23" t="s">
        <v>795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35.4</v>
      </c>
      <c r="D24">
        <v>37</v>
      </c>
      <c r="E24">
        <v>0.9567567567567568</v>
      </c>
      <c r="F24">
        <v>0.03163841807909605</v>
      </c>
      <c r="G24">
        <v>0.00888041751036206</v>
      </c>
      <c r="H24">
        <v>0.055</v>
      </c>
      <c r="I24">
        <v>0.09121905032866562</v>
      </c>
      <c r="J24" t="s">
        <v>775</v>
      </c>
      <c r="K24" t="s">
        <v>775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0.320874967853988</v>
      </c>
      <c r="R24" t="s">
        <v>779</v>
      </c>
      <c r="S24" t="s">
        <v>790</v>
      </c>
      <c r="T24">
        <v>122.265129</v>
      </c>
      <c r="U24" s="2">
        <v>44505</v>
      </c>
      <c r="V24" t="s">
        <v>797</v>
      </c>
    </row>
    <row r="25" spans="1:22">
      <c r="A25" s="1" t="s">
        <v>45</v>
      </c>
      <c r="B25">
        <f>HYPERLINK("https://www.suredividend.com/sure-analysis-BKH/","Black Hills Corporation")</f>
        <v>0</v>
      </c>
      <c r="C25">
        <v>64.54000000000001</v>
      </c>
      <c r="D25">
        <v>70</v>
      </c>
      <c r="E25">
        <v>0.922</v>
      </c>
      <c r="F25">
        <v>0.0368763557483731</v>
      </c>
      <c r="G25">
        <v>0.01637462957126679</v>
      </c>
      <c r="H25">
        <v>0.04</v>
      </c>
      <c r="I25">
        <v>0.08929299459820128</v>
      </c>
      <c r="J25" t="s">
        <v>775</v>
      </c>
      <c r="K25" t="s">
        <v>775</v>
      </c>
      <c r="L25">
        <v>3.9</v>
      </c>
      <c r="M25">
        <v>2.38</v>
      </c>
      <c r="N25">
        <v>0.6102564102564102</v>
      </c>
      <c r="O25">
        <v>50</v>
      </c>
      <c r="P25">
        <v>0.05016931709648742</v>
      </c>
      <c r="Q25">
        <v>0.027230596490335</v>
      </c>
      <c r="R25" t="s">
        <v>779</v>
      </c>
      <c r="S25" t="s">
        <v>791</v>
      </c>
      <c r="T25">
        <v>4100.190639</v>
      </c>
      <c r="U25" s="2">
        <v>44418</v>
      </c>
      <c r="V25" t="s">
        <v>797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117.35</v>
      </c>
      <c r="D26">
        <v>127</v>
      </c>
      <c r="E26">
        <v>0.924015748031496</v>
      </c>
      <c r="F26">
        <v>0.04806135492117597</v>
      </c>
      <c r="G26">
        <v>0.01593079617181981</v>
      </c>
      <c r="H26">
        <v>0.03</v>
      </c>
      <c r="I26">
        <v>0.08927226941633148</v>
      </c>
      <c r="J26" t="s">
        <v>775</v>
      </c>
      <c r="K26" t="s">
        <v>775</v>
      </c>
      <c r="L26">
        <v>12.65</v>
      </c>
      <c r="M26">
        <v>5.64</v>
      </c>
      <c r="N26">
        <v>0.4458498023715415</v>
      </c>
      <c r="O26">
        <v>50</v>
      </c>
      <c r="P26">
        <v>0.05005169060192549</v>
      </c>
      <c r="Q26">
        <v>0.24038308893958</v>
      </c>
      <c r="R26" t="s">
        <v>779</v>
      </c>
      <c r="S26" t="s">
        <v>784</v>
      </c>
      <c r="T26">
        <v>205734.575435</v>
      </c>
      <c r="U26" s="2">
        <v>44504</v>
      </c>
      <c r="V26" t="s">
        <v>797</v>
      </c>
    </row>
    <row r="27" spans="1:22">
      <c r="A27" s="1" t="s">
        <v>47</v>
      </c>
      <c r="B27">
        <f>HYPERLINK("https://www.suredividend.com/sure-analysis-FMS/","Fresenius Medical Care AG &amp; Co. KGaA")</f>
        <v>0</v>
      </c>
      <c r="C27">
        <v>32.11</v>
      </c>
      <c r="D27">
        <v>33</v>
      </c>
      <c r="E27">
        <v>0.973030303030303</v>
      </c>
      <c r="F27">
        <v>0.02553721582061663</v>
      </c>
      <c r="G27">
        <v>0.005482987528797389</v>
      </c>
      <c r="H27">
        <v>0.06</v>
      </c>
      <c r="I27">
        <v>0.08851058853382776</v>
      </c>
      <c r="J27" t="s">
        <v>775</v>
      </c>
      <c r="K27" t="s">
        <v>776</v>
      </c>
      <c r="L27">
        <v>2.04</v>
      </c>
      <c r="M27">
        <v>0.82</v>
      </c>
      <c r="N27">
        <v>0.4019607843137254</v>
      </c>
      <c r="O27">
        <v>24</v>
      </c>
      <c r="P27">
        <v>0.06051243834129849</v>
      </c>
      <c r="Q27">
        <v>-0.224677698945713</v>
      </c>
      <c r="R27" t="s">
        <v>779</v>
      </c>
      <c r="S27" t="s">
        <v>784</v>
      </c>
      <c r="T27">
        <v>19185.260805</v>
      </c>
      <c r="U27" s="2">
        <v>44503</v>
      </c>
      <c r="V27" t="s">
        <v>795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82.66</v>
      </c>
      <c r="D28">
        <v>82</v>
      </c>
      <c r="E28">
        <v>1.008048780487805</v>
      </c>
      <c r="F28">
        <v>0.01209774981853375</v>
      </c>
      <c r="G28">
        <v>-0.001602027745238543</v>
      </c>
      <c r="H28">
        <v>0.08</v>
      </c>
      <c r="I28">
        <v>0.08847816498422878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0.242654506351593</v>
      </c>
      <c r="R28" t="s">
        <v>779</v>
      </c>
      <c r="S28" t="s">
        <v>786</v>
      </c>
      <c r="T28">
        <v>1548.700763</v>
      </c>
      <c r="U28" s="2">
        <v>44510</v>
      </c>
      <c r="V28" t="s">
        <v>797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163.28</v>
      </c>
      <c r="D29">
        <v>167</v>
      </c>
      <c r="E29">
        <v>0.9777245508982036</v>
      </c>
      <c r="F29">
        <v>0.02596766291033807</v>
      </c>
      <c r="G29">
        <v>0.004515623622477705</v>
      </c>
      <c r="H29">
        <v>0.06</v>
      </c>
      <c r="I29">
        <v>0.08789293589870351</v>
      </c>
      <c r="J29" t="s">
        <v>775</v>
      </c>
      <c r="K29" t="s">
        <v>775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0.105970418163832</v>
      </c>
      <c r="R29" t="s">
        <v>779</v>
      </c>
      <c r="S29" t="s">
        <v>784</v>
      </c>
      <c r="T29">
        <v>428244.548947</v>
      </c>
      <c r="U29" s="2">
        <v>44489</v>
      </c>
      <c r="V29" t="s">
        <v>795</v>
      </c>
    </row>
    <row r="30" spans="1:22">
      <c r="A30" s="1" t="s">
        <v>50</v>
      </c>
      <c r="B30">
        <f>HYPERLINK("https://www.suredividend.com/sure-analysis-V/","Visa Inc")</f>
        <v>0</v>
      </c>
      <c r="C30">
        <v>205.06</v>
      </c>
      <c r="D30">
        <v>178</v>
      </c>
      <c r="E30">
        <v>1.152022471910112</v>
      </c>
      <c r="F30">
        <v>0.007314932214961475</v>
      </c>
      <c r="G30">
        <v>-0.02790701332124645</v>
      </c>
      <c r="H30">
        <v>0.11</v>
      </c>
      <c r="I30">
        <v>0.08607124521302523</v>
      </c>
      <c r="J30" t="s">
        <v>775</v>
      </c>
      <c r="K30" t="s">
        <v>366</v>
      </c>
      <c r="L30">
        <v>7.1</v>
      </c>
      <c r="M30">
        <v>1.5</v>
      </c>
      <c r="N30">
        <v>0.2112676056338028</v>
      </c>
      <c r="O30">
        <v>14</v>
      </c>
      <c r="P30">
        <v>0.09487401536266371</v>
      </c>
      <c r="Q30">
        <v>0.017874053814213</v>
      </c>
      <c r="R30" t="s">
        <v>779</v>
      </c>
      <c r="S30" t="s">
        <v>790</v>
      </c>
      <c r="T30">
        <v>474256.72</v>
      </c>
      <c r="U30" s="2">
        <v>44497</v>
      </c>
      <c r="V30" t="s">
        <v>800</v>
      </c>
    </row>
    <row r="31" spans="1:22">
      <c r="A31" s="1" t="s">
        <v>51</v>
      </c>
      <c r="B31">
        <f>HYPERLINK("https://www.suredividend.com/sure-analysis-CINF/","Cincinnati Financial Corp.")</f>
        <v>0</v>
      </c>
      <c r="C31">
        <v>118.75</v>
      </c>
      <c r="D31">
        <v>112.03</v>
      </c>
      <c r="E31">
        <v>1.059983932875123</v>
      </c>
      <c r="F31">
        <v>0.02122105263157895</v>
      </c>
      <c r="G31">
        <v>-0.01158314289306162</v>
      </c>
      <c r="H31">
        <v>0.08</v>
      </c>
      <c r="I31">
        <v>0.08582638388908848</v>
      </c>
      <c r="J31" t="s">
        <v>775</v>
      </c>
      <c r="K31" t="s">
        <v>776</v>
      </c>
      <c r="L31">
        <v>5.58</v>
      </c>
      <c r="M31">
        <v>2.52</v>
      </c>
      <c r="N31">
        <v>0.4516129032258064</v>
      </c>
      <c r="O31">
        <v>60</v>
      </c>
      <c r="P31">
        <v>0.05024607263868264</v>
      </c>
      <c r="Q31">
        <v>0.547625003688181</v>
      </c>
      <c r="R31" t="s">
        <v>779</v>
      </c>
      <c r="S31" t="s">
        <v>790</v>
      </c>
      <c r="T31">
        <v>19440.049999</v>
      </c>
      <c r="U31" s="2">
        <v>44499</v>
      </c>
      <c r="V31" t="s">
        <v>796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43.73</v>
      </c>
      <c r="D32">
        <v>44</v>
      </c>
      <c r="E32">
        <v>0.9938636363636363</v>
      </c>
      <c r="F32">
        <v>0.03841756231420078</v>
      </c>
      <c r="G32">
        <v>0.001231811756328804</v>
      </c>
      <c r="H32">
        <v>0.05</v>
      </c>
      <c r="I32">
        <v>0.08451623605472469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0.07776660129631001</v>
      </c>
      <c r="R32" t="s">
        <v>779</v>
      </c>
      <c r="S32" t="s">
        <v>788</v>
      </c>
      <c r="T32">
        <v>5959.293207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HYPERLINK("https://www.suredividend.com/sure-analysis-PH/","Parker-Hannifin Corp.")</f>
        <v>0</v>
      </c>
      <c r="C33">
        <v>329.32</v>
      </c>
      <c r="D33">
        <v>289</v>
      </c>
      <c r="E33">
        <v>1.139515570934256</v>
      </c>
      <c r="F33">
        <v>0.01251062796064618</v>
      </c>
      <c r="G33">
        <v>-0.02578245377310429</v>
      </c>
      <c r="H33">
        <v>0.1</v>
      </c>
      <c r="I33">
        <v>0.08409311285213983</v>
      </c>
      <c r="J33" t="s">
        <v>775</v>
      </c>
      <c r="K33" t="s">
        <v>776</v>
      </c>
      <c r="L33">
        <v>17.5</v>
      </c>
      <c r="M33">
        <v>4.12</v>
      </c>
      <c r="N33">
        <v>0.2354285714285714</v>
      </c>
      <c r="O33">
        <v>65</v>
      </c>
      <c r="P33">
        <v>0.10015574926841</v>
      </c>
      <c r="Q33">
        <v>0.257296540165572</v>
      </c>
      <c r="R33" t="s">
        <v>779</v>
      </c>
      <c r="S33" t="s">
        <v>786</v>
      </c>
      <c r="T33">
        <v>42728.651573</v>
      </c>
      <c r="U33" s="2">
        <v>44508</v>
      </c>
      <c r="V33" t="s">
        <v>802</v>
      </c>
    </row>
    <row r="34" spans="1:22">
      <c r="A34" s="1" t="s">
        <v>54</v>
      </c>
      <c r="B34">
        <f>HYPERLINK("https://www.suredividend.com/sure-analysis-LHX/","L3Harris Technologies Inc")</f>
        <v>0</v>
      </c>
      <c r="C34">
        <v>220.17</v>
      </c>
      <c r="D34">
        <v>206</v>
      </c>
      <c r="E34">
        <v>1.06878640776699</v>
      </c>
      <c r="F34">
        <v>0.01853113503202071</v>
      </c>
      <c r="G34">
        <v>-0.01321664417592172</v>
      </c>
      <c r="H34">
        <v>0.08</v>
      </c>
      <c r="I34">
        <v>0.08332922475971105</v>
      </c>
      <c r="J34" t="s">
        <v>775</v>
      </c>
      <c r="K34" t="s">
        <v>776</v>
      </c>
      <c r="L34">
        <v>12.9</v>
      </c>
      <c r="M34">
        <v>4.08</v>
      </c>
      <c r="N34">
        <v>0.3162790697674419</v>
      </c>
      <c r="O34">
        <v>20</v>
      </c>
      <c r="P34">
        <v>0.07982488529298792</v>
      </c>
      <c r="Q34">
        <v>0.120827211239247</v>
      </c>
      <c r="R34" t="s">
        <v>779</v>
      </c>
      <c r="S34" t="s">
        <v>786</v>
      </c>
      <c r="T34">
        <v>43169.60318</v>
      </c>
      <c r="U34" s="2">
        <v>44509</v>
      </c>
      <c r="V34" t="s">
        <v>798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193.79</v>
      </c>
      <c r="D35">
        <v>182</v>
      </c>
      <c r="E35">
        <v>1.06478021978022</v>
      </c>
      <c r="F35">
        <v>0.01630631095515764</v>
      </c>
      <c r="G35">
        <v>-0.01247521352327685</v>
      </c>
      <c r="H35">
        <v>0.08</v>
      </c>
      <c r="I35">
        <v>0.082032764334109</v>
      </c>
      <c r="J35" t="s">
        <v>775</v>
      </c>
      <c r="K35" t="s">
        <v>776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0.06985861978471801</v>
      </c>
      <c r="R35" t="s">
        <v>779</v>
      </c>
      <c r="S35" t="s">
        <v>786</v>
      </c>
      <c r="T35">
        <v>31969.182345</v>
      </c>
      <c r="U35" s="2">
        <v>44500</v>
      </c>
      <c r="V35" t="s">
        <v>795</v>
      </c>
    </row>
    <row r="36" spans="1:22">
      <c r="A36" s="1" t="s">
        <v>56</v>
      </c>
      <c r="B36">
        <f>HYPERLINK("https://www.suredividend.com/sure-analysis-MMM/","3M Co.")</f>
        <v>0</v>
      </c>
      <c r="C36">
        <v>181.86</v>
      </c>
      <c r="D36">
        <v>186</v>
      </c>
      <c r="E36">
        <v>0.977741935483871</v>
      </c>
      <c r="F36">
        <v>0.03255251292202793</v>
      </c>
      <c r="G36">
        <v>0.004512051470873857</v>
      </c>
      <c r="H36">
        <v>0.05</v>
      </c>
      <c r="I36">
        <v>0.08129965661104643</v>
      </c>
      <c r="J36" t="s">
        <v>775</v>
      </c>
      <c r="K36" t="s">
        <v>775</v>
      </c>
      <c r="L36">
        <v>9.800000000000001</v>
      </c>
      <c r="M36">
        <v>5.92</v>
      </c>
      <c r="N36">
        <v>0.6040816326530611</v>
      </c>
      <c r="O36">
        <v>63</v>
      </c>
      <c r="P36">
        <v>0.02011987338221144</v>
      </c>
      <c r="Q36">
        <v>0.08873062570691401</v>
      </c>
      <c r="R36" t="s">
        <v>779</v>
      </c>
      <c r="S36" t="s">
        <v>786</v>
      </c>
      <c r="T36">
        <v>106104.896453</v>
      </c>
      <c r="U36" s="2">
        <v>44496</v>
      </c>
      <c r="V36" t="s">
        <v>795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56.92</v>
      </c>
      <c r="D37">
        <v>61</v>
      </c>
      <c r="E37">
        <v>0.9331147540983606</v>
      </c>
      <c r="F37">
        <v>0.028109627547435</v>
      </c>
      <c r="G37">
        <v>0.0139417098791168</v>
      </c>
      <c r="H37">
        <v>0.04</v>
      </c>
      <c r="I37">
        <v>0.07904911652686519</v>
      </c>
      <c r="J37" t="s">
        <v>775</v>
      </c>
      <c r="K37" t="s">
        <v>775</v>
      </c>
      <c r="L37">
        <v>6.1</v>
      </c>
      <c r="M37">
        <v>1.6</v>
      </c>
      <c r="N37">
        <v>0.2622950819672131</v>
      </c>
      <c r="O37">
        <v>40</v>
      </c>
      <c r="P37">
        <v>0.04142312668144399</v>
      </c>
      <c r="Q37">
        <v>0.356534511555181</v>
      </c>
      <c r="R37" t="s">
        <v>779</v>
      </c>
      <c r="S37" t="s">
        <v>790</v>
      </c>
      <c r="T37">
        <v>37879.10582</v>
      </c>
      <c r="U37" s="2">
        <v>44497</v>
      </c>
      <c r="V37" t="s">
        <v>800</v>
      </c>
    </row>
    <row r="38" spans="1:22">
      <c r="A38" s="1" t="s">
        <v>58</v>
      </c>
      <c r="B38">
        <f>HYPERLINK("https://www.suredividend.com/sure-analysis-ANTM/","Anthem Inc")</f>
        <v>0</v>
      </c>
      <c r="C38">
        <v>429.68</v>
      </c>
      <c r="D38">
        <v>388</v>
      </c>
      <c r="E38">
        <v>1.107422680412371</v>
      </c>
      <c r="F38">
        <v>0.01051945633960156</v>
      </c>
      <c r="G38">
        <v>-0.02020026593446145</v>
      </c>
      <c r="H38">
        <v>0.09</v>
      </c>
      <c r="I38">
        <v>0.07832465960007173</v>
      </c>
      <c r="J38" t="s">
        <v>775</v>
      </c>
      <c r="K38" t="s">
        <v>366</v>
      </c>
      <c r="L38">
        <v>25.85</v>
      </c>
      <c r="M38">
        <v>4.52</v>
      </c>
      <c r="N38">
        <v>0.1748549323017408</v>
      </c>
      <c r="O38">
        <v>11</v>
      </c>
      <c r="P38">
        <v>0.0898563876885603</v>
      </c>
      <c r="Q38">
        <v>0.30797281229955</v>
      </c>
      <c r="R38" t="s">
        <v>779</v>
      </c>
      <c r="S38" t="s">
        <v>784</v>
      </c>
      <c r="T38">
        <v>104478.959431</v>
      </c>
      <c r="U38" s="2">
        <v>44490</v>
      </c>
      <c r="V38" t="s">
        <v>795</v>
      </c>
    </row>
    <row r="39" spans="1:22">
      <c r="A39" s="1" t="s">
        <v>59</v>
      </c>
      <c r="B39">
        <f>HYPERLINK("https://www.suredividend.com/sure-analysis-MET/","Metlife Inc")</f>
        <v>0</v>
      </c>
      <c r="C39">
        <v>63.13</v>
      </c>
      <c r="D39">
        <v>77</v>
      </c>
      <c r="E39">
        <v>0.8198701298701299</v>
      </c>
      <c r="F39">
        <v>0.03041343259939807</v>
      </c>
      <c r="G39">
        <v>0.04052132947314679</v>
      </c>
      <c r="H39">
        <v>0.01</v>
      </c>
      <c r="I39">
        <v>0.07765159264398136</v>
      </c>
      <c r="J39" t="s">
        <v>775</v>
      </c>
      <c r="K39" t="s">
        <v>775</v>
      </c>
      <c r="L39">
        <v>8.5</v>
      </c>
      <c r="M39">
        <v>1.92</v>
      </c>
      <c r="N39">
        <v>0.2258823529411765</v>
      </c>
      <c r="O39">
        <v>9</v>
      </c>
      <c r="P39">
        <v>0.0403582746309219</v>
      </c>
      <c r="Q39">
        <v>0.422377148650861</v>
      </c>
      <c r="R39" t="s">
        <v>779</v>
      </c>
      <c r="S39" t="s">
        <v>790</v>
      </c>
      <c r="T39">
        <v>53337.967838</v>
      </c>
      <c r="U39" s="2">
        <v>44511</v>
      </c>
      <c r="V39" t="s">
        <v>800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44.49</v>
      </c>
      <c r="D40">
        <v>48</v>
      </c>
      <c r="E40">
        <v>0.926875</v>
      </c>
      <c r="F40">
        <v>0.03596313778377164</v>
      </c>
      <c r="G40">
        <v>0.01530322651983695</v>
      </c>
      <c r="H40">
        <v>0.03</v>
      </c>
      <c r="I40">
        <v>0.07699862281537007</v>
      </c>
      <c r="J40" t="s">
        <v>775</v>
      </c>
      <c r="K40" t="s">
        <v>775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0.31015060609771</v>
      </c>
      <c r="R40" t="s">
        <v>779</v>
      </c>
      <c r="S40" t="s">
        <v>790</v>
      </c>
      <c r="T40">
        <v>801.86806</v>
      </c>
      <c r="U40" s="2">
        <v>44490</v>
      </c>
      <c r="V40" t="s">
        <v>802</v>
      </c>
    </row>
    <row r="41" spans="1:22">
      <c r="A41" s="1" t="s">
        <v>61</v>
      </c>
      <c r="B41">
        <f>HYPERLINK("https://www.suredividend.com/sure-analysis-WMT/","Walmart Inc")</f>
        <v>0</v>
      </c>
      <c r="C41">
        <v>141.94</v>
      </c>
      <c r="D41">
        <v>151</v>
      </c>
      <c r="E41">
        <v>0.9399999999999999</v>
      </c>
      <c r="F41">
        <v>0.01549950683387347</v>
      </c>
      <c r="G41">
        <v>0.01245196889366262</v>
      </c>
      <c r="H41">
        <v>0.05</v>
      </c>
      <c r="I41">
        <v>0.07680409445263647</v>
      </c>
      <c r="J41" t="s">
        <v>775</v>
      </c>
      <c r="K41" t="s">
        <v>776</v>
      </c>
      <c r="L41">
        <v>6.3</v>
      </c>
      <c r="M41">
        <v>2.2</v>
      </c>
      <c r="N41">
        <v>0.3492063492063492</v>
      </c>
      <c r="O41">
        <v>48</v>
      </c>
      <c r="P41">
        <v>0.05016303610438722</v>
      </c>
      <c r="Q41">
        <v>-0.04622767958259701</v>
      </c>
      <c r="R41" t="s">
        <v>779</v>
      </c>
      <c r="S41" t="s">
        <v>789</v>
      </c>
      <c r="T41">
        <v>399229.232317</v>
      </c>
      <c r="U41" s="2">
        <v>44428</v>
      </c>
      <c r="V41" t="s">
        <v>799</v>
      </c>
    </row>
    <row r="42" spans="1:22">
      <c r="A42" s="1" t="s">
        <v>62</v>
      </c>
      <c r="B42">
        <f>HYPERLINK("https://www.suredividend.com/sure-analysis-BRC/","Brady Corp.")</f>
        <v>0</v>
      </c>
      <c r="C42">
        <v>53.68</v>
      </c>
      <c r="D42">
        <v>57</v>
      </c>
      <c r="E42">
        <v>0.9417543859649122</v>
      </c>
      <c r="F42">
        <v>0.01676602086438152</v>
      </c>
      <c r="G42">
        <v>0.01207446991884842</v>
      </c>
      <c r="H42">
        <v>0.05</v>
      </c>
      <c r="I42">
        <v>0.0762526189697903</v>
      </c>
      <c r="J42" t="s">
        <v>775</v>
      </c>
      <c r="K42" t="s">
        <v>776</v>
      </c>
      <c r="L42">
        <v>3</v>
      </c>
      <c r="M42">
        <v>0.9</v>
      </c>
      <c r="N42">
        <v>0.3</v>
      </c>
      <c r="O42">
        <v>36</v>
      </c>
      <c r="P42">
        <v>0.01924487649145656</v>
      </c>
      <c r="Q42">
        <v>0.18527487754928</v>
      </c>
      <c r="R42" t="s">
        <v>779</v>
      </c>
      <c r="S42" t="s">
        <v>786</v>
      </c>
      <c r="T42">
        <v>2631.686726</v>
      </c>
      <c r="U42" s="2">
        <v>44461</v>
      </c>
      <c r="V42" t="s">
        <v>795</v>
      </c>
    </row>
    <row r="43" spans="1:22">
      <c r="A43" s="1" t="s">
        <v>63</v>
      </c>
      <c r="B43">
        <f>HYPERLINK("https://www.suredividend.com/sure-analysis-CP/","Canadian Pacific Railway Ltd")</f>
        <v>0</v>
      </c>
      <c r="C43">
        <v>74.73999999999999</v>
      </c>
      <c r="D43">
        <v>64</v>
      </c>
      <c r="E43">
        <v>1.1678125</v>
      </c>
      <c r="F43">
        <v>0.008161626973508161</v>
      </c>
      <c r="G43">
        <v>-0.03055008679913018</v>
      </c>
      <c r="H43">
        <v>0.1</v>
      </c>
      <c r="I43">
        <v>0.07602245863082335</v>
      </c>
      <c r="J43" t="s">
        <v>775</v>
      </c>
      <c r="K43" t="s">
        <v>514</v>
      </c>
      <c r="L43">
        <v>3.06</v>
      </c>
      <c r="M43">
        <v>0.61</v>
      </c>
      <c r="N43">
        <v>0.1993464052287582</v>
      </c>
      <c r="O43">
        <v>5</v>
      </c>
      <c r="P43">
        <v>0.1505753231079818</v>
      </c>
      <c r="Q43">
        <v>0.153338272726186</v>
      </c>
      <c r="R43" t="s">
        <v>779</v>
      </c>
      <c r="S43" t="s">
        <v>786</v>
      </c>
      <c r="T43">
        <v>51497.239119</v>
      </c>
      <c r="U43" s="2">
        <v>44491</v>
      </c>
      <c r="V43" t="s">
        <v>803</v>
      </c>
    </row>
    <row r="44" spans="1:22">
      <c r="A44" s="1" t="s">
        <v>64</v>
      </c>
      <c r="B44">
        <f>HYPERLINK("https://www.suredividend.com/sure-analysis-EBTC/","Enterprise Bancorp, Inc.")</f>
        <v>0</v>
      </c>
      <c r="C44">
        <v>39.48</v>
      </c>
      <c r="D44">
        <v>41</v>
      </c>
      <c r="E44">
        <v>0.9629268292682926</v>
      </c>
      <c r="F44">
        <v>0.01874366767983789</v>
      </c>
      <c r="G44">
        <v>0.007584185773069629</v>
      </c>
      <c r="H44">
        <v>0.05</v>
      </c>
      <c r="I44">
        <v>0.07537009576031828</v>
      </c>
      <c r="J44" t="s">
        <v>775</v>
      </c>
      <c r="K44" t="s">
        <v>776</v>
      </c>
      <c r="L44">
        <v>3.4</v>
      </c>
      <c r="M44">
        <v>0.74</v>
      </c>
      <c r="N44">
        <v>0.2176470588235294</v>
      </c>
      <c r="O44">
        <v>27</v>
      </c>
      <c r="P44">
        <v>0.06207125806326297</v>
      </c>
      <c r="Q44">
        <v>0.5604706916373361</v>
      </c>
      <c r="R44" t="s">
        <v>779</v>
      </c>
      <c r="S44" t="s">
        <v>790</v>
      </c>
      <c r="T44">
        <v>478.321147</v>
      </c>
      <c r="U44" s="2">
        <v>44494</v>
      </c>
      <c r="V44" t="s">
        <v>802</v>
      </c>
    </row>
    <row r="45" spans="1:22">
      <c r="A45" s="1" t="s">
        <v>65</v>
      </c>
      <c r="B45">
        <f>HYPERLINK("https://www.suredividend.com/sure-analysis-KO/","Coca-Cola Co")</f>
        <v>0</v>
      </c>
      <c r="C45">
        <v>55.91</v>
      </c>
      <c r="D45">
        <v>53</v>
      </c>
      <c r="E45">
        <v>1.054905660377358</v>
      </c>
      <c r="F45">
        <v>0.03004829189769272</v>
      </c>
      <c r="G45">
        <v>-0.01063333045338166</v>
      </c>
      <c r="H45">
        <v>0.06</v>
      </c>
      <c r="I45">
        <v>0.07529978093275758</v>
      </c>
      <c r="J45" t="s">
        <v>775</v>
      </c>
      <c r="K45" t="s">
        <v>775</v>
      </c>
      <c r="L45">
        <v>2.3</v>
      </c>
      <c r="M45">
        <v>1.68</v>
      </c>
      <c r="N45">
        <v>0.7304347826086957</v>
      </c>
      <c r="O45">
        <v>59</v>
      </c>
      <c r="P45">
        <v>0.03959498820755258</v>
      </c>
      <c r="Q45">
        <v>0.07701768400967801</v>
      </c>
      <c r="R45" t="s">
        <v>779</v>
      </c>
      <c r="S45" t="s">
        <v>789</v>
      </c>
      <c r="T45">
        <v>242837.805668</v>
      </c>
      <c r="U45" s="2">
        <v>44512</v>
      </c>
      <c r="V45" t="s">
        <v>799</v>
      </c>
    </row>
    <row r="46" spans="1:22">
      <c r="A46" s="1" t="s">
        <v>66</v>
      </c>
      <c r="B46">
        <f>HYPERLINK("https://www.suredividend.com/sure-analysis-ABC/","Amerisource Bergen Corp.")</f>
        <v>0</v>
      </c>
      <c r="C46">
        <v>124.67</v>
      </c>
      <c r="D46">
        <v>138</v>
      </c>
      <c r="E46">
        <v>0.9034057971014493</v>
      </c>
      <c r="F46">
        <v>0.01475896366407315</v>
      </c>
      <c r="G46">
        <v>0.02052447646792066</v>
      </c>
      <c r="H46">
        <v>0.04</v>
      </c>
      <c r="I46">
        <v>0.07528614806237188</v>
      </c>
      <c r="J46" t="s">
        <v>775</v>
      </c>
      <c r="K46" t="s">
        <v>776</v>
      </c>
      <c r="L46">
        <v>10.65</v>
      </c>
      <c r="M46">
        <v>1.84</v>
      </c>
      <c r="N46">
        <v>0.1727699530516432</v>
      </c>
      <c r="O46">
        <v>18</v>
      </c>
      <c r="P46">
        <v>0.06994234673120125</v>
      </c>
      <c r="Q46">
        <v>0.153602563147306</v>
      </c>
      <c r="R46" t="s">
        <v>779</v>
      </c>
      <c r="S46" t="s">
        <v>784</v>
      </c>
      <c r="T46">
        <v>25736.512188</v>
      </c>
      <c r="U46" s="2">
        <v>44511</v>
      </c>
      <c r="V46" t="s">
        <v>800</v>
      </c>
    </row>
    <row r="47" spans="1:22">
      <c r="A47" s="1" t="s">
        <v>67</v>
      </c>
      <c r="B47">
        <f>HYPERLINK("https://www.suredividend.com/sure-analysis-SYY/","Sysco Corp.")</f>
        <v>0</v>
      </c>
      <c r="C47">
        <v>75.66</v>
      </c>
      <c r="D47">
        <v>69</v>
      </c>
      <c r="E47">
        <v>1.096521739130435</v>
      </c>
      <c r="F47">
        <v>0.02484800422944753</v>
      </c>
      <c r="G47">
        <v>-0.01825985416554698</v>
      </c>
      <c r="H47">
        <v>0.07000000000000001</v>
      </c>
      <c r="I47">
        <v>0.07512179395603136</v>
      </c>
      <c r="J47" t="s">
        <v>775</v>
      </c>
      <c r="K47" t="s">
        <v>776</v>
      </c>
      <c r="L47">
        <v>3.47</v>
      </c>
      <c r="M47">
        <v>1.88</v>
      </c>
      <c r="N47">
        <v>0.5417867435158501</v>
      </c>
      <c r="O47">
        <v>51</v>
      </c>
      <c r="P47">
        <v>0.07981721406627784</v>
      </c>
      <c r="Q47">
        <v>0.04505493605132201</v>
      </c>
      <c r="R47" t="s">
        <v>779</v>
      </c>
      <c r="S47" t="s">
        <v>789</v>
      </c>
      <c r="T47">
        <v>39233.58993</v>
      </c>
      <c r="U47" s="2">
        <v>44513</v>
      </c>
      <c r="V47" t="s">
        <v>796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637.3</v>
      </c>
      <c r="D48">
        <v>561</v>
      </c>
      <c r="E48">
        <v>1.136007130124777</v>
      </c>
      <c r="F48">
        <v>0.001631884512788326</v>
      </c>
      <c r="G48">
        <v>-0.02518144170613357</v>
      </c>
      <c r="H48">
        <v>0.1</v>
      </c>
      <c r="I48">
        <v>0.07420663834245689</v>
      </c>
      <c r="J48" t="s">
        <v>775</v>
      </c>
      <c r="K48" t="s">
        <v>366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0.336427246715703</v>
      </c>
      <c r="R48" t="s">
        <v>779</v>
      </c>
      <c r="S48" t="s">
        <v>784</v>
      </c>
      <c r="T48">
        <v>252773.966849</v>
      </c>
      <c r="U48" s="2">
        <v>44499</v>
      </c>
      <c r="V48" t="s">
        <v>794</v>
      </c>
    </row>
    <row r="49" spans="1:22">
      <c r="A49" s="1" t="s">
        <v>69</v>
      </c>
      <c r="B49">
        <f>HYPERLINK("https://www.suredividend.com/sure-analysis-ROP/","Roper Technologies Inc")</f>
        <v>0</v>
      </c>
      <c r="C49">
        <v>490.78</v>
      </c>
      <c r="D49">
        <v>423</v>
      </c>
      <c r="E49">
        <v>1.160236406619385</v>
      </c>
      <c r="F49">
        <v>0.005053180651208281</v>
      </c>
      <c r="G49">
        <v>-0.02928732099181908</v>
      </c>
      <c r="H49">
        <v>0.1</v>
      </c>
      <c r="I49">
        <v>0.07295121904609414</v>
      </c>
      <c r="J49" t="s">
        <v>775</v>
      </c>
      <c r="K49" t="s">
        <v>366</v>
      </c>
      <c r="L49">
        <v>14.1</v>
      </c>
      <c r="M49">
        <v>2.48</v>
      </c>
      <c r="N49">
        <v>0.175886524822695</v>
      </c>
      <c r="O49">
        <v>29</v>
      </c>
      <c r="P49">
        <v>0.09977601258252333</v>
      </c>
      <c r="Q49">
        <v>0.21324068517576</v>
      </c>
      <c r="R49" t="s">
        <v>779</v>
      </c>
      <c r="S49" t="s">
        <v>786</v>
      </c>
      <c r="T49">
        <v>51899.104163</v>
      </c>
      <c r="U49" s="2">
        <v>44494</v>
      </c>
      <c r="V49" t="s">
        <v>794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45.97</v>
      </c>
      <c r="D50">
        <v>50.8</v>
      </c>
      <c r="E50">
        <v>0.9049212598425197</v>
      </c>
      <c r="F50">
        <v>0.04176636937132912</v>
      </c>
      <c r="G50">
        <v>0.02018243480320692</v>
      </c>
      <c r="H50">
        <v>0.016</v>
      </c>
      <c r="I50">
        <v>0.07273925844637952</v>
      </c>
      <c r="J50" t="s">
        <v>775</v>
      </c>
      <c r="K50" t="s">
        <v>775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-0.032820907637848</v>
      </c>
      <c r="R50" t="s">
        <v>779</v>
      </c>
      <c r="S50" t="s">
        <v>791</v>
      </c>
      <c r="T50">
        <v>1417.999938</v>
      </c>
      <c r="U50" s="2">
        <v>44509</v>
      </c>
      <c r="V50" t="s">
        <v>804</v>
      </c>
    </row>
    <row r="51" spans="1:22">
      <c r="A51" s="1" t="s">
        <v>71</v>
      </c>
      <c r="B51">
        <f>HYPERLINK("https://www.suredividend.com/sure-analysis-FMCB/","Farmers &amp; Merchants Bancorp")</f>
        <v>0</v>
      </c>
      <c r="C51">
        <v>970</v>
      </c>
      <c r="D51">
        <v>1008</v>
      </c>
      <c r="E51">
        <v>0.9623015873015873</v>
      </c>
      <c r="F51">
        <v>0.01577319587628866</v>
      </c>
      <c r="G51">
        <v>0.007715084497701641</v>
      </c>
      <c r="H51">
        <v>0.05</v>
      </c>
      <c r="I51">
        <v>0.07231701724536332</v>
      </c>
      <c r="J51" t="s">
        <v>775</v>
      </c>
      <c r="K51" t="s">
        <v>776</v>
      </c>
      <c r="L51">
        <v>84</v>
      </c>
      <c r="M51">
        <v>15.3</v>
      </c>
      <c r="N51">
        <v>0.1821428571428572</v>
      </c>
      <c r="O51">
        <v>56</v>
      </c>
      <c r="P51">
        <v>0.0500311005456211</v>
      </c>
      <c r="Q51">
        <v>0.348355049419341</v>
      </c>
      <c r="R51" t="s">
        <v>779</v>
      </c>
      <c r="S51" t="s">
        <v>790</v>
      </c>
      <c r="T51">
        <v>753.3082000000001</v>
      </c>
      <c r="U51" s="2">
        <v>44498</v>
      </c>
      <c r="V51" t="s">
        <v>802</v>
      </c>
    </row>
    <row r="52" spans="1:22">
      <c r="A52" s="1" t="s">
        <v>72</v>
      </c>
      <c r="B52">
        <f>HYPERLINK("https://www.suredividend.com/sure-analysis-LANC/","Lancaster Colony Corp.")</f>
        <v>0</v>
      </c>
      <c r="C52">
        <v>161.43</v>
      </c>
      <c r="D52">
        <v>170</v>
      </c>
      <c r="E52">
        <v>0.9495882352941177</v>
      </c>
      <c r="F52">
        <v>0.01982283342625286</v>
      </c>
      <c r="G52">
        <v>0.01039906328084372</v>
      </c>
      <c r="H52">
        <v>0.04</v>
      </c>
      <c r="I52">
        <v>0.06902625064051349</v>
      </c>
      <c r="J52" t="s">
        <v>775</v>
      </c>
      <c r="K52" t="s">
        <v>776</v>
      </c>
      <c r="L52">
        <v>6.3</v>
      </c>
      <c r="M52">
        <v>3.2</v>
      </c>
      <c r="N52">
        <v>0.507936507936508</v>
      </c>
      <c r="O52">
        <v>59</v>
      </c>
      <c r="P52">
        <v>0.04978904632428516</v>
      </c>
      <c r="Q52">
        <v>-0.06801582255727801</v>
      </c>
      <c r="R52" t="s">
        <v>779</v>
      </c>
      <c r="S52" t="s">
        <v>789</v>
      </c>
      <c r="T52">
        <v>4531.9886</v>
      </c>
      <c r="U52" s="2">
        <v>44444</v>
      </c>
      <c r="V52" t="s">
        <v>799</v>
      </c>
    </row>
    <row r="53" spans="1:22">
      <c r="A53" s="1" t="s">
        <v>73</v>
      </c>
      <c r="B53">
        <f>HYPERLINK("https://www.suredividend.com/sure-analysis-SEIC/","SEI Investments Co.")</f>
        <v>0</v>
      </c>
      <c r="C53">
        <v>64.75</v>
      </c>
      <c r="D53">
        <v>64</v>
      </c>
      <c r="E53">
        <v>1.01171875</v>
      </c>
      <c r="F53">
        <v>0.01142857142857143</v>
      </c>
      <c r="G53">
        <v>-0.002327410813693143</v>
      </c>
      <c r="H53">
        <v>0.06</v>
      </c>
      <c r="I53">
        <v>0.06888339313564673</v>
      </c>
      <c r="J53" t="s">
        <v>775</v>
      </c>
      <c r="K53" t="s">
        <v>366</v>
      </c>
      <c r="L53">
        <v>3.75</v>
      </c>
      <c r="M53">
        <v>0.74</v>
      </c>
      <c r="N53">
        <v>0.1973333333333333</v>
      </c>
      <c r="O53">
        <v>30</v>
      </c>
      <c r="P53">
        <v>0.08053529061413389</v>
      </c>
      <c r="Q53">
        <v>0.174556170175794</v>
      </c>
      <c r="R53" t="s">
        <v>779</v>
      </c>
      <c r="S53" t="s">
        <v>790</v>
      </c>
      <c r="T53">
        <v>9049.073179000001</v>
      </c>
      <c r="U53" s="2">
        <v>44493</v>
      </c>
      <c r="V53" t="s">
        <v>799</v>
      </c>
    </row>
    <row r="54" spans="1:22">
      <c r="A54" s="1" t="s">
        <v>74</v>
      </c>
      <c r="B54">
        <f>HYPERLINK("https://www.suredividend.com/sure-analysis-MATW/","Matthews International Corp.")</f>
        <v>0</v>
      </c>
      <c r="C54">
        <v>38.56</v>
      </c>
      <c r="D54">
        <v>42</v>
      </c>
      <c r="E54">
        <v>0.9180952380952382</v>
      </c>
      <c r="F54">
        <v>0.02230290456431535</v>
      </c>
      <c r="G54">
        <v>0.01723771353393899</v>
      </c>
      <c r="H54">
        <v>0.03</v>
      </c>
      <c r="I54">
        <v>0.06842650708896447</v>
      </c>
      <c r="J54" t="s">
        <v>775</v>
      </c>
      <c r="K54" t="s">
        <v>776</v>
      </c>
      <c r="L54">
        <v>3.25</v>
      </c>
      <c r="M54">
        <v>0.86</v>
      </c>
      <c r="N54">
        <v>0.2646153846153846</v>
      </c>
      <c r="O54">
        <v>27</v>
      </c>
      <c r="P54">
        <v>0.05045837224621441</v>
      </c>
      <c r="Q54">
        <v>0.440074095098669</v>
      </c>
      <c r="R54" t="s">
        <v>779</v>
      </c>
      <c r="S54" t="s">
        <v>786</v>
      </c>
      <c r="T54">
        <v>1218.984594</v>
      </c>
      <c r="U54" s="2">
        <v>44417</v>
      </c>
      <c r="V54" t="s">
        <v>801</v>
      </c>
    </row>
    <row r="55" spans="1:22">
      <c r="A55" s="1" t="s">
        <v>75</v>
      </c>
      <c r="B55">
        <f>HYPERLINK("https://www.suredividend.com/sure-analysis-NFG/","National Fuel Gas Co.")</f>
        <v>0</v>
      </c>
      <c r="C55">
        <v>60.26</v>
      </c>
      <c r="D55">
        <v>61</v>
      </c>
      <c r="E55">
        <v>0.9878688524590163</v>
      </c>
      <c r="F55">
        <v>0.02987056090275473</v>
      </c>
      <c r="G55">
        <v>0.002444047921855264</v>
      </c>
      <c r="H55">
        <v>0.04</v>
      </c>
      <c r="I55">
        <v>0.06819526333165138</v>
      </c>
      <c r="J55" t="s">
        <v>775</v>
      </c>
      <c r="K55" t="s">
        <v>775</v>
      </c>
      <c r="L55">
        <v>4.05</v>
      </c>
      <c r="M55">
        <v>1.8</v>
      </c>
      <c r="N55">
        <v>0.4444444444444445</v>
      </c>
      <c r="O55">
        <v>51</v>
      </c>
      <c r="P55">
        <v>0.02129568760013512</v>
      </c>
      <c r="Q55">
        <v>0.486417096007802</v>
      </c>
      <c r="R55" t="s">
        <v>779</v>
      </c>
      <c r="S55" t="s">
        <v>791</v>
      </c>
      <c r="T55">
        <v>5516.459817</v>
      </c>
      <c r="U55" s="2">
        <v>44427</v>
      </c>
      <c r="V55" t="s">
        <v>802</v>
      </c>
    </row>
    <row r="56" spans="1:22">
      <c r="A56" s="1" t="s">
        <v>76</v>
      </c>
      <c r="B56">
        <f>HYPERLINK("https://www.suredividend.com/sure-analysis-SKM/","SK Telecom Co Ltd")</f>
        <v>0</v>
      </c>
      <c r="C56">
        <v>31.24</v>
      </c>
      <c r="D56">
        <v>30</v>
      </c>
      <c r="E56">
        <v>1.041333333333333</v>
      </c>
      <c r="F56">
        <v>0.03201024327784891</v>
      </c>
      <c r="G56">
        <v>-0.008067668920774484</v>
      </c>
      <c r="H56">
        <v>0.05</v>
      </c>
      <c r="I56">
        <v>0.06741228243472541</v>
      </c>
      <c r="J56" t="s">
        <v>775</v>
      </c>
      <c r="K56" t="s">
        <v>775</v>
      </c>
      <c r="L56">
        <v>11</v>
      </c>
      <c r="M56">
        <v>1</v>
      </c>
      <c r="N56">
        <v>0.09090909090909091</v>
      </c>
      <c r="O56">
        <v>0</v>
      </c>
      <c r="P56">
        <v>0</v>
      </c>
      <c r="Q56">
        <v>0.390836839644694</v>
      </c>
      <c r="R56" t="s">
        <v>779</v>
      </c>
      <c r="S56" t="s">
        <v>783</v>
      </c>
      <c r="T56">
        <v>20065.86742</v>
      </c>
      <c r="U56" s="2">
        <v>44515</v>
      </c>
      <c r="V56" t="s">
        <v>801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231.52</v>
      </c>
      <c r="D57">
        <v>289</v>
      </c>
      <c r="E57">
        <v>0.8011072664359862</v>
      </c>
      <c r="F57">
        <v>0.02418797512093987</v>
      </c>
      <c r="G57">
        <v>0.04535034232641433</v>
      </c>
      <c r="H57">
        <v>0</v>
      </c>
      <c r="I57">
        <v>0.06722869024190237</v>
      </c>
      <c r="J57" t="s">
        <v>775</v>
      </c>
      <c r="K57" t="s">
        <v>776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0.278876250427479</v>
      </c>
      <c r="R57" t="s">
        <v>779</v>
      </c>
      <c r="S57" t="s">
        <v>788</v>
      </c>
      <c r="T57">
        <v>14749.116094</v>
      </c>
      <c r="U57" s="2">
        <v>44494</v>
      </c>
      <c r="V57" t="s">
        <v>800</v>
      </c>
    </row>
    <row r="58" spans="1:22">
      <c r="A58" s="1" t="s">
        <v>78</v>
      </c>
      <c r="B58">
        <f>HYPERLINK("https://www.suredividend.com/sure-analysis-LOW/","Lowe`s Cos., Inc.")</f>
        <v>0</v>
      </c>
      <c r="C58">
        <v>245.73</v>
      </c>
      <c r="D58">
        <v>226.94</v>
      </c>
      <c r="E58">
        <v>1.08279721512294</v>
      </c>
      <c r="F58">
        <v>0.01302242298457657</v>
      </c>
      <c r="G58">
        <v>-0.01578365310564478</v>
      </c>
      <c r="H58">
        <v>0.07000000000000001</v>
      </c>
      <c r="I58">
        <v>0.06583335017245351</v>
      </c>
      <c r="J58" t="s">
        <v>775</v>
      </c>
      <c r="K58" t="s">
        <v>776</v>
      </c>
      <c r="L58">
        <v>11.33</v>
      </c>
      <c r="M58">
        <v>3.2</v>
      </c>
      <c r="N58">
        <v>0.2824360105913504</v>
      </c>
      <c r="O58">
        <v>59</v>
      </c>
      <c r="P58">
        <v>0.07008745458377241</v>
      </c>
      <c r="Q58">
        <v>0.528209251915412</v>
      </c>
      <c r="R58" t="s">
        <v>779</v>
      </c>
      <c r="S58" t="s">
        <v>788</v>
      </c>
      <c r="T58">
        <v>169493.673858</v>
      </c>
      <c r="U58" s="2">
        <v>44434</v>
      </c>
      <c r="V58" t="s">
        <v>801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30</v>
      </c>
      <c r="D59">
        <v>38</v>
      </c>
      <c r="E59">
        <v>0.7894736842105263</v>
      </c>
      <c r="F59">
        <v>0.01866666666666667</v>
      </c>
      <c r="G59">
        <v>0.04841317128472156</v>
      </c>
      <c r="H59">
        <v>0</v>
      </c>
      <c r="I59">
        <v>0.06524907611221664</v>
      </c>
      <c r="J59" t="s">
        <v>775</v>
      </c>
      <c r="K59" t="s">
        <v>776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0.48744595613026</v>
      </c>
      <c r="R59" t="s">
        <v>779</v>
      </c>
      <c r="S59" t="s">
        <v>790</v>
      </c>
      <c r="T59">
        <v>144.12372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HYPERLINK("https://www.suredividend.com/sure-analysis-CL/","Colgate-Palmolive Co.")</f>
        <v>0</v>
      </c>
      <c r="C60">
        <v>77.58</v>
      </c>
      <c r="D60">
        <v>75</v>
      </c>
      <c r="E60">
        <v>1.0344</v>
      </c>
      <c r="F60">
        <v>0.02320185614849188</v>
      </c>
      <c r="G60">
        <v>-0.006741483249657843</v>
      </c>
      <c r="H60">
        <v>0.05</v>
      </c>
      <c r="I60">
        <v>0.06476106551949612</v>
      </c>
      <c r="J60" t="s">
        <v>775</v>
      </c>
      <c r="K60" t="s">
        <v>776</v>
      </c>
      <c r="L60">
        <v>3.25</v>
      </c>
      <c r="M60">
        <v>1.8</v>
      </c>
      <c r="N60">
        <v>0.5538461538461539</v>
      </c>
      <c r="O60">
        <v>58</v>
      </c>
      <c r="P60">
        <v>0.05024607263868264</v>
      </c>
      <c r="Q60">
        <v>-0.072974124693788</v>
      </c>
      <c r="R60" t="s">
        <v>779</v>
      </c>
      <c r="S60" t="s">
        <v>789</v>
      </c>
      <c r="T60">
        <v>65641.05605499999</v>
      </c>
      <c r="U60" s="2">
        <v>44415</v>
      </c>
      <c r="V60" t="s">
        <v>799</v>
      </c>
    </row>
    <row r="61" spans="1:22">
      <c r="A61" s="1" t="s">
        <v>81</v>
      </c>
      <c r="B61">
        <f>HYPERLINK("https://www.suredividend.com/sure-analysis-EXPD/","Expeditors International Of Washington, Inc.")</f>
        <v>0</v>
      </c>
      <c r="C61">
        <v>128.02</v>
      </c>
      <c r="D61">
        <v>138</v>
      </c>
      <c r="E61">
        <v>0.9276811594202899</v>
      </c>
      <c r="F61">
        <v>0.009061084205592875</v>
      </c>
      <c r="G61">
        <v>0.01512670446556941</v>
      </c>
      <c r="H61">
        <v>0.04</v>
      </c>
      <c r="I61">
        <v>0.06381956347819084</v>
      </c>
      <c r="J61" t="s">
        <v>775</v>
      </c>
      <c r="K61" t="s">
        <v>366</v>
      </c>
      <c r="L61">
        <v>7.67</v>
      </c>
      <c r="M61">
        <v>1.16</v>
      </c>
      <c r="N61">
        <v>0.151238591916558</v>
      </c>
      <c r="O61">
        <v>27</v>
      </c>
      <c r="P61">
        <v>0.03980577390781126</v>
      </c>
      <c r="Q61">
        <v>0.4602674918081051</v>
      </c>
      <c r="R61" t="s">
        <v>779</v>
      </c>
      <c r="S61" t="s">
        <v>786</v>
      </c>
      <c r="T61">
        <v>22097.034542</v>
      </c>
      <c r="U61" s="2">
        <v>44513</v>
      </c>
      <c r="V61" t="s">
        <v>796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161.03</v>
      </c>
      <c r="D62">
        <v>138</v>
      </c>
      <c r="E62">
        <v>1.166884057971014</v>
      </c>
      <c r="F62">
        <v>0.01689126249767124</v>
      </c>
      <c r="G62">
        <v>-0.03039586552705154</v>
      </c>
      <c r="H62">
        <v>0.08</v>
      </c>
      <c r="I62">
        <v>0.06344609642584986</v>
      </c>
      <c r="J62" t="s">
        <v>775</v>
      </c>
      <c r="K62" t="s">
        <v>776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0.186881324434187</v>
      </c>
      <c r="R62" t="s">
        <v>779</v>
      </c>
      <c r="S62" t="s">
        <v>790</v>
      </c>
      <c r="T62">
        <v>9148.180397</v>
      </c>
      <c r="U62" s="2">
        <v>44512</v>
      </c>
      <c r="V62" t="s">
        <v>802</v>
      </c>
    </row>
    <row r="63" spans="1:22">
      <c r="A63" s="1" t="s">
        <v>83</v>
      </c>
      <c r="B63">
        <f>HYPERLINK("https://www.suredividend.com/sure-analysis-RNR/","RenaissanceRe Holdings Ltd")</f>
        <v>0</v>
      </c>
      <c r="C63">
        <v>162.69</v>
      </c>
      <c r="D63">
        <v>167</v>
      </c>
      <c r="E63">
        <v>0.974191616766467</v>
      </c>
      <c r="F63">
        <v>0.008851189378572745</v>
      </c>
      <c r="G63">
        <v>0.005243150032592903</v>
      </c>
      <c r="H63">
        <v>0.05</v>
      </c>
      <c r="I63">
        <v>0.06311005073185161</v>
      </c>
      <c r="J63" t="s">
        <v>775</v>
      </c>
      <c r="K63" t="s">
        <v>366</v>
      </c>
      <c r="L63">
        <v>11</v>
      </c>
      <c r="M63">
        <v>1.44</v>
      </c>
      <c r="N63">
        <v>0.1309090909090909</v>
      </c>
      <c r="O63">
        <v>26</v>
      </c>
      <c r="P63">
        <v>0.02635185407071083</v>
      </c>
      <c r="Q63">
        <v>-0.125146377614665</v>
      </c>
      <c r="R63" t="s">
        <v>779</v>
      </c>
      <c r="S63" t="s">
        <v>790</v>
      </c>
      <c r="T63">
        <v>7374.686091</v>
      </c>
      <c r="U63" s="2">
        <v>44495</v>
      </c>
      <c r="V63" t="s">
        <v>794</v>
      </c>
    </row>
    <row r="64" spans="1:22">
      <c r="A64" s="1" t="s">
        <v>84</v>
      </c>
      <c r="B64">
        <f>HYPERLINK("https://www.suredividend.com/sure-analysis-TRV/","Travelers Companies Inc.")</f>
        <v>0</v>
      </c>
      <c r="C64">
        <v>156.42</v>
      </c>
      <c r="D64">
        <v>147</v>
      </c>
      <c r="E64">
        <v>1.064081632653061</v>
      </c>
      <c r="F64">
        <v>0.02250351617440225</v>
      </c>
      <c r="G64">
        <v>-0.01234558230161364</v>
      </c>
      <c r="H64">
        <v>0.05</v>
      </c>
      <c r="I64">
        <v>0.05995546376020244</v>
      </c>
      <c r="J64" t="s">
        <v>775</v>
      </c>
      <c r="K64" t="s">
        <v>776</v>
      </c>
      <c r="L64">
        <v>12.25</v>
      </c>
      <c r="M64">
        <v>3.52</v>
      </c>
      <c r="N64">
        <v>0.2873469387755102</v>
      </c>
      <c r="O64">
        <v>16</v>
      </c>
      <c r="P64">
        <v>0.0701307832252307</v>
      </c>
      <c r="Q64">
        <v>0.193623099185807</v>
      </c>
      <c r="R64" t="s">
        <v>779</v>
      </c>
      <c r="S64" t="s">
        <v>790</v>
      </c>
      <c r="T64">
        <v>39112.921146</v>
      </c>
      <c r="U64" s="2">
        <v>44492</v>
      </c>
      <c r="V64" t="s">
        <v>799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222.88</v>
      </c>
      <c r="D65">
        <v>178</v>
      </c>
      <c r="E65">
        <v>1.252134831460674</v>
      </c>
      <c r="F65">
        <v>0.007268485283560661</v>
      </c>
      <c r="G65">
        <v>-0.04397383011420652</v>
      </c>
      <c r="H65">
        <v>0.1</v>
      </c>
      <c r="I65">
        <v>0.05926542181652295</v>
      </c>
      <c r="J65" t="s">
        <v>775</v>
      </c>
      <c r="K65" t="s">
        <v>366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0.089292884197662</v>
      </c>
      <c r="R65" t="s">
        <v>779</v>
      </c>
      <c r="S65" t="s">
        <v>789</v>
      </c>
      <c r="T65">
        <v>53738.342512</v>
      </c>
      <c r="U65" s="2">
        <v>44439</v>
      </c>
      <c r="V65" t="s">
        <v>798</v>
      </c>
    </row>
    <row r="66" spans="1:22">
      <c r="A66" s="1" t="s">
        <v>86</v>
      </c>
      <c r="B66">
        <f>HYPERLINK("https://www.suredividend.com/sure-analysis-QCOM/","Qualcomm, Inc.")</f>
        <v>0</v>
      </c>
      <c r="C66">
        <v>183.54</v>
      </c>
      <c r="D66">
        <v>162</v>
      </c>
      <c r="E66">
        <v>1.132962962962963</v>
      </c>
      <c r="F66">
        <v>0.01481965784025281</v>
      </c>
      <c r="G66">
        <v>-0.02465815427278883</v>
      </c>
      <c r="H66">
        <v>0.07000000000000001</v>
      </c>
      <c r="I66">
        <v>0.05854493127772953</v>
      </c>
      <c r="J66" t="s">
        <v>775</v>
      </c>
      <c r="K66" t="s">
        <v>366</v>
      </c>
      <c r="L66">
        <v>10.14</v>
      </c>
      <c r="M66">
        <v>2.72</v>
      </c>
      <c r="N66">
        <v>0.2682445759368836</v>
      </c>
      <c r="O66">
        <v>19</v>
      </c>
      <c r="P66">
        <v>0.06972270615977982</v>
      </c>
      <c r="Q66">
        <v>0.24277055602379</v>
      </c>
      <c r="R66" t="s">
        <v>779</v>
      </c>
      <c r="S66" t="s">
        <v>785</v>
      </c>
      <c r="T66">
        <v>203627.2</v>
      </c>
      <c r="U66" s="2">
        <v>44505</v>
      </c>
      <c r="V66" t="s">
        <v>795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35</v>
      </c>
      <c r="D67">
        <v>33</v>
      </c>
      <c r="E67">
        <v>1.060606060606061</v>
      </c>
      <c r="F67">
        <v>0.032</v>
      </c>
      <c r="G67">
        <v>-0.01169912674226836</v>
      </c>
      <c r="H67">
        <v>0.04</v>
      </c>
      <c r="I67">
        <v>0.05824263154582843</v>
      </c>
      <c r="J67" t="s">
        <v>775</v>
      </c>
      <c r="K67" t="s">
        <v>775</v>
      </c>
      <c r="L67">
        <v>3.3</v>
      </c>
      <c r="M67">
        <v>1.12</v>
      </c>
      <c r="N67">
        <v>0.3393939393939395</v>
      </c>
      <c r="O67">
        <v>41</v>
      </c>
      <c r="P67">
        <v>0.03959498820755258</v>
      </c>
      <c r="Q67">
        <v>0.7417261898945681</v>
      </c>
      <c r="R67" t="s">
        <v>779</v>
      </c>
      <c r="S67" t="s">
        <v>790</v>
      </c>
      <c r="T67">
        <v>17926.75166</v>
      </c>
      <c r="U67" s="2">
        <v>44507</v>
      </c>
      <c r="V67" t="s">
        <v>800</v>
      </c>
    </row>
    <row r="68" spans="1:22">
      <c r="A68" s="1" t="s">
        <v>88</v>
      </c>
      <c r="B68">
        <f>HYPERLINK("https://www.suredividend.com/sure-analysis-ADP/","Automatic Data Processing Inc.")</f>
        <v>0</v>
      </c>
      <c r="C68">
        <v>236.88</v>
      </c>
      <c r="D68">
        <v>196</v>
      </c>
      <c r="E68">
        <v>1.208571428571429</v>
      </c>
      <c r="F68">
        <v>0.01756163458291118</v>
      </c>
      <c r="G68">
        <v>-0.03717904138680561</v>
      </c>
      <c r="H68">
        <v>0.08</v>
      </c>
      <c r="I68">
        <v>0.05821530232963901</v>
      </c>
      <c r="J68" t="s">
        <v>775</v>
      </c>
      <c r="K68" t="s">
        <v>366</v>
      </c>
      <c r="L68">
        <v>6.75</v>
      </c>
      <c r="M68">
        <v>4.16</v>
      </c>
      <c r="N68">
        <v>0.6162962962962963</v>
      </c>
      <c r="O68">
        <v>47</v>
      </c>
      <c r="P68">
        <v>0.0799150058822331</v>
      </c>
      <c r="Q68">
        <v>0.355200108761649</v>
      </c>
      <c r="R68" t="s">
        <v>779</v>
      </c>
      <c r="S68" t="s">
        <v>786</v>
      </c>
      <c r="T68">
        <v>99130.595881</v>
      </c>
      <c r="U68" s="2">
        <v>44512</v>
      </c>
      <c r="V68" t="s">
        <v>799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61.85</v>
      </c>
      <c r="D69">
        <v>56</v>
      </c>
      <c r="E69">
        <v>1.104464285714286</v>
      </c>
      <c r="F69">
        <v>0.02910266774454325</v>
      </c>
      <c r="G69">
        <v>-0.01967593324764128</v>
      </c>
      <c r="H69">
        <v>0.05</v>
      </c>
      <c r="I69">
        <v>0.05782301162790771</v>
      </c>
      <c r="J69" t="s">
        <v>775</v>
      </c>
      <c r="K69" t="s">
        <v>775</v>
      </c>
      <c r="L69">
        <v>3.52</v>
      </c>
      <c r="M69">
        <v>1.8</v>
      </c>
      <c r="N69">
        <v>0.5113636363636364</v>
      </c>
      <c r="O69">
        <v>38</v>
      </c>
      <c r="P69">
        <v>0.05024607263868264</v>
      </c>
      <c r="Q69">
        <v>0.110900405457878</v>
      </c>
      <c r="R69" t="s">
        <v>779</v>
      </c>
      <c r="S69" t="s">
        <v>788</v>
      </c>
      <c r="T69">
        <v>6048.051205</v>
      </c>
      <c r="U69" s="2">
        <v>44491</v>
      </c>
      <c r="V69" t="s">
        <v>795</v>
      </c>
    </row>
    <row r="70" spans="1:22">
      <c r="A70" s="1" t="s">
        <v>90</v>
      </c>
      <c r="B70">
        <f>HYPERLINK("https://www.suredividend.com/sure-analysis-MCK/","Mckesson Corporation")</f>
        <v>0</v>
      </c>
      <c r="C70">
        <v>223.82</v>
      </c>
      <c r="D70">
        <v>244</v>
      </c>
      <c r="E70">
        <v>0.9172950819672131</v>
      </c>
      <c r="F70">
        <v>0.008399606826914485</v>
      </c>
      <c r="G70">
        <v>0.01741511885350078</v>
      </c>
      <c r="H70">
        <v>0.03</v>
      </c>
      <c r="I70">
        <v>0.05637847917955585</v>
      </c>
      <c r="J70" t="s">
        <v>775</v>
      </c>
      <c r="K70" t="s">
        <v>366</v>
      </c>
      <c r="L70">
        <v>20.3</v>
      </c>
      <c r="M70">
        <v>1.88</v>
      </c>
      <c r="N70">
        <v>0.09261083743842363</v>
      </c>
      <c r="O70">
        <v>14</v>
      </c>
      <c r="P70">
        <v>0.0702598056972048</v>
      </c>
      <c r="Q70">
        <v>0.212433974531247</v>
      </c>
      <c r="R70" t="s">
        <v>779</v>
      </c>
      <c r="S70" t="s">
        <v>784</v>
      </c>
      <c r="T70">
        <v>33683.212641</v>
      </c>
      <c r="U70" s="2">
        <v>44428</v>
      </c>
      <c r="V70" t="s">
        <v>799</v>
      </c>
    </row>
    <row r="71" spans="1:22">
      <c r="A71" s="1" t="s">
        <v>91</v>
      </c>
      <c r="B71">
        <f>HYPERLINK("https://www.suredividend.com/sure-analysis-MKC/","McCormick &amp; Co., Inc.")</f>
        <v>0</v>
      </c>
      <c r="C71">
        <v>83.95</v>
      </c>
      <c r="D71">
        <v>69</v>
      </c>
      <c r="E71">
        <v>1.216666666666667</v>
      </c>
      <c r="F71">
        <v>0.01620011911852293</v>
      </c>
      <c r="G71">
        <v>-0.0384637140667472</v>
      </c>
      <c r="H71">
        <v>0.08</v>
      </c>
      <c r="I71">
        <v>0.05601589078950719</v>
      </c>
      <c r="J71" t="s">
        <v>775</v>
      </c>
      <c r="K71" t="s">
        <v>366</v>
      </c>
      <c r="L71">
        <v>3</v>
      </c>
      <c r="M71">
        <v>1.36</v>
      </c>
      <c r="N71">
        <v>0.4533333333333334</v>
      </c>
      <c r="O71">
        <v>34</v>
      </c>
      <c r="P71">
        <v>0.08973644480326026</v>
      </c>
      <c r="Q71">
        <v>-0.075972177331875</v>
      </c>
      <c r="R71" t="s">
        <v>779</v>
      </c>
      <c r="S71" t="s">
        <v>789</v>
      </c>
      <c r="T71">
        <v>22266.704548</v>
      </c>
      <c r="U71" s="2">
        <v>44470</v>
      </c>
      <c r="V71" t="s">
        <v>795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302.41</v>
      </c>
      <c r="D72">
        <v>250</v>
      </c>
      <c r="E72">
        <v>1.20964</v>
      </c>
      <c r="F72">
        <v>0.01494659568135974</v>
      </c>
      <c r="G72">
        <v>-0.03734920882564874</v>
      </c>
      <c r="H72">
        <v>0.08</v>
      </c>
      <c r="I72">
        <v>0.0553888600615331</v>
      </c>
      <c r="J72" t="s">
        <v>775</v>
      </c>
      <c r="K72" t="s">
        <v>776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0.688570639286017</v>
      </c>
      <c r="R72" t="s">
        <v>779</v>
      </c>
      <c r="S72" t="s">
        <v>790</v>
      </c>
      <c r="T72">
        <v>34538.148712</v>
      </c>
      <c r="U72" s="2">
        <v>44496</v>
      </c>
      <c r="V72" t="s">
        <v>795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199.46</v>
      </c>
      <c r="D73">
        <v>173</v>
      </c>
      <c r="E73">
        <v>1.152947976878613</v>
      </c>
      <c r="F73">
        <v>0.02386443397172365</v>
      </c>
      <c r="G73">
        <v>-0.02806312893531193</v>
      </c>
      <c r="H73">
        <v>0.06</v>
      </c>
      <c r="I73">
        <v>0.0544080086636729</v>
      </c>
      <c r="J73" t="s">
        <v>775</v>
      </c>
      <c r="K73" t="s">
        <v>776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0.333809390222131</v>
      </c>
      <c r="R73" t="s">
        <v>779</v>
      </c>
      <c r="S73" t="s">
        <v>786</v>
      </c>
      <c r="T73">
        <v>55492.745234</v>
      </c>
      <c r="U73" s="2">
        <v>44508</v>
      </c>
      <c r="V73" t="s">
        <v>798</v>
      </c>
    </row>
    <row r="74" spans="1:22">
      <c r="A74" s="1" t="s">
        <v>94</v>
      </c>
      <c r="B74">
        <f>HYPERLINK("https://www.suredividend.com/sure-analysis-BBY/","Best Buy Co. Inc.")</f>
        <v>0</v>
      </c>
      <c r="C74">
        <v>132.86</v>
      </c>
      <c r="D74">
        <v>116</v>
      </c>
      <c r="E74">
        <v>1.145344827586207</v>
      </c>
      <c r="F74">
        <v>0.02107481559536354</v>
      </c>
      <c r="G74">
        <v>-0.02677613893915642</v>
      </c>
      <c r="H74">
        <v>0.06</v>
      </c>
      <c r="I74">
        <v>0.05417345547033459</v>
      </c>
      <c r="J74" t="s">
        <v>775</v>
      </c>
      <c r="K74" t="s">
        <v>776</v>
      </c>
      <c r="L74">
        <v>9.69</v>
      </c>
      <c r="M74">
        <v>2.8</v>
      </c>
      <c r="N74">
        <v>0.2889576883384933</v>
      </c>
      <c r="O74">
        <v>18</v>
      </c>
      <c r="P74">
        <v>0.07978367728709435</v>
      </c>
      <c r="Q74">
        <v>0.165039657801439</v>
      </c>
      <c r="R74" t="s">
        <v>779</v>
      </c>
      <c r="S74" t="s">
        <v>788</v>
      </c>
      <c r="T74">
        <v>33187.952205</v>
      </c>
      <c r="U74" s="2">
        <v>44452</v>
      </c>
      <c r="V74" t="s">
        <v>798</v>
      </c>
    </row>
    <row r="75" spans="1:22">
      <c r="A75" s="1" t="s">
        <v>95</v>
      </c>
      <c r="B75">
        <f>HYPERLINK("https://www.suredividend.com/sure-analysis-KR/","Kroger Co.")</f>
        <v>0</v>
      </c>
      <c r="C75">
        <v>40.65</v>
      </c>
      <c r="D75">
        <v>43</v>
      </c>
      <c r="E75">
        <v>0.9453488372093023</v>
      </c>
      <c r="F75">
        <v>0.02066420664206642</v>
      </c>
      <c r="G75">
        <v>0.01130366497195956</v>
      </c>
      <c r="H75">
        <v>0.02</v>
      </c>
      <c r="I75">
        <v>0.05309241372945195</v>
      </c>
      <c r="J75" t="s">
        <v>775</v>
      </c>
      <c r="K75" t="s">
        <v>776</v>
      </c>
      <c r="L75">
        <v>3.3</v>
      </c>
      <c r="M75">
        <v>0.84</v>
      </c>
      <c r="N75">
        <v>0.2545454545454546</v>
      </c>
      <c r="O75">
        <v>16</v>
      </c>
      <c r="P75">
        <v>0.07033701387905711</v>
      </c>
      <c r="Q75">
        <v>0.317011530563891</v>
      </c>
      <c r="R75" t="s">
        <v>779</v>
      </c>
      <c r="S75" t="s">
        <v>789</v>
      </c>
      <c r="T75">
        <v>31002.288606</v>
      </c>
      <c r="U75" s="2">
        <v>44451</v>
      </c>
      <c r="V75" t="s">
        <v>800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775</v>
      </c>
      <c r="K76" t="s">
        <v>775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779</v>
      </c>
      <c r="S76" t="s">
        <v>790</v>
      </c>
      <c r="T76">
        <v>358.907451</v>
      </c>
      <c r="U76" s="2">
        <v>44253</v>
      </c>
      <c r="V76" t="s">
        <v>799</v>
      </c>
    </row>
    <row r="77" spans="1:22">
      <c r="A77" s="1" t="s">
        <v>97</v>
      </c>
      <c r="B77">
        <f>HYPERLINK("https://www.suredividend.com/sure-analysis-UGI/","UGI Corp.")</f>
        <v>0</v>
      </c>
      <c r="C77">
        <v>45.26</v>
      </c>
      <c r="D77">
        <v>47</v>
      </c>
      <c r="E77">
        <v>0.9629787234042553</v>
      </c>
      <c r="F77">
        <v>0.03049049933716306</v>
      </c>
      <c r="G77">
        <v>0.007573325961405475</v>
      </c>
      <c r="H77">
        <v>0.016</v>
      </c>
      <c r="I77">
        <v>0.05135526555273584</v>
      </c>
      <c r="J77" t="s">
        <v>775</v>
      </c>
      <c r="K77" t="s">
        <v>775</v>
      </c>
      <c r="L77">
        <v>3</v>
      </c>
      <c r="M77">
        <v>1.38</v>
      </c>
      <c r="N77">
        <v>0.46</v>
      </c>
      <c r="O77">
        <v>34</v>
      </c>
      <c r="P77">
        <v>0.01681614782195462</v>
      </c>
      <c r="Q77">
        <v>0.261902288215786</v>
      </c>
      <c r="R77" t="s">
        <v>779</v>
      </c>
      <c r="S77" t="s">
        <v>791</v>
      </c>
      <c r="T77">
        <v>9396.814506000001</v>
      </c>
      <c r="U77" s="2">
        <v>44420</v>
      </c>
      <c r="V77" t="s">
        <v>804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153.8</v>
      </c>
      <c r="D78">
        <v>117</v>
      </c>
      <c r="E78">
        <v>1.314529914529915</v>
      </c>
      <c r="F78">
        <v>0.01196358907672302</v>
      </c>
      <c r="G78">
        <v>-0.0532269106204234</v>
      </c>
      <c r="H78">
        <v>0.095</v>
      </c>
      <c r="I78">
        <v>0.04988645666988423</v>
      </c>
      <c r="J78" t="s">
        <v>775</v>
      </c>
      <c r="K78" t="s">
        <v>366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0.002635065386892</v>
      </c>
      <c r="R78" t="s">
        <v>779</v>
      </c>
      <c r="S78" t="s">
        <v>785</v>
      </c>
      <c r="T78">
        <v>11671.828284</v>
      </c>
      <c r="U78" s="2">
        <v>44512</v>
      </c>
      <c r="V78" t="s">
        <v>797</v>
      </c>
    </row>
    <row r="79" spans="1:22">
      <c r="A79" s="1" t="s">
        <v>99</v>
      </c>
      <c r="B79">
        <f>HYPERLINK("https://www.suredividend.com/sure-analysis-INTU/","Intuit Inc")</f>
        <v>0</v>
      </c>
      <c r="C79">
        <v>635.0599999999999</v>
      </c>
      <c r="D79">
        <v>446</v>
      </c>
      <c r="E79">
        <v>1.42390134529148</v>
      </c>
      <c r="F79">
        <v>0.004283059868358896</v>
      </c>
      <c r="G79">
        <v>-0.06824009124896169</v>
      </c>
      <c r="H79">
        <v>0.12</v>
      </c>
      <c r="I79">
        <v>0.04865784243166016</v>
      </c>
      <c r="J79" t="s">
        <v>775</v>
      </c>
      <c r="K79" t="s">
        <v>514</v>
      </c>
      <c r="L79">
        <v>11.15</v>
      </c>
      <c r="M79">
        <v>2.72</v>
      </c>
      <c r="N79">
        <v>0.2439461883408072</v>
      </c>
      <c r="O79">
        <v>10</v>
      </c>
      <c r="P79">
        <v>0.1198331558543506</v>
      </c>
      <c r="Q79">
        <v>0.8184792933117321</v>
      </c>
      <c r="R79" t="s">
        <v>779</v>
      </c>
      <c r="S79" t="s">
        <v>785</v>
      </c>
      <c r="T79">
        <v>176967.294034</v>
      </c>
      <c r="U79" s="2">
        <v>44434</v>
      </c>
      <c r="V79" t="s">
        <v>794</v>
      </c>
    </row>
    <row r="80" spans="1:22">
      <c r="A80" s="1" t="s">
        <v>100</v>
      </c>
      <c r="B80">
        <f>HYPERLINK("https://www.suredividend.com/sure-analysis-VFC/","VF Corp.")</f>
        <v>0</v>
      </c>
      <c r="C80">
        <v>76.51000000000001</v>
      </c>
      <c r="D80">
        <v>61</v>
      </c>
      <c r="E80">
        <v>1.254262295081967</v>
      </c>
      <c r="F80">
        <v>0.02614037380734544</v>
      </c>
      <c r="G80">
        <v>-0.0442983702473061</v>
      </c>
      <c r="H80">
        <v>0.07000000000000001</v>
      </c>
      <c r="I80">
        <v>0.04813388213869119</v>
      </c>
      <c r="J80" t="s">
        <v>775</v>
      </c>
      <c r="K80" t="s">
        <v>776</v>
      </c>
      <c r="L80">
        <v>3.2</v>
      </c>
      <c r="M80">
        <v>2</v>
      </c>
      <c r="N80">
        <v>0.625</v>
      </c>
      <c r="O80">
        <v>49</v>
      </c>
      <c r="P80">
        <v>0.03886011825408464</v>
      </c>
      <c r="Q80">
        <v>-0.028282085936186</v>
      </c>
      <c r="R80" t="s">
        <v>779</v>
      </c>
      <c r="S80" t="s">
        <v>788</v>
      </c>
      <c r="T80">
        <v>30640.945195</v>
      </c>
      <c r="U80" s="2">
        <v>44493</v>
      </c>
      <c r="V80" t="s">
        <v>800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122.02</v>
      </c>
      <c r="D81">
        <v>113</v>
      </c>
      <c r="E81">
        <v>1.079823008849558</v>
      </c>
      <c r="F81">
        <v>0.01098180626126865</v>
      </c>
      <c r="G81">
        <v>-0.01524207496712704</v>
      </c>
      <c r="H81">
        <v>0.05</v>
      </c>
      <c r="I81">
        <v>0.04589713040124166</v>
      </c>
      <c r="J81" t="s">
        <v>775</v>
      </c>
      <c r="K81" t="s">
        <v>776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-0.040624483263187</v>
      </c>
      <c r="R81" t="s">
        <v>779</v>
      </c>
      <c r="S81" t="s">
        <v>787</v>
      </c>
      <c r="T81">
        <v>2757.142908</v>
      </c>
      <c r="U81" s="2">
        <v>44499</v>
      </c>
      <c r="V81" t="s">
        <v>799</v>
      </c>
    </row>
    <row r="82" spans="1:22">
      <c r="A82" s="1" t="s">
        <v>102</v>
      </c>
      <c r="B82">
        <f>HYPERLINK("https://www.suredividend.com/sure-analysis-GPC/","Genuine Parts Co.")</f>
        <v>0</v>
      </c>
      <c r="C82">
        <v>136.74</v>
      </c>
      <c r="D82">
        <v>114</v>
      </c>
      <c r="E82">
        <v>1.199473684210526</v>
      </c>
      <c r="F82">
        <v>0.02384086587684657</v>
      </c>
      <c r="G82">
        <v>-0.03572289544294194</v>
      </c>
      <c r="H82">
        <v>0.06</v>
      </c>
      <c r="I82">
        <v>0.04564786548114497</v>
      </c>
      <c r="J82" t="s">
        <v>775</v>
      </c>
      <c r="K82" t="s">
        <v>775</v>
      </c>
      <c r="L82">
        <v>6.7</v>
      </c>
      <c r="M82">
        <v>3.26</v>
      </c>
      <c r="N82">
        <v>0.4865671641791044</v>
      </c>
      <c r="O82">
        <v>65</v>
      </c>
      <c r="P82">
        <v>0.04019456757723883</v>
      </c>
      <c r="Q82">
        <v>0.41413995283789</v>
      </c>
      <c r="R82" t="s">
        <v>779</v>
      </c>
      <c r="S82" t="s">
        <v>788</v>
      </c>
      <c r="T82">
        <v>19490.416214</v>
      </c>
      <c r="U82" s="2">
        <v>44499</v>
      </c>
      <c r="V82" t="s">
        <v>799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75.42</v>
      </c>
      <c r="D83">
        <v>70</v>
      </c>
      <c r="E83">
        <v>1.077428571428571</v>
      </c>
      <c r="F83">
        <v>0.001060726597719438</v>
      </c>
      <c r="G83">
        <v>-0.0148047656180279</v>
      </c>
      <c r="H83">
        <v>0.06</v>
      </c>
      <c r="I83">
        <v>0.04519727693136399</v>
      </c>
      <c r="J83" t="s">
        <v>775</v>
      </c>
      <c r="K83" t="s">
        <v>514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0.6572022539526231</v>
      </c>
      <c r="R83" t="s">
        <v>779</v>
      </c>
      <c r="S83" t="s">
        <v>786</v>
      </c>
      <c r="T83">
        <v>16692.801683</v>
      </c>
      <c r="U83" s="2">
        <v>44504</v>
      </c>
      <c r="V83" t="s">
        <v>798</v>
      </c>
    </row>
    <row r="84" spans="1:22">
      <c r="A84" s="1" t="s">
        <v>104</v>
      </c>
      <c r="B84">
        <f>HYPERLINK("https://www.suredividend.com/sure-analysis-CAT/","Caterpillar Inc.")</f>
        <v>0</v>
      </c>
      <c r="C84">
        <v>202.98</v>
      </c>
      <c r="D84">
        <v>168</v>
      </c>
      <c r="E84">
        <v>1.208214285714286</v>
      </c>
      <c r="F84">
        <v>0.0218740762636713</v>
      </c>
      <c r="G84">
        <v>-0.03712212698322681</v>
      </c>
      <c r="H84">
        <v>0.06</v>
      </c>
      <c r="I84">
        <v>0.04499424213623171</v>
      </c>
      <c r="J84" t="s">
        <v>775</v>
      </c>
      <c r="K84" t="s">
        <v>776</v>
      </c>
      <c r="L84">
        <v>10.5</v>
      </c>
      <c r="M84">
        <v>4.44</v>
      </c>
      <c r="N84">
        <v>0.4228571428571429</v>
      </c>
      <c r="O84">
        <v>28</v>
      </c>
      <c r="P84">
        <v>0.07987360286076095</v>
      </c>
      <c r="Q84">
        <v>0.204523986403883</v>
      </c>
      <c r="R84" t="s">
        <v>779</v>
      </c>
      <c r="S84" t="s">
        <v>786</v>
      </c>
      <c r="T84">
        <v>111125.632888</v>
      </c>
      <c r="U84" s="2">
        <v>44503</v>
      </c>
      <c r="V84" t="s">
        <v>800</v>
      </c>
    </row>
    <row r="85" spans="1:22">
      <c r="A85" s="1" t="s">
        <v>105</v>
      </c>
      <c r="B85">
        <f>HYPERLINK("https://www.suredividend.com/sure-analysis-PSBQ/","PSB Holdings Inc (WI)")</f>
        <v>0</v>
      </c>
      <c r="C85">
        <v>26.25</v>
      </c>
      <c r="D85">
        <v>30</v>
      </c>
      <c r="E85">
        <v>0.875</v>
      </c>
      <c r="F85">
        <v>0.01752380952380952</v>
      </c>
      <c r="G85">
        <v>0.02706608708935176</v>
      </c>
      <c r="H85">
        <v>0</v>
      </c>
      <c r="I85">
        <v>0.04477497968063715</v>
      </c>
      <c r="J85" t="s">
        <v>775</v>
      </c>
      <c r="K85" t="s">
        <v>776</v>
      </c>
      <c r="L85">
        <v>3</v>
      </c>
      <c r="M85">
        <v>0.46</v>
      </c>
      <c r="N85">
        <v>0.1533333333333333</v>
      </c>
      <c r="O85">
        <v>28</v>
      </c>
      <c r="P85">
        <v>0.05103901130952315</v>
      </c>
      <c r="Q85">
        <v>0.29565007082887</v>
      </c>
      <c r="R85" t="s">
        <v>779</v>
      </c>
      <c r="S85" t="s">
        <v>790</v>
      </c>
      <c r="T85">
        <v>117.580706</v>
      </c>
      <c r="U85" s="2">
        <v>44512</v>
      </c>
      <c r="V85" t="s">
        <v>799</v>
      </c>
    </row>
    <row r="86" spans="1:22">
      <c r="A86" s="1" t="s">
        <v>106</v>
      </c>
      <c r="B86">
        <f>HYPERLINK("https://www.suredividend.com/sure-analysis-ORCL/","Oracle Corp.")</f>
        <v>0</v>
      </c>
      <c r="C86">
        <v>95.33</v>
      </c>
      <c r="D86">
        <v>75</v>
      </c>
      <c r="E86">
        <v>1.271066666666667</v>
      </c>
      <c r="F86">
        <v>0.01342704290359803</v>
      </c>
      <c r="G86">
        <v>-0.04683884671834593</v>
      </c>
      <c r="H86">
        <v>0.08</v>
      </c>
      <c r="I86">
        <v>0.04374846402455179</v>
      </c>
      <c r="J86" t="s">
        <v>775</v>
      </c>
      <c r="K86" t="s">
        <v>366</v>
      </c>
      <c r="L86">
        <v>4.7</v>
      </c>
      <c r="M86">
        <v>1.28</v>
      </c>
      <c r="N86">
        <v>0.2723404255319149</v>
      </c>
      <c r="O86">
        <v>12</v>
      </c>
      <c r="P86">
        <v>0.07056368416916192</v>
      </c>
      <c r="Q86">
        <v>0.6987427775448271</v>
      </c>
      <c r="R86" t="s">
        <v>779</v>
      </c>
      <c r="S86" t="s">
        <v>785</v>
      </c>
      <c r="T86">
        <v>261797.29419</v>
      </c>
      <c r="U86" s="2">
        <v>44476</v>
      </c>
      <c r="V86" t="s">
        <v>797</v>
      </c>
    </row>
    <row r="87" spans="1:22">
      <c r="A87" s="1" t="s">
        <v>107</v>
      </c>
      <c r="B87">
        <f>HYPERLINK("https://www.suredividend.com/sure-analysis-MDT/","Medtronic Plc")</f>
        <v>0</v>
      </c>
      <c r="C87">
        <v>117.83</v>
      </c>
      <c r="D87">
        <v>97</v>
      </c>
      <c r="E87">
        <v>1.214742268041237</v>
      </c>
      <c r="F87">
        <v>0.01968938300942035</v>
      </c>
      <c r="G87">
        <v>-0.03815925315873747</v>
      </c>
      <c r="H87">
        <v>0.06</v>
      </c>
      <c r="I87">
        <v>0.04248239380598196</v>
      </c>
      <c r="J87" t="s">
        <v>775</v>
      </c>
      <c r="K87" t="s">
        <v>776</v>
      </c>
      <c r="L87">
        <v>5.7</v>
      </c>
      <c r="M87">
        <v>2.32</v>
      </c>
      <c r="N87">
        <v>0.4070175438596491</v>
      </c>
      <c r="O87">
        <v>44</v>
      </c>
      <c r="P87">
        <v>0.0930602902721327</v>
      </c>
      <c r="Q87">
        <v>0.07834571403503601</v>
      </c>
      <c r="R87" t="s">
        <v>779</v>
      </c>
      <c r="S87" t="s">
        <v>784</v>
      </c>
      <c r="T87">
        <v>158567.254198</v>
      </c>
      <c r="U87" s="2">
        <v>44432</v>
      </c>
      <c r="V87" t="s">
        <v>800</v>
      </c>
    </row>
    <row r="88" spans="1:22">
      <c r="A88" s="1" t="s">
        <v>108</v>
      </c>
      <c r="B88">
        <f>HYPERLINK("https://www.suredividend.com/sure-analysis-CSX/","CSX Corp.")</f>
        <v>0</v>
      </c>
      <c r="C88">
        <v>35.54</v>
      </c>
      <c r="D88">
        <v>28</v>
      </c>
      <c r="E88">
        <v>1.269285714285714</v>
      </c>
      <c r="F88">
        <v>0.01041080472706809</v>
      </c>
      <c r="G88">
        <v>-0.04657151798789272</v>
      </c>
      <c r="H88">
        <v>0.08</v>
      </c>
      <c r="I88">
        <v>0.04215551108891269</v>
      </c>
      <c r="J88" t="s">
        <v>775</v>
      </c>
      <c r="K88" t="s">
        <v>366</v>
      </c>
      <c r="L88">
        <v>1.55</v>
      </c>
      <c r="M88">
        <v>0.37</v>
      </c>
      <c r="N88">
        <v>0.2387096774193548</v>
      </c>
      <c r="O88">
        <v>16</v>
      </c>
      <c r="P88">
        <v>0.1087611317268407</v>
      </c>
      <c r="Q88">
        <v>0.143639865691454</v>
      </c>
      <c r="R88" t="s">
        <v>779</v>
      </c>
      <c r="S88" t="s">
        <v>786</v>
      </c>
      <c r="T88">
        <v>79245.531237</v>
      </c>
      <c r="U88" s="2">
        <v>44493</v>
      </c>
      <c r="V88" t="s">
        <v>799</v>
      </c>
    </row>
    <row r="89" spans="1:22">
      <c r="A89" s="1" t="s">
        <v>109</v>
      </c>
      <c r="B89">
        <f>HYPERLINK("https://www.suredividend.com/sure-analysis-PPG/","PPG Industries, Inc.")</f>
        <v>0</v>
      </c>
      <c r="C89">
        <v>164.3</v>
      </c>
      <c r="D89">
        <v>127</v>
      </c>
      <c r="E89">
        <v>1.293700787401575</v>
      </c>
      <c r="F89">
        <v>0.01436396835057821</v>
      </c>
      <c r="G89">
        <v>-0.05019766809548754</v>
      </c>
      <c r="H89">
        <v>0.08</v>
      </c>
      <c r="I89">
        <v>0.0417297277872648</v>
      </c>
      <c r="J89" t="s">
        <v>775</v>
      </c>
      <c r="K89" t="s">
        <v>776</v>
      </c>
      <c r="L89">
        <v>6.7</v>
      </c>
      <c r="M89">
        <v>2.36</v>
      </c>
      <c r="N89">
        <v>0.3522388059701492</v>
      </c>
      <c r="O89">
        <v>50</v>
      </c>
      <c r="P89">
        <v>0.08014856837381279</v>
      </c>
      <c r="Q89">
        <v>0.15892142408692</v>
      </c>
      <c r="R89" t="s">
        <v>779</v>
      </c>
      <c r="S89" t="s">
        <v>787</v>
      </c>
      <c r="T89">
        <v>39133.156609</v>
      </c>
      <c r="U89" s="2">
        <v>44490</v>
      </c>
      <c r="V89" t="s">
        <v>795</v>
      </c>
    </row>
    <row r="90" spans="1:22">
      <c r="A90" s="1" t="s">
        <v>110</v>
      </c>
      <c r="B90">
        <f>HYPERLINK("https://www.suredividend.com/sure-analysis-EMR/","Emerson Electric Co.")</f>
        <v>0</v>
      </c>
      <c r="C90">
        <v>94.31</v>
      </c>
      <c r="D90">
        <v>78</v>
      </c>
      <c r="E90">
        <v>1.209102564102564</v>
      </c>
      <c r="F90">
        <v>0.02184285865761849</v>
      </c>
      <c r="G90">
        <v>-0.03726364600470344</v>
      </c>
      <c r="H90">
        <v>0.06</v>
      </c>
      <c r="I90">
        <v>0.04164341400752858</v>
      </c>
      <c r="J90" t="s">
        <v>775</v>
      </c>
      <c r="K90" t="s">
        <v>776</v>
      </c>
      <c r="L90">
        <v>4.1</v>
      </c>
      <c r="M90">
        <v>2.06</v>
      </c>
      <c r="N90">
        <v>0.5024390243902439</v>
      </c>
      <c r="O90">
        <v>65</v>
      </c>
      <c r="P90">
        <v>0.03016344758557654</v>
      </c>
      <c r="Q90">
        <v>0.26046787058096</v>
      </c>
      <c r="R90" t="s">
        <v>779</v>
      </c>
      <c r="S90" t="s">
        <v>786</v>
      </c>
      <c r="T90">
        <v>57514.338</v>
      </c>
      <c r="U90" s="2">
        <v>44427</v>
      </c>
      <c r="V90" t="s">
        <v>799</v>
      </c>
    </row>
    <row r="91" spans="1:22">
      <c r="A91" s="1" t="s">
        <v>111</v>
      </c>
      <c r="B91">
        <f>HYPERLINK("https://www.suredividend.com/sure-analysis-HRL/","Hormel Foods Corp.")</f>
        <v>0</v>
      </c>
      <c r="C91">
        <v>43.3</v>
      </c>
      <c r="D91">
        <v>37</v>
      </c>
      <c r="E91">
        <v>1.17027027027027</v>
      </c>
      <c r="F91">
        <v>0.02263279445727483</v>
      </c>
      <c r="G91">
        <v>-0.03095763185643108</v>
      </c>
      <c r="H91">
        <v>0.05</v>
      </c>
      <c r="I91">
        <v>0.04088721551838459</v>
      </c>
      <c r="J91" t="s">
        <v>775</v>
      </c>
      <c r="K91" t="s">
        <v>776</v>
      </c>
      <c r="L91">
        <v>1.7</v>
      </c>
      <c r="M91">
        <v>0.98</v>
      </c>
      <c r="N91">
        <v>0.5764705882352941</v>
      </c>
      <c r="O91">
        <v>55</v>
      </c>
      <c r="P91">
        <v>0.04987304960985517</v>
      </c>
      <c r="Q91">
        <v>-0.161603013481672</v>
      </c>
      <c r="R91" t="s">
        <v>779</v>
      </c>
      <c r="S91" t="s">
        <v>789</v>
      </c>
      <c r="T91">
        <v>23378.775054</v>
      </c>
      <c r="U91" s="2">
        <v>44444</v>
      </c>
      <c r="V91" t="s">
        <v>799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73.29000000000001</v>
      </c>
      <c r="D92">
        <v>62</v>
      </c>
      <c r="E92">
        <v>1.182096774193548</v>
      </c>
      <c r="F92">
        <v>0.01432664756446991</v>
      </c>
      <c r="G92">
        <v>-0.03290443077717864</v>
      </c>
      <c r="H92">
        <v>0.06</v>
      </c>
      <c r="I92">
        <v>0.04059433095955001</v>
      </c>
      <c r="J92" t="s">
        <v>775</v>
      </c>
      <c r="K92" t="s">
        <v>776</v>
      </c>
      <c r="L92">
        <v>4.4</v>
      </c>
      <c r="M92">
        <v>1.05</v>
      </c>
      <c r="N92">
        <v>0.2386363636363636</v>
      </c>
      <c r="O92">
        <v>53</v>
      </c>
      <c r="P92">
        <v>0.06961037572506878</v>
      </c>
      <c r="Q92">
        <v>0.110467085701381</v>
      </c>
      <c r="R92" t="s">
        <v>779</v>
      </c>
      <c r="S92" t="s">
        <v>790</v>
      </c>
      <c r="T92">
        <v>8568.801874000001</v>
      </c>
      <c r="U92" s="2">
        <v>44499</v>
      </c>
      <c r="V92" t="s">
        <v>797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36.16</v>
      </c>
      <c r="D93">
        <v>38</v>
      </c>
      <c r="E93">
        <v>0.951578947368421</v>
      </c>
      <c r="F93">
        <v>0.02876106194690266</v>
      </c>
      <c r="G93">
        <v>0.009975956213381654</v>
      </c>
      <c r="H93">
        <v>0</v>
      </c>
      <c r="I93">
        <v>0.03777504455888447</v>
      </c>
      <c r="J93" t="s">
        <v>775</v>
      </c>
      <c r="K93" t="s">
        <v>775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0.237632075661805</v>
      </c>
      <c r="R93" t="s">
        <v>779</v>
      </c>
      <c r="S93" t="s">
        <v>790</v>
      </c>
      <c r="T93">
        <v>590.4626950000001</v>
      </c>
      <c r="U93" s="2">
        <v>44518</v>
      </c>
      <c r="V93" t="s">
        <v>799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77.15000000000001</v>
      </c>
      <c r="D94">
        <v>64</v>
      </c>
      <c r="E94">
        <v>1.20546875</v>
      </c>
      <c r="F94">
        <v>0.01036941023979261</v>
      </c>
      <c r="G94">
        <v>-0.03668392226489292</v>
      </c>
      <c r="H94">
        <v>0.065</v>
      </c>
      <c r="I94">
        <v>0.03687767514061879</v>
      </c>
      <c r="J94" t="s">
        <v>775</v>
      </c>
      <c r="K94" t="s">
        <v>776</v>
      </c>
      <c r="L94">
        <v>3.37</v>
      </c>
      <c r="M94">
        <v>0.8</v>
      </c>
      <c r="N94">
        <v>0.2373887240356083</v>
      </c>
      <c r="O94">
        <v>44</v>
      </c>
      <c r="P94">
        <v>0.05988502997905321</v>
      </c>
      <c r="Q94">
        <v>0.4663168033004451</v>
      </c>
      <c r="R94" t="s">
        <v>779</v>
      </c>
      <c r="S94" t="s">
        <v>786</v>
      </c>
      <c r="T94">
        <v>12798.085457</v>
      </c>
      <c r="U94" s="2">
        <v>44503</v>
      </c>
      <c r="V94" t="s">
        <v>797</v>
      </c>
    </row>
    <row r="95" spans="1:22">
      <c r="A95" s="1" t="s">
        <v>115</v>
      </c>
      <c r="B95">
        <f>HYPERLINK("https://www.suredividend.com/sure-analysis-BRO/","Brown &amp; Brown, Inc.")</f>
        <v>0</v>
      </c>
      <c r="C95">
        <v>64.72</v>
      </c>
      <c r="D95">
        <v>53</v>
      </c>
      <c r="E95">
        <v>1.221132075471698</v>
      </c>
      <c r="F95">
        <v>0.006334981458590853</v>
      </c>
      <c r="G95">
        <v>-0.03916796987534665</v>
      </c>
      <c r="H95">
        <v>0.07000000000000001</v>
      </c>
      <c r="I95">
        <v>0.03537809247567636</v>
      </c>
      <c r="J95" t="s">
        <v>775</v>
      </c>
      <c r="K95" t="s">
        <v>366</v>
      </c>
      <c r="L95">
        <v>2.2</v>
      </c>
      <c r="M95">
        <v>0.41</v>
      </c>
      <c r="N95">
        <v>0.1863636363636363</v>
      </c>
      <c r="O95">
        <v>28</v>
      </c>
      <c r="P95">
        <v>0.08971100922578001</v>
      </c>
      <c r="Q95">
        <v>0.372193480760127</v>
      </c>
      <c r="R95" t="s">
        <v>779</v>
      </c>
      <c r="S95" t="s">
        <v>790</v>
      </c>
      <c r="T95">
        <v>18337.974656</v>
      </c>
      <c r="U95" s="2">
        <v>44507</v>
      </c>
      <c r="V95" t="s">
        <v>799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145.6</v>
      </c>
      <c r="D96">
        <v>112</v>
      </c>
      <c r="E96">
        <v>1.3</v>
      </c>
      <c r="F96">
        <v>0.01538461538461539</v>
      </c>
      <c r="G96">
        <v>-0.05111991994525078</v>
      </c>
      <c r="H96">
        <v>0.07000000000000001</v>
      </c>
      <c r="I96">
        <v>0.03301444627723327</v>
      </c>
      <c r="J96" t="s">
        <v>775</v>
      </c>
      <c r="K96" t="s">
        <v>366</v>
      </c>
      <c r="L96">
        <v>6.2</v>
      </c>
      <c r="M96">
        <v>2.24</v>
      </c>
      <c r="N96">
        <v>0.3612903225806452</v>
      </c>
      <c r="O96">
        <v>26</v>
      </c>
      <c r="P96">
        <v>0.0799150058822331</v>
      </c>
      <c r="Q96">
        <v>0.254670497985106</v>
      </c>
      <c r="R96" t="s">
        <v>779</v>
      </c>
      <c r="S96" t="s">
        <v>786</v>
      </c>
      <c r="T96">
        <v>8585.620639000001</v>
      </c>
      <c r="U96" s="2">
        <v>44500</v>
      </c>
      <c r="V96" t="s">
        <v>797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465.5</v>
      </c>
      <c r="D97">
        <v>355</v>
      </c>
      <c r="E97">
        <v>1.311267605633803</v>
      </c>
      <c r="F97">
        <v>0.006616541353383459</v>
      </c>
      <c r="G97">
        <v>-0.05275628248683117</v>
      </c>
      <c r="H97">
        <v>0.08</v>
      </c>
      <c r="I97">
        <v>0.03148043507096965</v>
      </c>
      <c r="J97" t="s">
        <v>775</v>
      </c>
      <c r="K97" t="s">
        <v>366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0.396248885363742</v>
      </c>
      <c r="R97" t="s">
        <v>779</v>
      </c>
      <c r="S97" t="s">
        <v>790</v>
      </c>
      <c r="T97">
        <v>113359.17</v>
      </c>
      <c r="U97" s="2">
        <v>44512</v>
      </c>
      <c r="V97" t="s">
        <v>799</v>
      </c>
    </row>
    <row r="98" spans="1:22">
      <c r="A98" s="1" t="s">
        <v>118</v>
      </c>
      <c r="B98">
        <f>HYPERLINK("https://www.suredividend.com/sure-analysis-CHD/","Church &amp; Dwight Co., Inc.")</f>
        <v>0</v>
      </c>
      <c r="C98">
        <v>91.48999999999999</v>
      </c>
      <c r="D98">
        <v>75</v>
      </c>
      <c r="E98">
        <v>1.219866666666667</v>
      </c>
      <c r="F98">
        <v>0.01103945786424746</v>
      </c>
      <c r="G98">
        <v>-0.03896871184770667</v>
      </c>
      <c r="H98">
        <v>0.06</v>
      </c>
      <c r="I98">
        <v>0.03102573997694691</v>
      </c>
      <c r="J98" t="s">
        <v>775</v>
      </c>
      <c r="K98" t="s">
        <v>366</v>
      </c>
      <c r="L98">
        <v>3</v>
      </c>
      <c r="M98">
        <v>1.01</v>
      </c>
      <c r="N98">
        <v>0.3366666666666667</v>
      </c>
      <c r="O98">
        <v>25</v>
      </c>
      <c r="P98">
        <v>0.0705165705095081</v>
      </c>
      <c r="Q98">
        <v>0.047820165994957</v>
      </c>
      <c r="R98" t="s">
        <v>779</v>
      </c>
      <c r="S98" t="s">
        <v>789</v>
      </c>
      <c r="T98">
        <v>22241.916143</v>
      </c>
      <c r="U98" s="2">
        <v>44414</v>
      </c>
      <c r="V98" t="s">
        <v>799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253.8</v>
      </c>
      <c r="D99">
        <v>234</v>
      </c>
      <c r="E99">
        <v>1.084615384615385</v>
      </c>
      <c r="F99">
        <v>0.01418439716312057</v>
      </c>
      <c r="G99">
        <v>-0.01611384817117101</v>
      </c>
      <c r="H99">
        <v>0.03</v>
      </c>
      <c r="I99">
        <v>0.02899273586129159</v>
      </c>
      <c r="J99" t="s">
        <v>775</v>
      </c>
      <c r="K99" t="s">
        <v>776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0.6357978068187811</v>
      </c>
      <c r="R99" t="s">
        <v>779</v>
      </c>
      <c r="S99" t="s">
        <v>789</v>
      </c>
      <c r="T99">
        <v>130008.723329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HYPERLINK("https://www.suredividend.com/sure-analysis-THFF/","First Financial Corp. - Indiana")</f>
        <v>0</v>
      </c>
      <c r="C100">
        <v>44.51</v>
      </c>
      <c r="D100">
        <v>48</v>
      </c>
      <c r="E100">
        <v>0.9272916666666666</v>
      </c>
      <c r="F100">
        <v>0.02381487306223321</v>
      </c>
      <c r="G100">
        <v>0.01521196740852271</v>
      </c>
      <c r="H100">
        <v>-0.01</v>
      </c>
      <c r="I100">
        <v>0.02869476519897218</v>
      </c>
      <c r="J100" t="s">
        <v>775</v>
      </c>
      <c r="K100" t="s">
        <v>775</v>
      </c>
      <c r="L100">
        <v>4.4</v>
      </c>
      <c r="M100">
        <v>1.06</v>
      </c>
      <c r="N100">
        <v>0.2409090909090909</v>
      </c>
      <c r="O100">
        <v>32</v>
      </c>
      <c r="P100">
        <v>0.01994322923769842</v>
      </c>
      <c r="Q100">
        <v>0.214443238988984</v>
      </c>
      <c r="R100" t="s">
        <v>779</v>
      </c>
      <c r="S100" t="s">
        <v>790</v>
      </c>
      <c r="T100">
        <v>572.028836</v>
      </c>
      <c r="U100" s="2">
        <v>44518</v>
      </c>
      <c r="V100" t="s">
        <v>799</v>
      </c>
    </row>
    <row r="101" spans="1:22">
      <c r="A101" s="1" t="s">
        <v>121</v>
      </c>
      <c r="B101">
        <f>HYPERLINK("https://www.suredividend.com/sure-analysis-DOV/","Dover Corp.")</f>
        <v>0</v>
      </c>
      <c r="C101">
        <v>175.41</v>
      </c>
      <c r="D101">
        <v>127</v>
      </c>
      <c r="E101">
        <v>1.381181102362205</v>
      </c>
      <c r="F101">
        <v>0.01140185850293598</v>
      </c>
      <c r="G101">
        <v>-0.06254619861964539</v>
      </c>
      <c r="H101">
        <v>0.08</v>
      </c>
      <c r="I101">
        <v>0.02473228176828335</v>
      </c>
      <c r="J101" t="s">
        <v>775</v>
      </c>
      <c r="K101" t="s">
        <v>776</v>
      </c>
      <c r="L101">
        <v>7.48</v>
      </c>
      <c r="M101">
        <v>2</v>
      </c>
      <c r="N101">
        <v>0.267379679144385</v>
      </c>
      <c r="O101">
        <v>66</v>
      </c>
      <c r="P101">
        <v>0.04978904632428516</v>
      </c>
      <c r="Q101">
        <v>0.4183776387300681</v>
      </c>
      <c r="R101" t="s">
        <v>779</v>
      </c>
      <c r="S101" t="s">
        <v>786</v>
      </c>
      <c r="T101">
        <v>25432.009259</v>
      </c>
      <c r="U101" s="2">
        <v>44488</v>
      </c>
      <c r="V101" t="s">
        <v>795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278.13</v>
      </c>
      <c r="D102">
        <v>252</v>
      </c>
      <c r="E102">
        <v>1.103690476190476</v>
      </c>
      <c r="F102">
        <v>0.02229173408118506</v>
      </c>
      <c r="G102">
        <v>-0.01953850858657513</v>
      </c>
      <c r="H102">
        <v>0.02</v>
      </c>
      <c r="I102">
        <v>0.02468277770286398</v>
      </c>
      <c r="J102" t="s">
        <v>775</v>
      </c>
      <c r="K102" t="s">
        <v>776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0.195358811490447</v>
      </c>
      <c r="R102" t="s">
        <v>779</v>
      </c>
      <c r="S102" t="s">
        <v>790</v>
      </c>
      <c r="T102">
        <v>11053.746534</v>
      </c>
      <c r="U102" s="2">
        <v>44508</v>
      </c>
      <c r="V102" t="s">
        <v>797</v>
      </c>
    </row>
    <row r="103" spans="1:22">
      <c r="A103" s="1" t="s">
        <v>123</v>
      </c>
      <c r="B103">
        <f>HYPERLINK("https://www.suredividend.com/sure-analysis-CSL/","Carlisle Companies Inc.")</f>
        <v>0</v>
      </c>
      <c r="C103">
        <v>240.01</v>
      </c>
      <c r="D103">
        <v>184</v>
      </c>
      <c r="E103">
        <v>1.304402173913043</v>
      </c>
      <c r="F103">
        <v>0.00899962501562435</v>
      </c>
      <c r="G103">
        <v>-0.05176125366294759</v>
      </c>
      <c r="H103">
        <v>0.07000000000000001</v>
      </c>
      <c r="I103">
        <v>0.02456580770766981</v>
      </c>
      <c r="J103" t="s">
        <v>775</v>
      </c>
      <c r="K103" t="s">
        <v>366</v>
      </c>
      <c r="L103">
        <v>9.199999999999999</v>
      </c>
      <c r="M103">
        <v>2.16</v>
      </c>
      <c r="N103">
        <v>0.2347826086956522</v>
      </c>
      <c r="O103">
        <v>45</v>
      </c>
      <c r="P103">
        <v>0.05995839365595068</v>
      </c>
      <c r="Q103">
        <v>0.67716605592705</v>
      </c>
      <c r="R103" t="s">
        <v>779</v>
      </c>
      <c r="S103" t="s">
        <v>786</v>
      </c>
      <c r="T103">
        <v>12498.626459</v>
      </c>
      <c r="U103" s="2">
        <v>44509</v>
      </c>
      <c r="V103" t="s">
        <v>797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397.28</v>
      </c>
      <c r="D104">
        <v>320</v>
      </c>
      <c r="E104">
        <v>1.2415</v>
      </c>
      <c r="F104">
        <v>0.006242448650825614</v>
      </c>
      <c r="G104">
        <v>-0.04234152759442678</v>
      </c>
      <c r="H104">
        <v>0.06</v>
      </c>
      <c r="I104">
        <v>0.02312000971023687</v>
      </c>
      <c r="J104" t="s">
        <v>775</v>
      </c>
      <c r="K104" t="s">
        <v>366</v>
      </c>
      <c r="L104">
        <v>12.3</v>
      </c>
      <c r="M104">
        <v>2.48</v>
      </c>
      <c r="N104">
        <v>0.2016260162601626</v>
      </c>
      <c r="O104">
        <v>12</v>
      </c>
      <c r="P104">
        <v>0.1100560807786035</v>
      </c>
      <c r="Q104">
        <v>0.469163263895213</v>
      </c>
      <c r="R104" t="s">
        <v>779</v>
      </c>
      <c r="S104" t="s">
        <v>790</v>
      </c>
      <c r="T104">
        <v>74664.876</v>
      </c>
      <c r="U104" s="2">
        <v>44518</v>
      </c>
      <c r="V104" t="s">
        <v>799</v>
      </c>
    </row>
    <row r="105" spans="1:22">
      <c r="A105" s="1" t="s">
        <v>125</v>
      </c>
      <c r="B105">
        <f>HYPERLINK("https://www.suredividend.com/sure-analysis-MCD/","McDonald`s Corp")</f>
        <v>0</v>
      </c>
      <c r="C105">
        <v>252.69</v>
      </c>
      <c r="D105">
        <v>186</v>
      </c>
      <c r="E105">
        <v>1.358548387096774</v>
      </c>
      <c r="F105">
        <v>0.02184494835569275</v>
      </c>
      <c r="G105">
        <v>-0.05944330797547948</v>
      </c>
      <c r="H105">
        <v>0.06</v>
      </c>
      <c r="I105">
        <v>0.02212035161753745</v>
      </c>
      <c r="J105" t="s">
        <v>775</v>
      </c>
      <c r="K105" t="s">
        <v>776</v>
      </c>
      <c r="L105">
        <v>9.300000000000001</v>
      </c>
      <c r="M105">
        <v>5.52</v>
      </c>
      <c r="N105">
        <v>0.5935483870967742</v>
      </c>
      <c r="O105">
        <v>47</v>
      </c>
      <c r="P105">
        <v>0.06008593430202303</v>
      </c>
      <c r="Q105">
        <v>0.192003388186767</v>
      </c>
      <c r="R105" t="s">
        <v>779</v>
      </c>
      <c r="S105" t="s">
        <v>788</v>
      </c>
      <c r="T105">
        <v>188649.5805</v>
      </c>
      <c r="U105" s="2">
        <v>44497</v>
      </c>
      <c r="V105" t="s">
        <v>800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147.1</v>
      </c>
      <c r="D106">
        <v>118</v>
      </c>
      <c r="E106">
        <v>1.246610169491525</v>
      </c>
      <c r="F106">
        <v>0.02365737593473827</v>
      </c>
      <c r="G106">
        <v>-0.04312795488108612</v>
      </c>
      <c r="H106">
        <v>0.04</v>
      </c>
      <c r="I106">
        <v>0.02132654437256942</v>
      </c>
      <c r="J106" t="s">
        <v>775</v>
      </c>
      <c r="K106" t="s">
        <v>776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0.059405598532853</v>
      </c>
      <c r="R106" t="s">
        <v>779</v>
      </c>
      <c r="S106" t="s">
        <v>789</v>
      </c>
      <c r="T106">
        <v>356192.119479</v>
      </c>
      <c r="U106" s="2">
        <v>44488</v>
      </c>
      <c r="V106" t="s">
        <v>800</v>
      </c>
    </row>
    <row r="107" spans="1:22">
      <c r="A107" s="1" t="s">
        <v>127</v>
      </c>
      <c r="B107">
        <f>HYPERLINK("https://www.suredividend.com/sure-analysis-FUL/","H.B. Fuller Company")</f>
        <v>0</v>
      </c>
      <c r="C107">
        <v>78.55</v>
      </c>
      <c r="D107">
        <v>54</v>
      </c>
      <c r="E107">
        <v>1.454629629629629</v>
      </c>
      <c r="F107">
        <v>0.008529598981540421</v>
      </c>
      <c r="G107">
        <v>-0.07221036992829821</v>
      </c>
      <c r="H107">
        <v>0.09</v>
      </c>
      <c r="I107">
        <v>0.02061365234892687</v>
      </c>
      <c r="J107" t="s">
        <v>775</v>
      </c>
      <c r="K107" t="s">
        <v>366</v>
      </c>
      <c r="L107">
        <v>3.6</v>
      </c>
      <c r="M107">
        <v>0.67</v>
      </c>
      <c r="N107">
        <v>0.1861111111111111</v>
      </c>
      <c r="O107">
        <v>52</v>
      </c>
      <c r="P107">
        <v>0.05119849323654324</v>
      </c>
      <c r="Q107">
        <v>0.5161502966381011</v>
      </c>
      <c r="R107" t="s">
        <v>779</v>
      </c>
      <c r="S107" t="s">
        <v>787</v>
      </c>
      <c r="T107">
        <v>4206.426402</v>
      </c>
      <c r="U107" s="2">
        <v>44463</v>
      </c>
      <c r="V107" t="s">
        <v>802</v>
      </c>
    </row>
    <row r="108" spans="1:22">
      <c r="A108" s="1" t="s">
        <v>128</v>
      </c>
      <c r="B108">
        <f>HYPERLINK("https://www.suredividend.com/sure-analysis-OZK/","Bank OZK")</f>
        <v>0</v>
      </c>
      <c r="C108">
        <v>47.26</v>
      </c>
      <c r="D108">
        <v>46</v>
      </c>
      <c r="E108">
        <v>1.027391304347826</v>
      </c>
      <c r="F108">
        <v>0.02454506982649175</v>
      </c>
      <c r="G108">
        <v>-0.005389996613426096</v>
      </c>
      <c r="H108">
        <v>0</v>
      </c>
      <c r="I108">
        <v>0.02058873185833154</v>
      </c>
      <c r="J108" t="s">
        <v>775</v>
      </c>
      <c r="K108" t="s">
        <v>776</v>
      </c>
      <c r="L108">
        <v>4.2</v>
      </c>
      <c r="M108">
        <v>1.16</v>
      </c>
      <c r="N108">
        <v>0.2761904761904762</v>
      </c>
      <c r="O108">
        <v>25</v>
      </c>
      <c r="P108">
        <v>0.02927011184548056</v>
      </c>
      <c r="Q108">
        <v>0.673077059294361</v>
      </c>
      <c r="R108" t="s">
        <v>779</v>
      </c>
      <c r="S108" t="s">
        <v>790</v>
      </c>
      <c r="T108">
        <v>5743.305841</v>
      </c>
      <c r="U108" s="2">
        <v>44493</v>
      </c>
      <c r="V108" t="s">
        <v>800</v>
      </c>
    </row>
    <row r="109" spans="1:22">
      <c r="A109" s="1" t="s">
        <v>129</v>
      </c>
      <c r="B109">
        <f>HYPERLINK("https://www.suredividend.com/sure-analysis-COST/","Costco Wholesale Corp")</f>
        <v>0</v>
      </c>
      <c r="C109">
        <v>526.29</v>
      </c>
      <c r="D109">
        <v>362</v>
      </c>
      <c r="E109">
        <v>1.453839779005525</v>
      </c>
      <c r="F109">
        <v>0.006004294210416311</v>
      </c>
      <c r="G109">
        <v>-0.07210958082766172</v>
      </c>
      <c r="H109">
        <v>0.09</v>
      </c>
      <c r="I109">
        <v>0.01899344320673246</v>
      </c>
      <c r="J109" t="s">
        <v>775</v>
      </c>
      <c r="K109" t="s">
        <v>514</v>
      </c>
      <c r="L109">
        <v>12.05</v>
      </c>
      <c r="M109">
        <v>3.16</v>
      </c>
      <c r="N109">
        <v>0.2622406639004149</v>
      </c>
      <c r="O109">
        <v>18</v>
      </c>
      <c r="P109">
        <v>0.1000340793951375</v>
      </c>
      <c r="Q109">
        <v>0.434059066179027</v>
      </c>
      <c r="R109" t="s">
        <v>779</v>
      </c>
      <c r="S109" t="s">
        <v>789</v>
      </c>
      <c r="T109">
        <v>232717.43773</v>
      </c>
      <c r="U109" s="2">
        <v>44465</v>
      </c>
      <c r="V109" t="s">
        <v>799</v>
      </c>
    </row>
    <row r="110" spans="1:22">
      <c r="A110" s="1" t="s">
        <v>130</v>
      </c>
      <c r="B110">
        <f>HYPERLINK("https://www.suredividend.com/sure-analysis-WSM/","Williams-Sonoma, Inc.")</f>
        <v>0</v>
      </c>
      <c r="C110">
        <v>209.95</v>
      </c>
      <c r="D110">
        <v>192</v>
      </c>
      <c r="E110">
        <v>1.093489583333333</v>
      </c>
      <c r="F110">
        <v>0.0135270302452965</v>
      </c>
      <c r="G110">
        <v>-0.01771600027852926</v>
      </c>
      <c r="H110">
        <v>0.02</v>
      </c>
      <c r="I110">
        <v>0.0174794788829058</v>
      </c>
      <c r="J110" t="s">
        <v>775</v>
      </c>
      <c r="K110" t="s">
        <v>366</v>
      </c>
      <c r="L110">
        <v>12</v>
      </c>
      <c r="M110">
        <v>2.84</v>
      </c>
      <c r="N110">
        <v>0.2366666666666667</v>
      </c>
      <c r="O110">
        <v>15</v>
      </c>
      <c r="P110">
        <v>0.05996872493653238</v>
      </c>
      <c r="Q110">
        <v>1.345973696049114</v>
      </c>
      <c r="R110" t="s">
        <v>779</v>
      </c>
      <c r="S110" t="s">
        <v>788</v>
      </c>
      <c r="T110">
        <v>16481.63596</v>
      </c>
      <c r="U110" s="2">
        <v>44435</v>
      </c>
      <c r="V110" t="s">
        <v>800</v>
      </c>
    </row>
    <row r="111" spans="1:22">
      <c r="A111" s="1" t="s">
        <v>131</v>
      </c>
      <c r="B111">
        <f>HYPERLINK("https://www.suredividend.com/sure-analysis-AXP/","American Express Co.")</f>
        <v>0</v>
      </c>
      <c r="C111">
        <v>179.61</v>
      </c>
      <c r="D111">
        <v>131</v>
      </c>
      <c r="E111">
        <v>1.371068702290076</v>
      </c>
      <c r="F111">
        <v>0.009576304214687378</v>
      </c>
      <c r="G111">
        <v>-0.06116741094092248</v>
      </c>
      <c r="H111">
        <v>0.07000000000000001</v>
      </c>
      <c r="I111">
        <v>0.01620218405088814</v>
      </c>
      <c r="J111" t="s">
        <v>775</v>
      </c>
      <c r="K111" t="s">
        <v>366</v>
      </c>
      <c r="L111">
        <v>8.75</v>
      </c>
      <c r="M111">
        <v>1.72</v>
      </c>
      <c r="N111">
        <v>0.1965714285714286</v>
      </c>
      <c r="O111">
        <v>9</v>
      </c>
      <c r="P111">
        <v>0.08023542380212056</v>
      </c>
      <c r="Q111">
        <v>0.5423371198397301</v>
      </c>
      <c r="R111" t="s">
        <v>779</v>
      </c>
      <c r="S111" t="s">
        <v>790</v>
      </c>
      <c r="T111">
        <v>143728.83211</v>
      </c>
      <c r="U111" s="2">
        <v>44491</v>
      </c>
      <c r="V111" t="s">
        <v>797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191.78</v>
      </c>
      <c r="D112">
        <v>148</v>
      </c>
      <c r="E112">
        <v>1.295810810810811</v>
      </c>
      <c r="F112">
        <v>0.01668578579622484</v>
      </c>
      <c r="G112">
        <v>-0.05050719040570595</v>
      </c>
      <c r="H112">
        <v>0.05</v>
      </c>
      <c r="I112">
        <v>0.01610156786102368</v>
      </c>
      <c r="J112" t="s">
        <v>775</v>
      </c>
      <c r="K112" t="s">
        <v>776</v>
      </c>
      <c r="L112">
        <v>12.2</v>
      </c>
      <c r="M112">
        <v>3.2</v>
      </c>
      <c r="N112">
        <v>0.2622950819672131</v>
      </c>
      <c r="O112">
        <v>28</v>
      </c>
      <c r="P112">
        <v>0.05488534927137567</v>
      </c>
      <c r="Q112">
        <v>0.300254867456805</v>
      </c>
      <c r="R112" t="s">
        <v>779</v>
      </c>
      <c r="S112" t="s">
        <v>790</v>
      </c>
      <c r="T112">
        <v>83197.67823200001</v>
      </c>
      <c r="U112" s="2">
        <v>44506</v>
      </c>
      <c r="V112" t="s">
        <v>797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57</v>
      </c>
      <c r="D113">
        <v>37</v>
      </c>
      <c r="E113">
        <v>1.540540540540541</v>
      </c>
      <c r="F113">
        <v>0.01894736842105263</v>
      </c>
      <c r="G113">
        <v>-0.08279719615170655</v>
      </c>
      <c r="H113">
        <v>0.08</v>
      </c>
      <c r="I113">
        <v>0.01446525431229939</v>
      </c>
      <c r="J113" t="s">
        <v>775</v>
      </c>
      <c r="K113" t="s">
        <v>776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-0.027506227521149</v>
      </c>
      <c r="R113" t="s">
        <v>779</v>
      </c>
      <c r="S113" t="s">
        <v>785</v>
      </c>
      <c r="T113">
        <v>1574.861338</v>
      </c>
      <c r="U113" s="2">
        <v>44477</v>
      </c>
      <c r="V113" t="s">
        <v>802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49.81</v>
      </c>
      <c r="D114">
        <v>60</v>
      </c>
      <c r="E114">
        <v>0.8301666666666667</v>
      </c>
      <c r="F114">
        <v>0.02489459947801646</v>
      </c>
      <c r="G114">
        <v>0.03792731585137443</v>
      </c>
      <c r="H114">
        <v>-0.05</v>
      </c>
      <c r="I114">
        <v>0.01253721274937125</v>
      </c>
      <c r="J114" t="s">
        <v>775</v>
      </c>
      <c r="K114" t="s">
        <v>775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0.340312453981981</v>
      </c>
      <c r="R114" t="s">
        <v>779</v>
      </c>
      <c r="S114" t="s">
        <v>790</v>
      </c>
      <c r="T114">
        <v>1251.810222</v>
      </c>
      <c r="U114" s="2">
        <v>44498</v>
      </c>
      <c r="V114" t="s">
        <v>799</v>
      </c>
    </row>
    <row r="115" spans="1:22">
      <c r="A115" s="1" t="s">
        <v>135</v>
      </c>
      <c r="B115">
        <f>HYPERLINK("https://www.suredividend.com/sure-analysis-GRC/","Gorman-Rupp Co.")</f>
        <v>0</v>
      </c>
      <c r="C115">
        <v>45.39</v>
      </c>
      <c r="D115">
        <v>33</v>
      </c>
      <c r="E115">
        <v>1.375454545454545</v>
      </c>
      <c r="F115">
        <v>0.0149812734082397</v>
      </c>
      <c r="G115">
        <v>-0.06176689776164623</v>
      </c>
      <c r="H115">
        <v>0.06</v>
      </c>
      <c r="I115">
        <v>0.01171916447759513</v>
      </c>
      <c r="J115" t="s">
        <v>775</v>
      </c>
      <c r="K115" t="s">
        <v>776</v>
      </c>
      <c r="L115">
        <v>1.3</v>
      </c>
      <c r="M115">
        <v>0.68</v>
      </c>
      <c r="N115">
        <v>0.5230769230769231</v>
      </c>
      <c r="O115">
        <v>49</v>
      </c>
      <c r="P115">
        <v>0.0505145404837426</v>
      </c>
      <c r="Q115">
        <v>0.319040803808744</v>
      </c>
      <c r="R115" t="s">
        <v>779</v>
      </c>
      <c r="S115" t="s">
        <v>786</v>
      </c>
      <c r="T115">
        <v>1179.879062</v>
      </c>
      <c r="U115" s="2">
        <v>44499</v>
      </c>
      <c r="V115" t="s">
        <v>799</v>
      </c>
    </row>
    <row r="116" spans="1:22">
      <c r="A116" s="1" t="s">
        <v>136</v>
      </c>
      <c r="B116">
        <f>HYPERLINK("https://www.suredividend.com/sure-analysis-TROW/","T. Rowe Price Group Inc.")</f>
        <v>0</v>
      </c>
      <c r="C116">
        <v>211.09</v>
      </c>
      <c r="D116">
        <v>179</v>
      </c>
      <c r="E116">
        <v>1.17927374301676</v>
      </c>
      <c r="F116">
        <v>0.02046520441517836</v>
      </c>
      <c r="G116">
        <v>-0.03244185277716594</v>
      </c>
      <c r="H116">
        <v>0.02</v>
      </c>
      <c r="I116">
        <v>0.01046977565943563</v>
      </c>
      <c r="J116" t="s">
        <v>775</v>
      </c>
      <c r="K116" t="s">
        <v>776</v>
      </c>
      <c r="L116">
        <v>12.74</v>
      </c>
      <c r="M116">
        <v>4.32</v>
      </c>
      <c r="N116">
        <v>0.3390894819466248</v>
      </c>
      <c r="O116">
        <v>35</v>
      </c>
      <c r="P116">
        <v>0.04563955259127317</v>
      </c>
      <c r="Q116">
        <v>0.553754533649756</v>
      </c>
      <c r="R116" t="s">
        <v>779</v>
      </c>
      <c r="S116" t="s">
        <v>790</v>
      </c>
      <c r="T116">
        <v>48353.004148</v>
      </c>
      <c r="U116" s="2">
        <v>44502</v>
      </c>
      <c r="V116" t="s">
        <v>800</v>
      </c>
    </row>
    <row r="117" spans="1:22">
      <c r="A117" s="1" t="s">
        <v>137</v>
      </c>
      <c r="B117">
        <f>HYPERLINK("https://www.suredividend.com/sure-analysis-RPM/","RPM International, Inc.")</f>
        <v>0</v>
      </c>
      <c r="C117">
        <v>96.53</v>
      </c>
      <c r="D117">
        <v>72</v>
      </c>
      <c r="E117">
        <v>1.340694444444444</v>
      </c>
      <c r="F117">
        <v>0.01657515798197452</v>
      </c>
      <c r="G117">
        <v>-0.05695147953483559</v>
      </c>
      <c r="H117">
        <v>0.05</v>
      </c>
      <c r="I117">
        <v>0.009433024563356929</v>
      </c>
      <c r="J117" t="s">
        <v>775</v>
      </c>
      <c r="K117" t="s">
        <v>776</v>
      </c>
      <c r="L117">
        <v>4</v>
      </c>
      <c r="M117">
        <v>1.6</v>
      </c>
      <c r="N117">
        <v>0.4</v>
      </c>
      <c r="O117">
        <v>48</v>
      </c>
      <c r="P117">
        <v>0.04978904632428516</v>
      </c>
      <c r="Q117">
        <v>0.07455304054282701</v>
      </c>
      <c r="R117" t="s">
        <v>779</v>
      </c>
      <c r="S117" t="s">
        <v>787</v>
      </c>
      <c r="T117">
        <v>12354.123839</v>
      </c>
      <c r="U117" s="2">
        <v>44475</v>
      </c>
      <c r="V117" t="s">
        <v>795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128.62</v>
      </c>
      <c r="D118">
        <v>101</v>
      </c>
      <c r="E118">
        <v>1.273465346534653</v>
      </c>
      <c r="F118">
        <v>0.01399471310838128</v>
      </c>
      <c r="G118">
        <v>-0.04719818951825216</v>
      </c>
      <c r="H118">
        <v>0.04</v>
      </c>
      <c r="I118">
        <v>0.008146736580769254</v>
      </c>
      <c r="J118" t="s">
        <v>775</v>
      </c>
      <c r="K118" t="s">
        <v>776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0.169290251805212</v>
      </c>
      <c r="R118" t="s">
        <v>779</v>
      </c>
      <c r="S118" t="s">
        <v>784</v>
      </c>
      <c r="T118">
        <v>231451.081372</v>
      </c>
      <c r="U118" s="2">
        <v>44490</v>
      </c>
      <c r="V118" t="s">
        <v>800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242.64</v>
      </c>
      <c r="D119">
        <v>160</v>
      </c>
      <c r="E119">
        <v>1.5165</v>
      </c>
      <c r="F119">
        <v>0.02011210023079459</v>
      </c>
      <c r="G119">
        <v>-0.07990744397957095</v>
      </c>
      <c r="H119">
        <v>0.07000000000000001</v>
      </c>
      <c r="I119">
        <v>0.007522780509378935</v>
      </c>
      <c r="J119" t="s">
        <v>775</v>
      </c>
      <c r="K119" t="s">
        <v>776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0.167487449521974</v>
      </c>
      <c r="R119" t="s">
        <v>779</v>
      </c>
      <c r="S119" t="s">
        <v>786</v>
      </c>
      <c r="T119">
        <v>75981.107101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HYPERLINK("https://www.suredividend.com/sure-analysis-AAPL/","Apple Inc")</f>
        <v>0</v>
      </c>
      <c r="C120">
        <v>153.49</v>
      </c>
      <c r="D120">
        <v>108</v>
      </c>
      <c r="E120">
        <v>1.421203703703704</v>
      </c>
      <c r="F120">
        <v>0.005733272525897453</v>
      </c>
      <c r="G120">
        <v>-0.06788663762173397</v>
      </c>
      <c r="H120">
        <v>0.07000000000000001</v>
      </c>
      <c r="I120">
        <v>0.005503923351471762</v>
      </c>
      <c r="J120" t="s">
        <v>775</v>
      </c>
      <c r="K120" t="s">
        <v>366</v>
      </c>
      <c r="L120">
        <v>6</v>
      </c>
      <c r="M120">
        <v>0.88</v>
      </c>
      <c r="N120">
        <v>0.1466666666666667</v>
      </c>
      <c r="O120">
        <v>9</v>
      </c>
      <c r="P120">
        <v>0.1213169452916456</v>
      </c>
      <c r="Q120">
        <v>0.262933568857898</v>
      </c>
      <c r="R120" t="s">
        <v>779</v>
      </c>
      <c r="S120" t="s">
        <v>785</v>
      </c>
      <c r="T120">
        <v>2477365.947</v>
      </c>
      <c r="U120" s="2">
        <v>44500</v>
      </c>
      <c r="V120" t="s">
        <v>800</v>
      </c>
    </row>
    <row r="121" spans="1:22">
      <c r="A121" s="1" t="s">
        <v>141</v>
      </c>
      <c r="B121">
        <f>HYPERLINK("https://www.suredividend.com/sure-analysis-GWW/","W.W. Grainger Inc.")</f>
        <v>0</v>
      </c>
      <c r="C121">
        <v>486.58</v>
      </c>
      <c r="D121">
        <v>356</v>
      </c>
      <c r="E121">
        <v>1.366797752808989</v>
      </c>
      <c r="F121">
        <v>0.01331744009207119</v>
      </c>
      <c r="G121">
        <v>-0.06058141288261421</v>
      </c>
      <c r="H121">
        <v>0.05</v>
      </c>
      <c r="I121">
        <v>0.002665432215551267</v>
      </c>
      <c r="J121" t="s">
        <v>775</v>
      </c>
      <c r="K121" t="s">
        <v>776</v>
      </c>
      <c r="L121">
        <v>19.75</v>
      </c>
      <c r="M121">
        <v>6.48</v>
      </c>
      <c r="N121">
        <v>0.3281012658227848</v>
      </c>
      <c r="O121">
        <v>50</v>
      </c>
      <c r="P121">
        <v>0.06020279266594519</v>
      </c>
      <c r="Q121">
        <v>0.19941087068925</v>
      </c>
      <c r="R121" t="s">
        <v>779</v>
      </c>
      <c r="S121" t="s">
        <v>786</v>
      </c>
      <c r="T121">
        <v>25240.701426</v>
      </c>
      <c r="U121" s="2">
        <v>44505</v>
      </c>
      <c r="V121" t="s">
        <v>800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94.13</v>
      </c>
      <c r="D122">
        <v>59</v>
      </c>
      <c r="E122">
        <v>1.595423728813559</v>
      </c>
      <c r="F122">
        <v>0.007436523956230744</v>
      </c>
      <c r="G122">
        <v>-0.08919629079417546</v>
      </c>
      <c r="H122">
        <v>0.09</v>
      </c>
      <c r="I122">
        <v>0.002472054495394893</v>
      </c>
      <c r="J122" t="s">
        <v>775</v>
      </c>
      <c r="K122" t="s">
        <v>366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0.386461833893422</v>
      </c>
      <c r="R122" t="s">
        <v>779</v>
      </c>
      <c r="S122" t="s">
        <v>786</v>
      </c>
      <c r="T122">
        <v>4357.989538</v>
      </c>
      <c r="U122" s="2">
        <v>44496</v>
      </c>
      <c r="V122" t="s">
        <v>802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70.13</v>
      </c>
      <c r="D123">
        <v>43</v>
      </c>
      <c r="E123">
        <v>1.630930232558139</v>
      </c>
      <c r="F123">
        <v>0.01939255668045059</v>
      </c>
      <c r="G123">
        <v>-0.09319705200861905</v>
      </c>
      <c r="H123">
        <v>0.076</v>
      </c>
      <c r="I123">
        <v>4.617158713471348e-05</v>
      </c>
      <c r="J123" t="s">
        <v>775</v>
      </c>
      <c r="K123" t="s">
        <v>776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0.052932159066999</v>
      </c>
      <c r="R123" t="s">
        <v>779</v>
      </c>
      <c r="S123" t="s">
        <v>791</v>
      </c>
      <c r="T123">
        <v>2089.625884</v>
      </c>
      <c r="U123" s="2">
        <v>44502</v>
      </c>
      <c r="V123" t="s">
        <v>795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171.74</v>
      </c>
      <c r="D124">
        <v>102</v>
      </c>
      <c r="E124">
        <v>1.683725490196079</v>
      </c>
      <c r="F124">
        <v>0.006405030860603238</v>
      </c>
      <c r="G124">
        <v>-0.09895653202490717</v>
      </c>
      <c r="H124">
        <v>0.1</v>
      </c>
      <c r="I124">
        <v>-9.89623077136681e-05</v>
      </c>
      <c r="J124" t="s">
        <v>775</v>
      </c>
      <c r="K124" t="s">
        <v>366</v>
      </c>
      <c r="L124">
        <v>4.25</v>
      </c>
      <c r="M124">
        <v>1.1</v>
      </c>
      <c r="N124">
        <v>0.2588235294117647</v>
      </c>
      <c r="O124">
        <v>19</v>
      </c>
      <c r="P124">
        <v>0.09980608000232882</v>
      </c>
      <c r="Q124">
        <v>0.330867243998008</v>
      </c>
      <c r="R124" t="s">
        <v>779</v>
      </c>
      <c r="S124" t="s">
        <v>788</v>
      </c>
      <c r="T124">
        <v>269743.891649</v>
      </c>
      <c r="U124" s="2">
        <v>44464</v>
      </c>
      <c r="V124" t="s">
        <v>800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38.27</v>
      </c>
      <c r="D125">
        <v>34</v>
      </c>
      <c r="E125">
        <v>1.125588235294118</v>
      </c>
      <c r="F125">
        <v>0.03658217925267834</v>
      </c>
      <c r="G125">
        <v>-0.02338342462298393</v>
      </c>
      <c r="H125">
        <v>-0.02</v>
      </c>
      <c r="I125">
        <v>-0.0004854398448078667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0.298666325561981</v>
      </c>
      <c r="R125" t="s">
        <v>779</v>
      </c>
      <c r="S125" t="s">
        <v>790</v>
      </c>
      <c r="T125">
        <v>4984.658183</v>
      </c>
      <c r="U125" s="2">
        <v>44501</v>
      </c>
      <c r="V125" t="s">
        <v>799</v>
      </c>
    </row>
    <row r="126" spans="1:22">
      <c r="A126" s="1" t="s">
        <v>146</v>
      </c>
      <c r="B126">
        <f>HYPERLINK("https://www.suredividend.com/sure-analysis-TSCO/","Tractor Supply Co.")</f>
        <v>0</v>
      </c>
      <c r="C126">
        <v>226.33</v>
      </c>
      <c r="D126">
        <v>152</v>
      </c>
      <c r="E126">
        <v>1.489013157894737</v>
      </c>
      <c r="F126">
        <v>0.009190120620333142</v>
      </c>
      <c r="G126">
        <v>-0.07653531279774506</v>
      </c>
      <c r="H126">
        <v>0.065</v>
      </c>
      <c r="I126">
        <v>-0.00450404332307297</v>
      </c>
      <c r="J126" t="s">
        <v>775</v>
      </c>
      <c r="K126" t="s">
        <v>514</v>
      </c>
      <c r="L126">
        <v>8.01</v>
      </c>
      <c r="M126">
        <v>2.08</v>
      </c>
      <c r="N126">
        <v>0.2596754057428215</v>
      </c>
      <c r="O126">
        <v>11</v>
      </c>
      <c r="P126">
        <v>0.07599829696383686</v>
      </c>
      <c r="Q126">
        <v>0.744837009921532</v>
      </c>
      <c r="R126" t="s">
        <v>779</v>
      </c>
      <c r="S126" t="s">
        <v>788</v>
      </c>
      <c r="T126">
        <v>26072.72279</v>
      </c>
      <c r="U126" s="2">
        <v>44491</v>
      </c>
      <c r="V126" t="s">
        <v>804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82.75</v>
      </c>
      <c r="D127">
        <v>55</v>
      </c>
      <c r="E127">
        <v>1.504545454545455</v>
      </c>
      <c r="F127">
        <v>0.01353474320241692</v>
      </c>
      <c r="G127">
        <v>-0.07844992795361905</v>
      </c>
      <c r="H127">
        <v>0.06</v>
      </c>
      <c r="I127">
        <v>-0.004978679228177407</v>
      </c>
      <c r="J127" t="s">
        <v>775</v>
      </c>
      <c r="K127" t="s">
        <v>366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0.488112412718564</v>
      </c>
      <c r="R127" t="s">
        <v>779</v>
      </c>
      <c r="S127" t="s">
        <v>786</v>
      </c>
      <c r="T127">
        <v>13323.84424</v>
      </c>
      <c r="U127" s="2">
        <v>44510</v>
      </c>
      <c r="V127" t="s">
        <v>797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331.48</v>
      </c>
      <c r="D128">
        <v>222</v>
      </c>
      <c r="E128">
        <v>1.493153153153153</v>
      </c>
      <c r="F128">
        <v>0.01279111861952456</v>
      </c>
      <c r="G128">
        <v>-0.07704797107141736</v>
      </c>
      <c r="H128">
        <v>0.06</v>
      </c>
      <c r="I128">
        <v>-0.005055824583839019</v>
      </c>
      <c r="J128" t="s">
        <v>775</v>
      </c>
      <c r="K128" t="s">
        <v>366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0.322997395486702</v>
      </c>
      <c r="R128" t="s">
        <v>779</v>
      </c>
      <c r="S128" t="s">
        <v>787</v>
      </c>
      <c r="T128">
        <v>170665.348781</v>
      </c>
      <c r="U128" s="2">
        <v>44503</v>
      </c>
      <c r="V128" t="s">
        <v>797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74.05</v>
      </c>
      <c r="D129">
        <v>52.2</v>
      </c>
      <c r="E129">
        <v>1.418582375478927</v>
      </c>
      <c r="F129">
        <v>0.02093180283592167</v>
      </c>
      <c r="G129">
        <v>-0.06754241072160416</v>
      </c>
      <c r="H129">
        <v>0.038</v>
      </c>
      <c r="I129">
        <v>-0.007461680774114909</v>
      </c>
      <c r="J129" t="s">
        <v>775</v>
      </c>
      <c r="K129" t="s">
        <v>776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0.08259950565603801</v>
      </c>
      <c r="R129" t="s">
        <v>779</v>
      </c>
      <c r="S129" t="s">
        <v>791</v>
      </c>
      <c r="T129">
        <v>2843.164149</v>
      </c>
      <c r="U129" s="2">
        <v>44420</v>
      </c>
      <c r="V129" t="s">
        <v>804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339.12</v>
      </c>
      <c r="D130">
        <v>216</v>
      </c>
      <c r="E130">
        <v>1.57</v>
      </c>
      <c r="F130">
        <v>0.007313045529606039</v>
      </c>
      <c r="G130">
        <v>-0.0862654019980631</v>
      </c>
      <c r="H130">
        <v>0.07000000000000001</v>
      </c>
      <c r="I130">
        <v>-0.01207114879037685</v>
      </c>
      <c r="J130" t="s">
        <v>775</v>
      </c>
      <c r="K130" t="s">
        <v>366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0.5772471315269311</v>
      </c>
      <c r="R130" t="s">
        <v>779</v>
      </c>
      <c r="S130" t="s">
        <v>785</v>
      </c>
      <c r="T130">
        <v>2544379.492667</v>
      </c>
      <c r="U130" s="2">
        <v>44497</v>
      </c>
      <c r="V130" t="s">
        <v>800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83.73999999999999</v>
      </c>
      <c r="D131">
        <v>77</v>
      </c>
      <c r="E131">
        <v>1.087532467532468</v>
      </c>
      <c r="F131">
        <v>0.02722713159780272</v>
      </c>
      <c r="G131">
        <v>-0.0166422299702651</v>
      </c>
      <c r="H131">
        <v>-0.04</v>
      </c>
      <c r="I131">
        <v>-0.02117250206091514</v>
      </c>
      <c r="J131" t="s">
        <v>775</v>
      </c>
      <c r="K131" t="s">
        <v>775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0.268660772519747</v>
      </c>
      <c r="R131" t="s">
        <v>779</v>
      </c>
      <c r="S131" t="s">
        <v>790</v>
      </c>
      <c r="T131">
        <v>1231.812156</v>
      </c>
      <c r="U131" s="2">
        <v>44499</v>
      </c>
      <c r="V131" t="s">
        <v>799</v>
      </c>
    </row>
    <row r="132" spans="1:22">
      <c r="A132" s="1" t="s">
        <v>152</v>
      </c>
      <c r="B132">
        <f>HYPERLINK("https://www.suredividend.com/sure-analysis-ECL/","Ecolab, Inc.")</f>
        <v>0</v>
      </c>
      <c r="C132">
        <v>232.39</v>
      </c>
      <c r="D132">
        <v>106</v>
      </c>
      <c r="E132">
        <v>2.192358490566038</v>
      </c>
      <c r="F132">
        <v>0.008261973406773097</v>
      </c>
      <c r="G132">
        <v>-0.1452921634982675</v>
      </c>
      <c r="H132">
        <v>0.13</v>
      </c>
      <c r="I132">
        <v>-0.02198250175017302</v>
      </c>
      <c r="J132" t="s">
        <v>775</v>
      </c>
      <c r="K132" t="s">
        <v>366</v>
      </c>
      <c r="L132">
        <v>5.3</v>
      </c>
      <c r="M132">
        <v>1.92</v>
      </c>
      <c r="N132">
        <v>0.3622641509433962</v>
      </c>
      <c r="O132">
        <v>35</v>
      </c>
      <c r="P132">
        <v>0.09336207394327811</v>
      </c>
      <c r="Q132">
        <v>0.103608629545299</v>
      </c>
      <c r="R132" t="s">
        <v>779</v>
      </c>
      <c r="S132" t="s">
        <v>787</v>
      </c>
      <c r="T132">
        <v>66893.406473</v>
      </c>
      <c r="U132" s="2">
        <v>44496</v>
      </c>
      <c r="V132" t="s">
        <v>802</v>
      </c>
    </row>
    <row r="133" spans="1:22">
      <c r="A133" s="1" t="s">
        <v>153</v>
      </c>
      <c r="B133">
        <f>HYPERLINK("https://www.suredividend.com/sure-analysis-AMAT/","Applied Materials Inc.")</f>
        <v>0</v>
      </c>
      <c r="C133">
        <v>155.98</v>
      </c>
      <c r="D133">
        <v>103</v>
      </c>
      <c r="E133">
        <v>1.514368932038835</v>
      </c>
      <c r="F133">
        <v>0.006154635209642262</v>
      </c>
      <c r="G133">
        <v>-0.07964863293975188</v>
      </c>
      <c r="H133">
        <v>0.05</v>
      </c>
      <c r="I133">
        <v>-0.02431836392976772</v>
      </c>
      <c r="J133" t="s">
        <v>775</v>
      </c>
      <c r="K133" t="s">
        <v>514</v>
      </c>
      <c r="L133">
        <v>6.85</v>
      </c>
      <c r="M133">
        <v>0.96</v>
      </c>
      <c r="N133">
        <v>0.1401459854014599</v>
      </c>
      <c r="O133">
        <v>4</v>
      </c>
      <c r="P133">
        <v>0.1005558662160053</v>
      </c>
      <c r="Q133">
        <v>1.137445924080455</v>
      </c>
      <c r="R133" t="s">
        <v>779</v>
      </c>
      <c r="S133" t="s">
        <v>785</v>
      </c>
      <c r="T133">
        <v>142536.29301</v>
      </c>
      <c r="U133" s="2">
        <v>44430</v>
      </c>
      <c r="V133" t="s">
        <v>799</v>
      </c>
    </row>
    <row r="134" spans="1:22">
      <c r="A134" s="1" t="s">
        <v>154</v>
      </c>
      <c r="B134">
        <f>HYPERLINK("https://www.suredividend.com/sure-analysis-BF.B/","Brown-Forman Corp.")</f>
        <v>0</v>
      </c>
      <c r="C134">
        <v>72.29000000000001</v>
      </c>
      <c r="D134">
        <v>42</v>
      </c>
      <c r="E134">
        <v>1.721190476190476</v>
      </c>
      <c r="F134">
        <v>0.009959883801355649</v>
      </c>
      <c r="G134">
        <v>-0.1029137231287639</v>
      </c>
      <c r="H134">
        <v>0.07000000000000001</v>
      </c>
      <c r="I134">
        <v>-0.02651959581429764</v>
      </c>
      <c r="J134" t="s">
        <v>775</v>
      </c>
      <c r="K134" t="s">
        <v>366</v>
      </c>
      <c r="L134">
        <v>1.75</v>
      </c>
      <c r="M134">
        <v>0.72</v>
      </c>
      <c r="N134">
        <v>0.4114285714285714</v>
      </c>
      <c r="O134">
        <v>31</v>
      </c>
      <c r="P134">
        <v>0.05922384104881218</v>
      </c>
      <c r="Q134">
        <v>-0.106382396715485</v>
      </c>
      <c r="R134" t="s">
        <v>779</v>
      </c>
      <c r="S134" t="s">
        <v>789</v>
      </c>
      <c r="T134">
        <v>33581.300293</v>
      </c>
      <c r="U134" s="2">
        <v>44453</v>
      </c>
      <c r="V134" t="s">
        <v>797</v>
      </c>
    </row>
    <row r="135" spans="1:22">
      <c r="A135" s="1" t="s">
        <v>155</v>
      </c>
      <c r="B135">
        <f>HYPERLINK("https://www.suredividend.com/sure-analysis-CWT/","California Water Service Group")</f>
        <v>0</v>
      </c>
      <c r="C135">
        <v>64.72</v>
      </c>
      <c r="D135">
        <v>40</v>
      </c>
      <c r="E135">
        <v>1.618</v>
      </c>
      <c r="F135">
        <v>0.0142150803461063</v>
      </c>
      <c r="G135">
        <v>-0.09175232134455746</v>
      </c>
      <c r="H135">
        <v>0.05</v>
      </c>
      <c r="I135">
        <v>-0.0266442249847535</v>
      </c>
      <c r="J135" t="s">
        <v>775</v>
      </c>
      <c r="K135" t="s">
        <v>776</v>
      </c>
      <c r="L135">
        <v>2.02</v>
      </c>
      <c r="M135">
        <v>0.92</v>
      </c>
      <c r="N135">
        <v>0.4554455445544555</v>
      </c>
      <c r="O135">
        <v>53</v>
      </c>
      <c r="P135">
        <v>0.05979888147511248</v>
      </c>
      <c r="Q135">
        <v>0.20169915023516</v>
      </c>
      <c r="R135" t="s">
        <v>779</v>
      </c>
      <c r="S135" t="s">
        <v>791</v>
      </c>
      <c r="T135">
        <v>3332.19072</v>
      </c>
      <c r="U135" s="2">
        <v>44504</v>
      </c>
      <c r="V135" t="s">
        <v>797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444.55</v>
      </c>
      <c r="D136">
        <v>271</v>
      </c>
      <c r="E136">
        <v>1.640405904059041</v>
      </c>
      <c r="F136">
        <v>0.008547969857158924</v>
      </c>
      <c r="G136">
        <v>-0.0942470957356295</v>
      </c>
      <c r="H136">
        <v>0.06</v>
      </c>
      <c r="I136">
        <v>-0.02675496197613048</v>
      </c>
      <c r="J136" t="s">
        <v>775</v>
      </c>
      <c r="K136" t="s">
        <v>366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0.213428148686618</v>
      </c>
      <c r="R136" t="s">
        <v>779</v>
      </c>
      <c r="S136" t="s">
        <v>786</v>
      </c>
      <c r="T136">
        <v>45845.7701</v>
      </c>
      <c r="U136" s="2">
        <v>44491</v>
      </c>
      <c r="V136" t="s">
        <v>799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332.61</v>
      </c>
      <c r="D137">
        <v>186</v>
      </c>
      <c r="E137">
        <v>1.788225806451613</v>
      </c>
      <c r="F137">
        <v>0.006614353146327531</v>
      </c>
      <c r="G137">
        <v>-0.1097427310110446</v>
      </c>
      <c r="H137">
        <v>0.08</v>
      </c>
      <c r="I137">
        <v>-0.02774711721943368</v>
      </c>
      <c r="J137" t="s">
        <v>775</v>
      </c>
      <c r="K137" t="s">
        <v>366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0.39712826276111</v>
      </c>
      <c r="R137" t="s">
        <v>779</v>
      </c>
      <c r="S137" t="s">
        <v>787</v>
      </c>
      <c r="T137">
        <v>88790.119813</v>
      </c>
      <c r="U137" s="2">
        <v>44495</v>
      </c>
      <c r="V137" t="s">
        <v>800</v>
      </c>
    </row>
    <row r="138" spans="1:22">
      <c r="A138" s="1" t="s">
        <v>158</v>
      </c>
      <c r="B138">
        <f>HYPERLINK("https://www.suredividend.com/sure-analysis-ATR/","Aptargroup Inc.")</f>
        <v>0</v>
      </c>
      <c r="C138">
        <v>134.45</v>
      </c>
      <c r="D138">
        <v>77</v>
      </c>
      <c r="E138">
        <v>1.746103896103896</v>
      </c>
      <c r="F138">
        <v>0.01115656377835627</v>
      </c>
      <c r="G138">
        <v>-0.1054883858608254</v>
      </c>
      <c r="H138">
        <v>0.07000000000000001</v>
      </c>
      <c r="I138">
        <v>-0.02794182921263233</v>
      </c>
      <c r="J138" t="s">
        <v>775</v>
      </c>
      <c r="K138" t="s">
        <v>366</v>
      </c>
      <c r="L138">
        <v>3.87</v>
      </c>
      <c r="M138">
        <v>1.5</v>
      </c>
      <c r="N138">
        <v>0.3875968992248062</v>
      </c>
      <c r="O138">
        <v>28</v>
      </c>
      <c r="P138">
        <v>0.04951444805329408</v>
      </c>
      <c r="Q138">
        <v>0.06989036492952901</v>
      </c>
      <c r="R138" t="s">
        <v>779</v>
      </c>
      <c r="S138" t="s">
        <v>788</v>
      </c>
      <c r="T138">
        <v>8836.630708999999</v>
      </c>
      <c r="U138" s="2">
        <v>44507</v>
      </c>
      <c r="V138" t="s">
        <v>796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154.62</v>
      </c>
      <c r="D139">
        <v>92</v>
      </c>
      <c r="E139">
        <v>1.680652173913044</v>
      </c>
      <c r="F139">
        <v>0.01138274479368775</v>
      </c>
      <c r="G139">
        <v>-0.09862723506781101</v>
      </c>
      <c r="H139">
        <v>0.06</v>
      </c>
      <c r="I139">
        <v>-0.0282519344054647</v>
      </c>
      <c r="J139" t="s">
        <v>775</v>
      </c>
      <c r="K139" t="s">
        <v>366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0.113647155043317</v>
      </c>
      <c r="R139" t="s">
        <v>779</v>
      </c>
      <c r="S139" t="s">
        <v>786</v>
      </c>
      <c r="T139">
        <v>6096.752411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HYPERLINK("https://www.suredividend.com/sure-analysis-EBAY/","EBay Inc.")</f>
        <v>0</v>
      </c>
      <c r="C140">
        <v>73.38</v>
      </c>
      <c r="D140">
        <v>47.5</v>
      </c>
      <c r="E140">
        <v>1.544842105263158</v>
      </c>
      <c r="F140">
        <v>0.009811937857726901</v>
      </c>
      <c r="G140">
        <v>-0.08330855053703345</v>
      </c>
      <c r="H140">
        <v>0.037</v>
      </c>
      <c r="I140">
        <v>-0.03486962595214926</v>
      </c>
      <c r="J140" t="s">
        <v>775</v>
      </c>
      <c r="K140" t="s">
        <v>514</v>
      </c>
      <c r="L140">
        <v>3.96</v>
      </c>
      <c r="M140">
        <v>0.72</v>
      </c>
      <c r="N140">
        <v>0.1818181818181818</v>
      </c>
      <c r="O140">
        <v>2</v>
      </c>
      <c r="P140">
        <v>0.07423907511540473</v>
      </c>
      <c r="Q140">
        <v>0.581430434981933</v>
      </c>
      <c r="R140" t="s">
        <v>779</v>
      </c>
      <c r="S140" t="s">
        <v>788</v>
      </c>
      <c r="T140">
        <v>49332.735041</v>
      </c>
      <c r="U140" s="2">
        <v>44504</v>
      </c>
      <c r="V140" t="s">
        <v>804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269.33</v>
      </c>
      <c r="D141">
        <v>165</v>
      </c>
      <c r="E141">
        <v>1.63230303030303</v>
      </c>
      <c r="F141">
        <v>0.007574351167712472</v>
      </c>
      <c r="G141">
        <v>-0.09334963103466065</v>
      </c>
      <c r="H141">
        <v>0.05</v>
      </c>
      <c r="I141">
        <v>-0.03660177147514365</v>
      </c>
      <c r="J141" t="s">
        <v>775</v>
      </c>
      <c r="K141" t="s">
        <v>366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0.30549893897743</v>
      </c>
      <c r="R141" t="s">
        <v>779</v>
      </c>
      <c r="S141" t="s">
        <v>786</v>
      </c>
      <c r="T141">
        <v>15563.077293</v>
      </c>
      <c r="U141" s="2">
        <v>44439</v>
      </c>
      <c r="V141" t="s">
        <v>800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320.07</v>
      </c>
      <c r="D142">
        <v>174</v>
      </c>
      <c r="E142">
        <v>1.83948275862069</v>
      </c>
      <c r="F142">
        <v>0.003936638860249321</v>
      </c>
      <c r="G142">
        <v>-0.114760354302601</v>
      </c>
      <c r="H142">
        <v>0.07000000000000001</v>
      </c>
      <c r="I142">
        <v>-0.04667881317889111</v>
      </c>
      <c r="J142" t="s">
        <v>775</v>
      </c>
      <c r="K142" t="s">
        <v>514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0.57255332730256</v>
      </c>
      <c r="R142" t="s">
        <v>779</v>
      </c>
      <c r="S142" t="s">
        <v>790</v>
      </c>
      <c r="T142">
        <v>13844.427126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94.06</v>
      </c>
      <c r="D143">
        <v>60.8</v>
      </c>
      <c r="E143">
        <v>1.547039473684211</v>
      </c>
      <c r="F143">
        <v>0.01552200722942802</v>
      </c>
      <c r="G143">
        <v>-0.08356910681616914</v>
      </c>
      <c r="H143">
        <v>0.015</v>
      </c>
      <c r="I143">
        <v>-0.04887515980872592</v>
      </c>
      <c r="J143" t="s">
        <v>775</v>
      </c>
      <c r="K143" t="s">
        <v>776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0.184962892830486</v>
      </c>
      <c r="R143" t="s">
        <v>779</v>
      </c>
      <c r="S143" t="s">
        <v>791</v>
      </c>
      <c r="T143">
        <v>3406.586557</v>
      </c>
      <c r="U143" s="2">
        <v>44506</v>
      </c>
      <c r="V143" t="s">
        <v>804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221.87</v>
      </c>
      <c r="D144">
        <v>92</v>
      </c>
      <c r="E144">
        <v>2.411630434782609</v>
      </c>
      <c r="F144">
        <v>0.004507143822959391</v>
      </c>
      <c r="G144">
        <v>-0.1614328433754157</v>
      </c>
      <c r="H144">
        <v>0.12</v>
      </c>
      <c r="I144">
        <v>-0.05199272409973044</v>
      </c>
      <c r="J144" t="s">
        <v>775</v>
      </c>
      <c r="K144" t="s">
        <v>514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0.337350202564398</v>
      </c>
      <c r="R144" t="s">
        <v>779</v>
      </c>
      <c r="S144" t="s">
        <v>784</v>
      </c>
      <c r="T144">
        <v>104172.843488</v>
      </c>
      <c r="U144" s="2">
        <v>44509</v>
      </c>
      <c r="V144" t="s">
        <v>805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111.18</v>
      </c>
      <c r="D145">
        <v>67</v>
      </c>
      <c r="E145">
        <v>1.659402985074627</v>
      </c>
      <c r="F145">
        <v>0.008994423457456376</v>
      </c>
      <c r="G145">
        <v>-0.09633049570284868</v>
      </c>
      <c r="H145">
        <v>0.03</v>
      </c>
      <c r="I145">
        <v>-0.05568899845307362</v>
      </c>
      <c r="J145" t="s">
        <v>775</v>
      </c>
      <c r="K145" t="s">
        <v>366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0.06626346611849701</v>
      </c>
      <c r="R145" t="s">
        <v>779</v>
      </c>
      <c r="S145" t="s">
        <v>790</v>
      </c>
      <c r="T145">
        <v>5031.641401</v>
      </c>
      <c r="U145" s="2">
        <v>44505</v>
      </c>
      <c r="V145" t="s">
        <v>797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444.66</v>
      </c>
      <c r="D146">
        <v>211</v>
      </c>
      <c r="E146">
        <v>2.10739336492891</v>
      </c>
      <c r="F146">
        <v>0.001619214680879773</v>
      </c>
      <c r="G146">
        <v>-0.1385087349875626</v>
      </c>
      <c r="H146">
        <v>0.09</v>
      </c>
      <c r="I146">
        <v>-0.0585044466254101</v>
      </c>
      <c r="J146" t="s">
        <v>775</v>
      </c>
      <c r="K146" t="s">
        <v>366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0.51660279328172</v>
      </c>
      <c r="R146" t="s">
        <v>779</v>
      </c>
      <c r="S146" t="s">
        <v>784</v>
      </c>
      <c r="T146">
        <v>32760.272364</v>
      </c>
      <c r="U146" s="2">
        <v>44502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109.11</v>
      </c>
      <c r="D147">
        <v>60</v>
      </c>
      <c r="E147">
        <v>1.8185</v>
      </c>
      <c r="F147">
        <v>0.01484740170470168</v>
      </c>
      <c r="G147">
        <v>-0.1127268510202972</v>
      </c>
      <c r="H147">
        <v>0.037</v>
      </c>
      <c r="I147">
        <v>-0.05880917046771561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1.101109054519736</v>
      </c>
      <c r="R147" t="s">
        <v>779</v>
      </c>
      <c r="S147" t="s">
        <v>787</v>
      </c>
      <c r="T147">
        <v>31923.734226</v>
      </c>
      <c r="U147" s="2">
        <v>44491</v>
      </c>
      <c r="V147" t="s">
        <v>804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59.36</v>
      </c>
      <c r="D148">
        <v>26</v>
      </c>
      <c r="E148">
        <v>2.283076923076923</v>
      </c>
      <c r="F148">
        <v>0.00876010781671159</v>
      </c>
      <c r="G148">
        <v>-0.1521951608318997</v>
      </c>
      <c r="H148">
        <v>0.07000000000000001</v>
      </c>
      <c r="I148">
        <v>-0.07783783905132324</v>
      </c>
      <c r="J148" t="s">
        <v>775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0.518141368139708</v>
      </c>
      <c r="R148" t="s">
        <v>779</v>
      </c>
      <c r="S148" t="s">
        <v>790</v>
      </c>
      <c r="T148">
        <v>97550.86511899999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108.23</v>
      </c>
      <c r="D149">
        <v>51</v>
      </c>
      <c r="E149">
        <v>2.122156862745098</v>
      </c>
      <c r="F149">
        <v>0.00739166589670147</v>
      </c>
      <c r="G149">
        <v>-0.1397107352396599</v>
      </c>
      <c r="H149">
        <v>0.05</v>
      </c>
      <c r="I149">
        <v>-0.08252125935413035</v>
      </c>
      <c r="J149" t="s">
        <v>775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0.373228672701411</v>
      </c>
      <c r="R149" t="s">
        <v>779</v>
      </c>
      <c r="S149" t="s">
        <v>786</v>
      </c>
      <c r="T149">
        <v>3179.750976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107.43</v>
      </c>
      <c r="D150">
        <v>48.6</v>
      </c>
      <c r="E150">
        <v>2.210493827160494</v>
      </c>
      <c r="F150">
        <v>0.010797728753607</v>
      </c>
      <c r="G150">
        <v>-0.1466992276904516</v>
      </c>
      <c r="H150">
        <v>0.045</v>
      </c>
      <c r="I150">
        <v>-0.09151411934915687</v>
      </c>
      <c r="J150" t="s">
        <v>775</v>
      </c>
      <c r="K150" t="s">
        <v>366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0.4916265224185861</v>
      </c>
      <c r="R150" t="s">
        <v>779</v>
      </c>
      <c r="S150" t="s">
        <v>791</v>
      </c>
      <c r="T150">
        <v>1860.457605</v>
      </c>
      <c r="U150" s="2">
        <v>44506</v>
      </c>
      <c r="V150" t="s">
        <v>804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273.39</v>
      </c>
      <c r="D151">
        <v>97</v>
      </c>
      <c r="E151">
        <v>2.818453608247423</v>
      </c>
      <c r="F151">
        <v>0.005706134094151213</v>
      </c>
      <c r="G151">
        <v>-0.1871735604674714</v>
      </c>
      <c r="H151">
        <v>0.1</v>
      </c>
      <c r="I151">
        <v>-0.09453508098497487</v>
      </c>
      <c r="J151" t="s">
        <v>775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1.132962796250269</v>
      </c>
      <c r="R151" t="s">
        <v>779</v>
      </c>
      <c r="S151" t="s">
        <v>787</v>
      </c>
      <c r="T151">
        <v>31872.537365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216.98</v>
      </c>
      <c r="D152">
        <v>265</v>
      </c>
      <c r="E152">
        <v>0.8187924528301886</v>
      </c>
      <c r="F152">
        <v>0.01843487879067195</v>
      </c>
      <c r="G152">
        <v>0.04079508775014795</v>
      </c>
      <c r="H152">
        <v>0.15</v>
      </c>
      <c r="I152">
        <v>0.2057648011275417</v>
      </c>
      <c r="J152" t="s">
        <v>776</v>
      </c>
      <c r="K152" t="s">
        <v>366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0.005749714454095001</v>
      </c>
      <c r="R152" t="s">
        <v>779</v>
      </c>
      <c r="S152" t="s">
        <v>790</v>
      </c>
      <c r="T152">
        <v>72171.71228399999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24.66</v>
      </c>
      <c r="D153">
        <v>36</v>
      </c>
      <c r="E153">
        <v>0.6850000000000001</v>
      </c>
      <c r="F153">
        <v>0.08434712084347121</v>
      </c>
      <c r="G153">
        <v>0.07860365022909654</v>
      </c>
      <c r="H153">
        <v>0.03</v>
      </c>
      <c r="I153">
        <v>0.1641453624392162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-0.10179967874587</v>
      </c>
      <c r="R153" t="s">
        <v>779</v>
      </c>
      <c r="S153" t="s">
        <v>783</v>
      </c>
      <c r="T153">
        <v>176072.4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299.44</v>
      </c>
      <c r="D154">
        <v>413</v>
      </c>
      <c r="E154">
        <v>0.7250363196125907</v>
      </c>
      <c r="F154">
        <v>0.004675394068928667</v>
      </c>
      <c r="G154">
        <v>0.06641942570931514</v>
      </c>
      <c r="H154">
        <v>0.08</v>
      </c>
      <c r="I154">
        <v>0.1552751976863727</v>
      </c>
      <c r="J154" t="s">
        <v>776</v>
      </c>
      <c r="K154" t="s">
        <v>514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0.261163822610604</v>
      </c>
      <c r="R154" t="s">
        <v>779</v>
      </c>
      <c r="S154" t="s">
        <v>788</v>
      </c>
      <c r="T154">
        <v>10119.126491</v>
      </c>
      <c r="U154" s="2">
        <v>44493</v>
      </c>
      <c r="V154" t="s">
        <v>801</v>
      </c>
    </row>
    <row r="155" spans="1:22">
      <c r="A155" s="1" t="s">
        <v>175</v>
      </c>
      <c r="B155">
        <f>HYPERLINK("https://www.suredividend.com/sure-analysis-WU/","Western Union Company")</f>
        <v>0</v>
      </c>
      <c r="C155">
        <v>17.09</v>
      </c>
      <c r="D155">
        <v>25</v>
      </c>
      <c r="E155">
        <v>0.6836</v>
      </c>
      <c r="F155">
        <v>0.05500292568753657</v>
      </c>
      <c r="G155">
        <v>0.0790450807763563</v>
      </c>
      <c r="H155">
        <v>0.02</v>
      </c>
      <c r="I155">
        <v>0.1398701390168147</v>
      </c>
      <c r="J155" t="s">
        <v>776</v>
      </c>
      <c r="K155" t="s">
        <v>775</v>
      </c>
      <c r="L155">
        <v>2.05</v>
      </c>
      <c r="M155">
        <v>0.9399999999999999</v>
      </c>
      <c r="N155">
        <v>0.4585365853658537</v>
      </c>
      <c r="O155">
        <v>7</v>
      </c>
      <c r="P155">
        <v>0.03933463380769542</v>
      </c>
      <c r="Q155">
        <v>-0.167502507522567</v>
      </c>
      <c r="R155" t="s">
        <v>779</v>
      </c>
      <c r="S155" t="s">
        <v>790</v>
      </c>
      <c r="T155">
        <v>7006.975875</v>
      </c>
      <c r="U155" s="2">
        <v>44425</v>
      </c>
      <c r="V155" t="s">
        <v>798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51.73</v>
      </c>
      <c r="D156">
        <v>70</v>
      </c>
      <c r="E156">
        <v>0.739</v>
      </c>
      <c r="F156">
        <v>0.04948772472453122</v>
      </c>
      <c r="G156">
        <v>0.06235853732035102</v>
      </c>
      <c r="H156">
        <v>0.04</v>
      </c>
      <c r="I156">
        <v>0.1380779494035975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-0.097153936467801</v>
      </c>
      <c r="R156" t="s">
        <v>779</v>
      </c>
      <c r="S156" t="s">
        <v>783</v>
      </c>
      <c r="T156">
        <v>215536.932426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205.82</v>
      </c>
      <c r="D157">
        <v>225</v>
      </c>
      <c r="E157">
        <v>0.9147555555555555</v>
      </c>
      <c r="F157">
        <v>0.03420464483529297</v>
      </c>
      <c r="G157">
        <v>0.01797939815958971</v>
      </c>
      <c r="H157">
        <v>0.09</v>
      </c>
      <c r="I157">
        <v>0.137585277355309</v>
      </c>
      <c r="J157" t="s">
        <v>776</v>
      </c>
      <c r="K157" t="s">
        <v>776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-0.105281362199215</v>
      </c>
      <c r="R157" t="s">
        <v>779</v>
      </c>
      <c r="S157" t="s">
        <v>784</v>
      </c>
      <c r="T157">
        <v>115689.183612</v>
      </c>
      <c r="U157" s="2">
        <v>44503</v>
      </c>
      <c r="V157" t="s">
        <v>795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46.2</v>
      </c>
      <c r="D158">
        <v>60</v>
      </c>
      <c r="E158">
        <v>0.77</v>
      </c>
      <c r="F158">
        <v>0.04069264069264069</v>
      </c>
      <c r="G158">
        <v>0.05366330364357852</v>
      </c>
      <c r="H158">
        <v>0.05</v>
      </c>
      <c r="I158">
        <v>0.1354017501202052</v>
      </c>
      <c r="J158" t="s">
        <v>776</v>
      </c>
      <c r="K158" t="s">
        <v>775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0.300743242308064</v>
      </c>
      <c r="R158" t="s">
        <v>780</v>
      </c>
      <c r="S158" t="s">
        <v>790</v>
      </c>
      <c r="T158">
        <v>5298.878616</v>
      </c>
      <c r="U158" s="2">
        <v>44508</v>
      </c>
      <c r="V158" t="s">
        <v>798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53.73</v>
      </c>
      <c r="D159">
        <v>61</v>
      </c>
      <c r="E159">
        <v>0.8808196721311475</v>
      </c>
      <c r="F159">
        <v>0.01861157640052112</v>
      </c>
      <c r="G159">
        <v>0.02570529832374335</v>
      </c>
      <c r="H159">
        <v>0.09</v>
      </c>
      <c r="I159">
        <v>0.1331535125500571</v>
      </c>
      <c r="J159" t="s">
        <v>776</v>
      </c>
      <c r="K159" t="s">
        <v>366</v>
      </c>
      <c r="L159">
        <v>3.07</v>
      </c>
      <c r="M159">
        <v>1</v>
      </c>
      <c r="N159">
        <v>0.3257328990228013</v>
      </c>
      <c r="O159">
        <v>13</v>
      </c>
      <c r="P159">
        <v>0.09019489529987834</v>
      </c>
      <c r="Q159">
        <v>0.08689202488884501</v>
      </c>
      <c r="R159" t="s">
        <v>779</v>
      </c>
      <c r="S159" t="s">
        <v>783</v>
      </c>
      <c r="T159">
        <v>242199.50695</v>
      </c>
      <c r="U159" s="2">
        <v>44506</v>
      </c>
      <c r="V159" t="s">
        <v>803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32.09</v>
      </c>
      <c r="D160">
        <v>59</v>
      </c>
      <c r="E160">
        <v>0.5438983050847458</v>
      </c>
      <c r="F160">
        <v>0.02461826114054222</v>
      </c>
      <c r="G160">
        <v>0.1295265896814379</v>
      </c>
      <c r="H160">
        <v>-0.02</v>
      </c>
      <c r="I160">
        <v>0.1253597109926763</v>
      </c>
      <c r="J160" t="s">
        <v>776</v>
      </c>
      <c r="K160" t="s">
        <v>776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0.398912484829638</v>
      </c>
      <c r="R160" t="s">
        <v>779</v>
      </c>
      <c r="S160" t="s">
        <v>792</v>
      </c>
      <c r="T160">
        <v>181.615556</v>
      </c>
      <c r="U160" s="2">
        <v>44506</v>
      </c>
      <c r="V160" t="s">
        <v>795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14.97</v>
      </c>
      <c r="D161">
        <v>16</v>
      </c>
      <c r="E161">
        <v>0.935625</v>
      </c>
      <c r="F161">
        <v>0.04676018704074816</v>
      </c>
      <c r="G161">
        <v>0.01339705172167172</v>
      </c>
      <c r="H161">
        <v>0.07000000000000001</v>
      </c>
      <c r="I161">
        <v>0.1230481276850302</v>
      </c>
      <c r="J161" t="s">
        <v>776</v>
      </c>
      <c r="K161" t="s">
        <v>775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-0.339827319017046</v>
      </c>
      <c r="R161" t="s">
        <v>779</v>
      </c>
      <c r="S161" t="s">
        <v>790</v>
      </c>
      <c r="T161">
        <v>55521.685879</v>
      </c>
      <c r="U161" s="2">
        <v>44517</v>
      </c>
      <c r="V161" t="s">
        <v>794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35.89</v>
      </c>
      <c r="D162">
        <v>41</v>
      </c>
      <c r="E162">
        <v>0.8753658536585366</v>
      </c>
      <c r="F162">
        <v>0.03009194761772082</v>
      </c>
      <c r="G162">
        <v>0.02698022156977919</v>
      </c>
      <c r="H162">
        <v>0.07000000000000001</v>
      </c>
      <c r="I162">
        <v>0.1228324590798455</v>
      </c>
      <c r="J162" t="s">
        <v>776</v>
      </c>
      <c r="K162" t="s">
        <v>776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0.7191688525926601</v>
      </c>
      <c r="R162" t="s">
        <v>779</v>
      </c>
      <c r="S162" t="s">
        <v>783</v>
      </c>
      <c r="T162">
        <v>14116.126071</v>
      </c>
      <c r="U162" s="2">
        <v>44494</v>
      </c>
      <c r="V162" t="s">
        <v>794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69.14</v>
      </c>
      <c r="D163">
        <v>87</v>
      </c>
      <c r="E163">
        <v>0.794712643678161</v>
      </c>
      <c r="F163">
        <v>0.0404975412207116</v>
      </c>
      <c r="G163">
        <v>0.04702722753020461</v>
      </c>
      <c r="H163">
        <v>0.04</v>
      </c>
      <c r="I163">
        <v>0.1208965515724847</v>
      </c>
      <c r="J163" t="s">
        <v>776</v>
      </c>
      <c r="K163" t="s">
        <v>775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0.141852431595389</v>
      </c>
      <c r="R163" t="s">
        <v>779</v>
      </c>
      <c r="S163" t="s">
        <v>783</v>
      </c>
      <c r="T163">
        <v>14466.733007</v>
      </c>
      <c r="U163" s="2">
        <v>44491</v>
      </c>
      <c r="V163" t="s">
        <v>797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50.23</v>
      </c>
      <c r="D164">
        <v>63</v>
      </c>
      <c r="E164">
        <v>0.7973015873015873</v>
      </c>
      <c r="F164">
        <v>0.02767270555444953</v>
      </c>
      <c r="G164">
        <v>0.04634637547224263</v>
      </c>
      <c r="H164">
        <v>0.05</v>
      </c>
      <c r="I164">
        <v>0.1198395704557531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0.124062171010256</v>
      </c>
      <c r="R164" t="s">
        <v>779</v>
      </c>
      <c r="S164" t="s">
        <v>785</v>
      </c>
      <c r="T164">
        <v>205830.87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HYPERLINK("https://www.suredividend.com/sure-analysis-SAP/","Sap SE")</f>
        <v>0</v>
      </c>
      <c r="C165">
        <v>141.97</v>
      </c>
      <c r="D165">
        <v>160</v>
      </c>
      <c r="E165">
        <v>0.8873124999999999</v>
      </c>
      <c r="F165">
        <v>0.01591885609635839</v>
      </c>
      <c r="G165">
        <v>0.02419978437044024</v>
      </c>
      <c r="H165">
        <v>0.08</v>
      </c>
      <c r="I165">
        <v>0.1194866607766625</v>
      </c>
      <c r="J165" t="s">
        <v>776</v>
      </c>
      <c r="K165" t="s">
        <v>366</v>
      </c>
      <c r="L165">
        <v>7.6</v>
      </c>
      <c r="M165">
        <v>2.26</v>
      </c>
      <c r="N165">
        <v>0.2973684210526316</v>
      </c>
      <c r="O165">
        <v>6</v>
      </c>
      <c r="P165">
        <v>0.08511082395204883</v>
      </c>
      <c r="Q165">
        <v>0.215602366605029</v>
      </c>
      <c r="R165" t="s">
        <v>779</v>
      </c>
      <c r="S165" t="s">
        <v>785</v>
      </c>
      <c r="T165">
        <v>174766.678587</v>
      </c>
      <c r="U165" s="2">
        <v>44507</v>
      </c>
      <c r="V165" t="s">
        <v>797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124.24</v>
      </c>
      <c r="D166">
        <v>151</v>
      </c>
      <c r="E166">
        <v>0.8227814569536424</v>
      </c>
      <c r="F166">
        <v>0.03541532517707663</v>
      </c>
      <c r="G166">
        <v>0.03978392962777866</v>
      </c>
      <c r="H166">
        <v>0.05</v>
      </c>
      <c r="I166">
        <v>0.1192889812263092</v>
      </c>
      <c r="J166" t="s">
        <v>776</v>
      </c>
      <c r="K166" t="s">
        <v>776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-0.04605437490063</v>
      </c>
      <c r="R166" t="s">
        <v>779</v>
      </c>
      <c r="S166" t="s">
        <v>791</v>
      </c>
      <c r="T166">
        <v>40235.369706</v>
      </c>
      <c r="U166" s="2">
        <v>44516</v>
      </c>
      <c r="V166" t="s">
        <v>802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61.9</v>
      </c>
      <c r="D167">
        <v>71</v>
      </c>
      <c r="E167">
        <v>0.8718309859154929</v>
      </c>
      <c r="F167">
        <v>0.04426494345718902</v>
      </c>
      <c r="G167">
        <v>0.02781165932054952</v>
      </c>
      <c r="H167">
        <v>0.055</v>
      </c>
      <c r="I167">
        <v>0.1191998227839088</v>
      </c>
      <c r="J167" t="s">
        <v>776</v>
      </c>
      <c r="K167" t="s">
        <v>775</v>
      </c>
      <c r="L167">
        <v>4.45</v>
      </c>
      <c r="M167">
        <v>2.74</v>
      </c>
      <c r="N167">
        <v>0.6157303370786517</v>
      </c>
      <c r="O167">
        <v>19</v>
      </c>
      <c r="P167">
        <v>0.05017940304678881</v>
      </c>
      <c r="Q167">
        <v>0.015292093980896</v>
      </c>
      <c r="R167" t="s">
        <v>779</v>
      </c>
      <c r="S167" t="s">
        <v>791</v>
      </c>
      <c r="T167">
        <v>3221.4712</v>
      </c>
      <c r="U167" s="2">
        <v>44432</v>
      </c>
      <c r="V167" t="s">
        <v>796</v>
      </c>
    </row>
    <row r="168" spans="1:22">
      <c r="A168" s="1" t="s">
        <v>188</v>
      </c>
      <c r="B168">
        <f>HYPERLINK("https://www.suredividend.com/sure-analysis-OGN/","Organon &amp; Co.")</f>
        <v>0</v>
      </c>
      <c r="C168">
        <v>32.95</v>
      </c>
      <c r="D168">
        <v>44</v>
      </c>
      <c r="E168">
        <v>0.7488636363636364</v>
      </c>
      <c r="F168">
        <v>0.03399089529590289</v>
      </c>
      <c r="G168">
        <v>0.05954511009215624</v>
      </c>
      <c r="H168">
        <v>0.03</v>
      </c>
      <c r="I168">
        <v>0.1163822144765334</v>
      </c>
      <c r="J168" t="s">
        <v>776</v>
      </c>
      <c r="K168" t="s">
        <v>775</v>
      </c>
      <c r="L168">
        <v>6.3</v>
      </c>
      <c r="M168">
        <v>1.12</v>
      </c>
      <c r="N168">
        <v>0.1777777777777778</v>
      </c>
      <c r="O168">
        <v>0</v>
      </c>
      <c r="P168">
        <v>0.03025579475561258</v>
      </c>
      <c r="Q168">
        <v>0.008721804511278001</v>
      </c>
      <c r="R168" t="s">
        <v>779</v>
      </c>
      <c r="S168" t="s">
        <v>784</v>
      </c>
      <c r="T168">
        <v>8504.067972999999</v>
      </c>
      <c r="U168" s="2">
        <v>44512</v>
      </c>
      <c r="V168" t="s">
        <v>795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44.42</v>
      </c>
      <c r="D169">
        <v>50.8</v>
      </c>
      <c r="E169">
        <v>0.8744094488188977</v>
      </c>
      <c r="F169">
        <v>0.08104457451598379</v>
      </c>
      <c r="G169">
        <v>0.02720477985013825</v>
      </c>
      <c r="H169">
        <v>0.022</v>
      </c>
      <c r="I169">
        <v>0.1128686124267222</v>
      </c>
      <c r="J169" t="s">
        <v>776</v>
      </c>
      <c r="K169" t="s">
        <v>775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0.152760920756439</v>
      </c>
      <c r="R169" t="s">
        <v>779</v>
      </c>
      <c r="S169" t="s">
        <v>789</v>
      </c>
      <c r="T169">
        <v>81654.15313799999</v>
      </c>
      <c r="U169" s="2">
        <v>44506</v>
      </c>
      <c r="V169" t="s">
        <v>804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81.90000000000001</v>
      </c>
      <c r="D170">
        <v>100</v>
      </c>
      <c r="E170">
        <v>0.8190000000000001</v>
      </c>
      <c r="F170">
        <v>0.03907203907203907</v>
      </c>
      <c r="G170">
        <v>0.04074233171238029</v>
      </c>
      <c r="H170">
        <v>0.04</v>
      </c>
      <c r="I170">
        <v>0.1126817296828759</v>
      </c>
      <c r="J170" t="s">
        <v>776</v>
      </c>
      <c r="K170" t="s">
        <v>775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-0.014035341133419</v>
      </c>
      <c r="R170" t="s">
        <v>779</v>
      </c>
      <c r="S170" t="s">
        <v>784</v>
      </c>
      <c r="T170">
        <v>199403.417557</v>
      </c>
      <c r="U170" s="2">
        <v>44496</v>
      </c>
      <c r="V170" t="s">
        <v>795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288</v>
      </c>
      <c r="D171">
        <v>338</v>
      </c>
      <c r="E171">
        <v>0.8520710059171598</v>
      </c>
      <c r="F171">
        <v>0.04513888888888889</v>
      </c>
      <c r="G171">
        <v>0.03253514402399471</v>
      </c>
      <c r="H171">
        <v>0.04</v>
      </c>
      <c r="I171">
        <v>0.1106178433089602</v>
      </c>
      <c r="J171" t="s">
        <v>776</v>
      </c>
      <c r="K171" t="s">
        <v>775</v>
      </c>
      <c r="L171">
        <v>27</v>
      </c>
      <c r="M171">
        <v>13</v>
      </c>
      <c r="N171">
        <v>0.4814814814814815</v>
      </c>
      <c r="O171">
        <v>6</v>
      </c>
      <c r="P171">
        <v>0.0499789846479779</v>
      </c>
      <c r="Q171">
        <v>0.028497964431112</v>
      </c>
      <c r="R171" t="s">
        <v>779</v>
      </c>
      <c r="S171" t="s">
        <v>790</v>
      </c>
      <c r="T171">
        <v>40348.492128</v>
      </c>
      <c r="U171" s="2">
        <v>44516</v>
      </c>
      <c r="V171" t="s">
        <v>794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40.22</v>
      </c>
      <c r="D172">
        <v>43</v>
      </c>
      <c r="E172">
        <v>0.9353488372093023</v>
      </c>
      <c r="F172">
        <v>0.0668821481849826</v>
      </c>
      <c r="G172">
        <v>0.01345688597830774</v>
      </c>
      <c r="H172">
        <v>0.04</v>
      </c>
      <c r="I172">
        <v>0.1097219471248596</v>
      </c>
      <c r="J172" t="s">
        <v>776</v>
      </c>
      <c r="K172" t="s">
        <v>775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0.489874175268014</v>
      </c>
      <c r="R172" t="s">
        <v>779</v>
      </c>
      <c r="S172" t="s">
        <v>792</v>
      </c>
      <c r="T172">
        <v>81707.06782700001</v>
      </c>
      <c r="U172" s="2">
        <v>44505</v>
      </c>
      <c r="V172" t="s">
        <v>797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21.7</v>
      </c>
      <c r="D173">
        <v>24</v>
      </c>
      <c r="E173">
        <v>0.9041666666666667</v>
      </c>
      <c r="F173">
        <v>0.03686635944700461</v>
      </c>
      <c r="G173">
        <v>0.02035266134905989</v>
      </c>
      <c r="H173">
        <v>0.055</v>
      </c>
      <c r="I173">
        <v>0.1079472027759241</v>
      </c>
      <c r="J173" t="s">
        <v>776</v>
      </c>
      <c r="K173" t="s">
        <v>775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0.308067723082484</v>
      </c>
      <c r="R173" t="s">
        <v>779</v>
      </c>
      <c r="S173" t="s">
        <v>790</v>
      </c>
      <c r="T173">
        <v>512.7357950000001</v>
      </c>
      <c r="U173" s="2">
        <v>44506</v>
      </c>
      <c r="V173" t="s">
        <v>797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10.17</v>
      </c>
      <c r="D174">
        <v>10.5</v>
      </c>
      <c r="E174">
        <v>0.9685714285714285</v>
      </c>
      <c r="F174">
        <v>0.05899705014749262</v>
      </c>
      <c r="G174">
        <v>0.006407047296958845</v>
      </c>
      <c r="H174">
        <v>0.05</v>
      </c>
      <c r="I174">
        <v>0.1068336794943885</v>
      </c>
      <c r="J174" t="s">
        <v>776</v>
      </c>
      <c r="K174" t="s">
        <v>775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0.035860655737704</v>
      </c>
      <c r="R174" t="s">
        <v>779</v>
      </c>
      <c r="S174" t="s">
        <v>791</v>
      </c>
      <c r="T174">
        <v>10940.6376</v>
      </c>
      <c r="U174" s="2">
        <v>44500</v>
      </c>
      <c r="V174" t="s">
        <v>795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39.87</v>
      </c>
      <c r="D175">
        <v>46</v>
      </c>
      <c r="E175">
        <v>0.8667391304347826</v>
      </c>
      <c r="F175">
        <v>0.08276899924755456</v>
      </c>
      <c r="G175">
        <v>0.02901645401365505</v>
      </c>
      <c r="H175">
        <v>0.015</v>
      </c>
      <c r="I175">
        <v>0.1062466705976564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0.5311811476195031</v>
      </c>
      <c r="R175" t="s">
        <v>780</v>
      </c>
      <c r="S175" t="s">
        <v>792</v>
      </c>
      <c r="T175">
        <v>3330.750835</v>
      </c>
      <c r="U175" s="2">
        <v>44507</v>
      </c>
      <c r="V175" t="s">
        <v>797</v>
      </c>
    </row>
    <row r="176" spans="1:22">
      <c r="A176" s="1" t="s">
        <v>196</v>
      </c>
      <c r="B176">
        <f>HYPERLINK("https://www.suredividend.com/sure-analysis-YUM/","Yum Brands Inc.")</f>
        <v>0</v>
      </c>
      <c r="C176">
        <v>127.55</v>
      </c>
      <c r="D176">
        <v>113</v>
      </c>
      <c r="E176">
        <v>1.128761061946903</v>
      </c>
      <c r="F176">
        <v>0.01568012544100353</v>
      </c>
      <c r="G176">
        <v>-0.02393307592912786</v>
      </c>
      <c r="H176">
        <v>0.12</v>
      </c>
      <c r="I176">
        <v>0.106021734868154</v>
      </c>
      <c r="J176" t="s">
        <v>776</v>
      </c>
      <c r="K176" t="s">
        <v>514</v>
      </c>
      <c r="L176">
        <v>4.65</v>
      </c>
      <c r="M176">
        <v>2</v>
      </c>
      <c r="N176">
        <v>0.4301075268817204</v>
      </c>
      <c r="O176">
        <v>4</v>
      </c>
      <c r="P176">
        <v>0.0602809527753625</v>
      </c>
      <c r="Q176">
        <v>0.233946891826934</v>
      </c>
      <c r="R176" t="s">
        <v>779</v>
      </c>
      <c r="S176" t="s">
        <v>788</v>
      </c>
      <c r="T176">
        <v>37248.423398</v>
      </c>
      <c r="U176" s="2">
        <v>44510</v>
      </c>
      <c r="V176" t="s">
        <v>802</v>
      </c>
    </row>
    <row r="177" spans="1:22">
      <c r="A177" s="1" t="s">
        <v>197</v>
      </c>
      <c r="B177">
        <f>HYPERLINK("https://www.suredividend.com/sure-analysis-EPD/","Enterprise Products Partners L P")</f>
        <v>0</v>
      </c>
      <c r="C177">
        <v>22.38</v>
      </c>
      <c r="D177">
        <v>24.1</v>
      </c>
      <c r="E177">
        <v>0.9286307053941908</v>
      </c>
      <c r="F177">
        <v>0.08042895442359251</v>
      </c>
      <c r="G177">
        <v>0.01491902148472479</v>
      </c>
      <c r="H177">
        <v>0.026</v>
      </c>
      <c r="I177">
        <v>0.1048533855503846</v>
      </c>
      <c r="J177" t="s">
        <v>776</v>
      </c>
      <c r="K177" t="s">
        <v>775</v>
      </c>
      <c r="L177">
        <v>3.01</v>
      </c>
      <c r="M177">
        <v>1.8</v>
      </c>
      <c r="N177">
        <v>0.5980066445182725</v>
      </c>
      <c r="O177">
        <v>22</v>
      </c>
      <c r="P177">
        <v>0.01613736474159566</v>
      </c>
      <c r="Q177">
        <v>0.320196143427023</v>
      </c>
      <c r="R177" t="s">
        <v>780</v>
      </c>
      <c r="S177" t="s">
        <v>792</v>
      </c>
      <c r="T177">
        <v>50407.202007</v>
      </c>
      <c r="U177" s="2">
        <v>44506</v>
      </c>
      <c r="V177" t="s">
        <v>804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68.86</v>
      </c>
      <c r="D178">
        <v>76</v>
      </c>
      <c r="E178">
        <v>0.9060526315789473</v>
      </c>
      <c r="F178">
        <v>0.03456288120824862</v>
      </c>
      <c r="G178">
        <v>0.01992753073712206</v>
      </c>
      <c r="H178">
        <v>0.055</v>
      </c>
      <c r="I178">
        <v>0.1044173433136237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0.019487523106718</v>
      </c>
      <c r="R178" t="s">
        <v>779</v>
      </c>
      <c r="S178" t="s">
        <v>791</v>
      </c>
      <c r="T178">
        <v>4189.517128</v>
      </c>
      <c r="U178" s="2">
        <v>44511</v>
      </c>
      <c r="V178" t="s">
        <v>801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37.96</v>
      </c>
      <c r="D179">
        <v>40</v>
      </c>
      <c r="E179">
        <v>0.9490000000000001</v>
      </c>
      <c r="F179">
        <v>0.03503688092729189</v>
      </c>
      <c r="G179">
        <v>0.01052429090609253</v>
      </c>
      <c r="H179">
        <v>0.06</v>
      </c>
      <c r="I179">
        <v>0.101226837077022</v>
      </c>
      <c r="J179" t="s">
        <v>776</v>
      </c>
      <c r="K179" t="s">
        <v>776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0.04855121620312</v>
      </c>
      <c r="R179" t="s">
        <v>779</v>
      </c>
      <c r="S179" t="s">
        <v>791</v>
      </c>
      <c r="T179">
        <v>3651.951831</v>
      </c>
      <c r="U179" s="2">
        <v>44418</v>
      </c>
      <c r="V179" t="s">
        <v>801</v>
      </c>
    </row>
    <row r="180" spans="1:22">
      <c r="A180" s="1" t="s">
        <v>200</v>
      </c>
      <c r="B180">
        <f>HYPERLINK("https://www.suredividend.com/sure-analysis-GILD/","Gilead Sciences, Inc.")</f>
        <v>0</v>
      </c>
      <c r="C180">
        <v>67.45999999999999</v>
      </c>
      <c r="D180">
        <v>80</v>
      </c>
      <c r="E180">
        <v>0.8432499999999999</v>
      </c>
      <c r="F180">
        <v>0.04209902164245479</v>
      </c>
      <c r="G180">
        <v>0.03468637451788426</v>
      </c>
      <c r="H180">
        <v>0.03</v>
      </c>
      <c r="I180">
        <v>0.1011342299566158</v>
      </c>
      <c r="J180" t="s">
        <v>776</v>
      </c>
      <c r="K180" t="s">
        <v>775</v>
      </c>
      <c r="L180">
        <v>8</v>
      </c>
      <c r="M180">
        <v>2.84</v>
      </c>
      <c r="N180">
        <v>0.355</v>
      </c>
      <c r="O180">
        <v>6</v>
      </c>
      <c r="P180">
        <v>0.049731056540673</v>
      </c>
      <c r="Q180">
        <v>0.143028024606971</v>
      </c>
      <c r="R180" t="s">
        <v>779</v>
      </c>
      <c r="S180" t="s">
        <v>784</v>
      </c>
      <c r="T180">
        <v>83905.713787</v>
      </c>
      <c r="U180" s="2">
        <v>44509</v>
      </c>
      <c r="V180" t="s">
        <v>797</v>
      </c>
    </row>
    <row r="181" spans="1:22">
      <c r="A181" s="1" t="s">
        <v>201</v>
      </c>
      <c r="B181">
        <f>HYPERLINK("https://www.suredividend.com/sure-analysis-EVRG/","Evergy Inc")</f>
        <v>0</v>
      </c>
      <c r="C181">
        <v>65.1275</v>
      </c>
      <c r="D181">
        <v>65</v>
      </c>
      <c r="E181">
        <v>1.001961538461538</v>
      </c>
      <c r="F181">
        <v>0.03516179801159264</v>
      </c>
      <c r="G181">
        <v>-0.0003918466394515763</v>
      </c>
      <c r="H181">
        <v>0.07000000000000001</v>
      </c>
      <c r="I181">
        <v>0.1010480673221441</v>
      </c>
      <c r="J181" t="s">
        <v>776</v>
      </c>
      <c r="K181" t="s">
        <v>776</v>
      </c>
      <c r="L181">
        <v>3.55</v>
      </c>
      <c r="M181">
        <v>2.29</v>
      </c>
      <c r="N181">
        <v>0.6450704225352113</v>
      </c>
      <c r="O181">
        <v>17</v>
      </c>
      <c r="P181">
        <v>0.07318952131901812</v>
      </c>
      <c r="Q181">
        <v>0.175992344717927</v>
      </c>
      <c r="R181" t="s">
        <v>779</v>
      </c>
      <c r="S181" t="s">
        <v>791</v>
      </c>
      <c r="T181">
        <v>14991.810526</v>
      </c>
      <c r="U181" s="2">
        <v>44508</v>
      </c>
      <c r="V181" t="s">
        <v>802</v>
      </c>
    </row>
    <row r="182" spans="1:22">
      <c r="A182" s="1" t="s">
        <v>202</v>
      </c>
      <c r="B182">
        <f>HYPERLINK("https://www.suredividend.com/sure-analysis-LMT/","Lockheed Martin Corp.")</f>
        <v>0</v>
      </c>
      <c r="C182">
        <v>341.99</v>
      </c>
      <c r="D182">
        <v>359</v>
      </c>
      <c r="E182">
        <v>0.9526183844011142</v>
      </c>
      <c r="F182">
        <v>0.03274949559928653</v>
      </c>
      <c r="G182">
        <v>0.009755455555110704</v>
      </c>
      <c r="H182">
        <v>0.06</v>
      </c>
      <c r="I182">
        <v>0.09927202606413754</v>
      </c>
      <c r="J182" t="s">
        <v>776</v>
      </c>
      <c r="K182" t="s">
        <v>776</v>
      </c>
      <c r="L182">
        <v>22.45</v>
      </c>
      <c r="M182">
        <v>11.2</v>
      </c>
      <c r="N182">
        <v>0.4988864142538975</v>
      </c>
      <c r="O182">
        <v>20</v>
      </c>
      <c r="P182">
        <v>0.06810541783933033</v>
      </c>
      <c r="Q182">
        <v>-0.07133481194373001</v>
      </c>
      <c r="R182" t="s">
        <v>779</v>
      </c>
      <c r="S182" t="s">
        <v>786</v>
      </c>
      <c r="T182">
        <v>93869.43058299999</v>
      </c>
      <c r="U182" s="2">
        <v>44502</v>
      </c>
      <c r="V182" t="s">
        <v>798</v>
      </c>
    </row>
    <row r="183" spans="1:22">
      <c r="A183" s="1" t="s">
        <v>203</v>
      </c>
      <c r="B183">
        <f>HYPERLINK("https://www.suredividend.com/sure-analysis-TDS/","Telephone And Data Systems, Inc.")</f>
        <v>0</v>
      </c>
      <c r="C183">
        <v>19.76</v>
      </c>
      <c r="D183">
        <v>25</v>
      </c>
      <c r="E183">
        <v>0.7904000000000001</v>
      </c>
      <c r="F183">
        <v>0.03542510121457489</v>
      </c>
      <c r="G183">
        <v>0.04816731671508201</v>
      </c>
      <c r="H183">
        <v>0.02</v>
      </c>
      <c r="I183">
        <v>0.09723418266930506</v>
      </c>
      <c r="J183" t="s">
        <v>776</v>
      </c>
      <c r="K183" t="s">
        <v>775</v>
      </c>
      <c r="L183">
        <v>0.93</v>
      </c>
      <c r="M183">
        <v>0.7</v>
      </c>
      <c r="N183">
        <v>0.7526881720430106</v>
      </c>
      <c r="O183">
        <v>45</v>
      </c>
      <c r="P183">
        <v>0.02962100943384161</v>
      </c>
      <c r="Q183">
        <v>0.036760788492274</v>
      </c>
      <c r="R183" t="s">
        <v>779</v>
      </c>
      <c r="S183" t="s">
        <v>783</v>
      </c>
      <c r="T183">
        <v>2089.657612</v>
      </c>
      <c r="U183" s="2">
        <v>44515</v>
      </c>
      <c r="V183" t="s">
        <v>801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186.69</v>
      </c>
      <c r="D184">
        <v>209</v>
      </c>
      <c r="E184">
        <v>0.8932535885167464</v>
      </c>
      <c r="F184">
        <v>0.02528255396646848</v>
      </c>
      <c r="G184">
        <v>0.02283374120274084</v>
      </c>
      <c r="H184">
        <v>0.05</v>
      </c>
      <c r="I184">
        <v>0.0970539852339356</v>
      </c>
      <c r="J184" t="s">
        <v>776</v>
      </c>
      <c r="K184" t="s">
        <v>776</v>
      </c>
      <c r="L184">
        <v>14.95</v>
      </c>
      <c r="M184">
        <v>4.72</v>
      </c>
      <c r="N184">
        <v>0.3157190635451505</v>
      </c>
      <c r="O184">
        <v>10</v>
      </c>
      <c r="P184">
        <v>0.08014856837381279</v>
      </c>
      <c r="Q184">
        <v>0.18114878510769</v>
      </c>
      <c r="R184" t="s">
        <v>779</v>
      </c>
      <c r="S184" t="s">
        <v>786</v>
      </c>
      <c r="T184">
        <v>7544.287143</v>
      </c>
      <c r="U184" s="2">
        <v>44516</v>
      </c>
      <c r="V184" t="s">
        <v>798</v>
      </c>
    </row>
    <row r="185" spans="1:22">
      <c r="A185" s="1" t="s">
        <v>205</v>
      </c>
      <c r="B185">
        <f>HYPERLINK("https://www.suredividend.com/sure-analysis-BIP/","Brookfield Infrastructure Partners L.P")</f>
        <v>0</v>
      </c>
      <c r="C185">
        <v>57.63</v>
      </c>
      <c r="D185">
        <v>56</v>
      </c>
      <c r="E185">
        <v>1.029107142857143</v>
      </c>
      <c r="F185">
        <v>0.03539823008849557</v>
      </c>
      <c r="G185">
        <v>-0.005721882260487865</v>
      </c>
      <c r="H185">
        <v>0.07000000000000001</v>
      </c>
      <c r="I185">
        <v>0.09680881818032772</v>
      </c>
      <c r="J185" t="s">
        <v>776</v>
      </c>
      <c r="K185" t="s">
        <v>776</v>
      </c>
      <c r="L185">
        <v>3.5</v>
      </c>
      <c r="M185">
        <v>2.04</v>
      </c>
      <c r="N185">
        <v>0.5828571428571429</v>
      </c>
      <c r="O185">
        <v>12</v>
      </c>
      <c r="P185">
        <v>0.0801851873035635</v>
      </c>
      <c r="Q185">
        <v>0.137743875605105</v>
      </c>
      <c r="R185" t="s">
        <v>780</v>
      </c>
      <c r="S185" t="s">
        <v>791</v>
      </c>
      <c r="T185">
        <v>17185.162344</v>
      </c>
      <c r="U185" s="2">
        <v>44506</v>
      </c>
      <c r="V185" t="s">
        <v>803</v>
      </c>
    </row>
    <row r="186" spans="1:22">
      <c r="A186" s="1" t="s">
        <v>206</v>
      </c>
      <c r="B186">
        <f>HYPERLINK("https://www.suredividend.com/sure-analysis-FTS/","Fortis Inc.")</f>
        <v>0</v>
      </c>
      <c r="C186">
        <v>44.37</v>
      </c>
      <c r="D186">
        <v>45</v>
      </c>
      <c r="E186">
        <v>0.986</v>
      </c>
      <c r="F186">
        <v>0.03808879873788596</v>
      </c>
      <c r="G186">
        <v>0.002823764208681911</v>
      </c>
      <c r="H186">
        <v>0.06</v>
      </c>
      <c r="I186">
        <v>0.09645409496645274</v>
      </c>
      <c r="J186" t="s">
        <v>776</v>
      </c>
      <c r="K186" t="s">
        <v>775</v>
      </c>
      <c r="L186">
        <v>2.14</v>
      </c>
      <c r="M186">
        <v>1.69</v>
      </c>
      <c r="N186">
        <v>0.7897196261682242</v>
      </c>
      <c r="O186">
        <v>48</v>
      </c>
      <c r="P186">
        <v>0.05984986030460782</v>
      </c>
      <c r="Q186">
        <v>0.127911478817272</v>
      </c>
      <c r="R186" t="s">
        <v>779</v>
      </c>
      <c r="S186" t="s">
        <v>791</v>
      </c>
      <c r="T186">
        <v>20939.692697</v>
      </c>
      <c r="U186" s="2">
        <v>44505</v>
      </c>
      <c r="V186" t="s">
        <v>803</v>
      </c>
    </row>
    <row r="187" spans="1:22">
      <c r="A187" s="1" t="s">
        <v>207</v>
      </c>
      <c r="B187">
        <f>HYPERLINK("https://www.suredividend.com/sure-analysis-BR/","Broadridge Financial Solutions, Inc.")</f>
        <v>0</v>
      </c>
      <c r="C187">
        <v>174.65</v>
      </c>
      <c r="D187">
        <v>160</v>
      </c>
      <c r="E187">
        <v>1.0915625</v>
      </c>
      <c r="F187">
        <v>0.01465788720297738</v>
      </c>
      <c r="G187">
        <v>-0.0173694131081229</v>
      </c>
      <c r="H187">
        <v>0.1</v>
      </c>
      <c r="I187">
        <v>0.09494028136601251</v>
      </c>
      <c r="J187" t="s">
        <v>776</v>
      </c>
      <c r="K187" t="s">
        <v>366</v>
      </c>
      <c r="L187">
        <v>6.39</v>
      </c>
      <c r="M187">
        <v>2.56</v>
      </c>
      <c r="N187">
        <v>0.4006259780907668</v>
      </c>
      <c r="O187">
        <v>13</v>
      </c>
      <c r="P187">
        <v>0.09984491222048941</v>
      </c>
      <c r="Q187">
        <v>0.210906361223649</v>
      </c>
      <c r="R187" t="s">
        <v>779</v>
      </c>
      <c r="S187" t="s">
        <v>785</v>
      </c>
      <c r="T187">
        <v>20648.307404</v>
      </c>
      <c r="U187" s="2">
        <v>44512</v>
      </c>
      <c r="V187" t="s">
        <v>801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931.54</v>
      </c>
      <c r="D188">
        <v>802</v>
      </c>
      <c r="E188">
        <v>1.161521197007481</v>
      </c>
      <c r="F188">
        <v>0.01773407475792773</v>
      </c>
      <c r="G188">
        <v>-0.02950216244240378</v>
      </c>
      <c r="H188">
        <v>0.11</v>
      </c>
      <c r="I188">
        <v>0.09487425736144872</v>
      </c>
      <c r="J188" t="s">
        <v>776</v>
      </c>
      <c r="K188" t="s">
        <v>366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0.431204742740589</v>
      </c>
      <c r="R188" t="s">
        <v>779</v>
      </c>
      <c r="S188" t="s">
        <v>790</v>
      </c>
      <c r="T188">
        <v>144161.805114</v>
      </c>
      <c r="U188" s="2">
        <v>44484</v>
      </c>
      <c r="V188" t="s">
        <v>803</v>
      </c>
    </row>
    <row r="189" spans="1:22">
      <c r="A189" s="1" t="s">
        <v>209</v>
      </c>
      <c r="B189">
        <f>HYPERLINK("https://www.suredividend.com/sure-analysis-HRB/","H&amp;R Block Inc.")</f>
        <v>0</v>
      </c>
      <c r="C189">
        <v>24.32</v>
      </c>
      <c r="D189">
        <v>26.6</v>
      </c>
      <c r="E189">
        <v>0.9142857142857143</v>
      </c>
      <c r="F189">
        <v>0.0444078947368421</v>
      </c>
      <c r="G189">
        <v>0.01808400232019891</v>
      </c>
      <c r="H189">
        <v>0.037</v>
      </c>
      <c r="I189">
        <v>0.09465779876973279</v>
      </c>
      <c r="J189" t="s">
        <v>776</v>
      </c>
      <c r="K189" t="s">
        <v>775</v>
      </c>
      <c r="L189">
        <v>2.84</v>
      </c>
      <c r="M189">
        <v>1.08</v>
      </c>
      <c r="N189">
        <v>0.3802816901408451</v>
      </c>
      <c r="O189">
        <v>1</v>
      </c>
      <c r="P189">
        <v>0.05327276858309027</v>
      </c>
      <c r="Q189">
        <v>0.452046146240939</v>
      </c>
      <c r="R189" t="s">
        <v>779</v>
      </c>
      <c r="S189" t="s">
        <v>788</v>
      </c>
      <c r="T189">
        <v>4281.845333</v>
      </c>
      <c r="U189" s="2">
        <v>44509</v>
      </c>
      <c r="V189" t="s">
        <v>804</v>
      </c>
    </row>
    <row r="190" spans="1:22">
      <c r="A190" s="1" t="s">
        <v>210</v>
      </c>
      <c r="B190">
        <f>HYPERLINK("https://www.suredividend.com/sure-analysis-KDP/","Keurig Dr Pepper Inc")</f>
        <v>0</v>
      </c>
      <c r="C190">
        <v>35.68</v>
      </c>
      <c r="D190">
        <v>32</v>
      </c>
      <c r="E190">
        <v>1.115</v>
      </c>
      <c r="F190">
        <v>0.01989910313901345</v>
      </c>
      <c r="G190">
        <v>-0.02153560582859615</v>
      </c>
      <c r="H190">
        <v>0.1</v>
      </c>
      <c r="I190">
        <v>0.09303430736853602</v>
      </c>
      <c r="J190" t="s">
        <v>776</v>
      </c>
      <c r="K190" t="s">
        <v>366</v>
      </c>
      <c r="L190">
        <v>1.6</v>
      </c>
      <c r="M190">
        <v>0.71</v>
      </c>
      <c r="N190">
        <v>0.44375</v>
      </c>
      <c r="O190">
        <v>1</v>
      </c>
      <c r="P190">
        <v>0.05088842545712402</v>
      </c>
      <c r="Q190">
        <v>0.232310217992144</v>
      </c>
      <c r="R190" t="s">
        <v>779</v>
      </c>
      <c r="S190" t="s">
        <v>789</v>
      </c>
      <c r="T190">
        <v>50451.073515</v>
      </c>
      <c r="U190" s="2">
        <v>44439</v>
      </c>
      <c r="V190" t="s">
        <v>798</v>
      </c>
    </row>
    <row r="191" spans="1:22">
      <c r="A191" s="1" t="s">
        <v>211</v>
      </c>
      <c r="B191">
        <f>HYPERLINK("https://www.suredividend.com/sure-analysis-HBI/","Hanesbrands Inc")</f>
        <v>0</v>
      </c>
      <c r="C191">
        <v>17.48</v>
      </c>
      <c r="D191">
        <v>18</v>
      </c>
      <c r="E191">
        <v>0.9711111111111111</v>
      </c>
      <c r="F191">
        <v>0.03432494279176201</v>
      </c>
      <c r="G191">
        <v>0.005880097837304588</v>
      </c>
      <c r="H191">
        <v>0.06</v>
      </c>
      <c r="I191">
        <v>0.09275259257203006</v>
      </c>
      <c r="J191" t="s">
        <v>776</v>
      </c>
      <c r="K191" t="s">
        <v>776</v>
      </c>
      <c r="L191">
        <v>1.82</v>
      </c>
      <c r="M191">
        <v>0.6</v>
      </c>
      <c r="N191">
        <v>0.3296703296703297</v>
      </c>
      <c r="O191">
        <v>0</v>
      </c>
      <c r="P191">
        <v>0.01613736474159566</v>
      </c>
      <c r="Q191">
        <v>0.37690429119665</v>
      </c>
      <c r="R191" t="s">
        <v>779</v>
      </c>
      <c r="S191" t="s">
        <v>788</v>
      </c>
      <c r="T191">
        <v>6201.872151</v>
      </c>
      <c r="U191" s="2">
        <v>44512</v>
      </c>
      <c r="V191" t="s">
        <v>802</v>
      </c>
    </row>
    <row r="192" spans="1:22">
      <c r="A192" s="1" t="s">
        <v>212</v>
      </c>
      <c r="B192">
        <f>HYPERLINK("https://www.suredividend.com/sure-analysis-BNS/","Bank Of Nova Scotia")</f>
        <v>0</v>
      </c>
      <c r="C192">
        <v>65.45999999999999</v>
      </c>
      <c r="D192">
        <v>67</v>
      </c>
      <c r="E192">
        <v>0.9770149253731343</v>
      </c>
      <c r="F192">
        <v>0.04292697830736328</v>
      </c>
      <c r="G192">
        <v>0.004661501213799157</v>
      </c>
      <c r="H192">
        <v>0.05</v>
      </c>
      <c r="I192">
        <v>0.09256482426732826</v>
      </c>
      <c r="J192" t="s">
        <v>776</v>
      </c>
      <c r="K192" t="s">
        <v>775</v>
      </c>
      <c r="L192">
        <v>5.93</v>
      </c>
      <c r="M192">
        <v>2.81</v>
      </c>
      <c r="N192">
        <v>0.4738617200674536</v>
      </c>
      <c r="O192">
        <v>9</v>
      </c>
      <c r="P192">
        <v>0.05196296413233981</v>
      </c>
      <c r="Q192">
        <v>0.4557267134586721</v>
      </c>
      <c r="R192" t="s">
        <v>779</v>
      </c>
      <c r="S192" t="s">
        <v>790</v>
      </c>
      <c r="T192">
        <v>80005.66913900001</v>
      </c>
      <c r="U192" s="2">
        <v>44436</v>
      </c>
      <c r="V192" t="s">
        <v>803</v>
      </c>
    </row>
    <row r="193" spans="1:22">
      <c r="A193" s="1" t="s">
        <v>213</v>
      </c>
      <c r="B193">
        <f>HYPERLINK("https://www.suredividend.com/sure-analysis-FNV/","Franco-Nevada Corporation")</f>
        <v>0</v>
      </c>
      <c r="C193">
        <v>146.66</v>
      </c>
      <c r="D193">
        <v>161</v>
      </c>
      <c r="E193">
        <v>0.9109316770186335</v>
      </c>
      <c r="F193">
        <v>0.00818219009954998</v>
      </c>
      <c r="G193">
        <v>0.01883261469463382</v>
      </c>
      <c r="H193">
        <v>0.065</v>
      </c>
      <c r="I193">
        <v>0.09242734427805988</v>
      </c>
      <c r="J193" t="s">
        <v>776</v>
      </c>
      <c r="K193" t="s">
        <v>514</v>
      </c>
      <c r="L193">
        <v>3.49</v>
      </c>
      <c r="M193">
        <v>1.2</v>
      </c>
      <c r="N193">
        <v>0.3438395415472779</v>
      </c>
      <c r="O193">
        <v>14</v>
      </c>
      <c r="P193">
        <v>0.0796084730466029</v>
      </c>
      <c r="Q193">
        <v>0.09582728301714501</v>
      </c>
      <c r="R193" t="s">
        <v>779</v>
      </c>
      <c r="S193" t="s">
        <v>787</v>
      </c>
      <c r="T193">
        <v>28005.838436</v>
      </c>
      <c r="U193" s="2">
        <v>44508</v>
      </c>
      <c r="V193" t="s">
        <v>801</v>
      </c>
    </row>
    <row r="194" spans="1:22">
      <c r="A194" s="1" t="s">
        <v>214</v>
      </c>
      <c r="B194">
        <f>HYPERLINK("https://www.suredividend.com/sure-analysis-CDUAF/","Canadian Utilities Ltd.")</f>
        <v>0</v>
      </c>
      <c r="C194">
        <v>27.8804</v>
      </c>
      <c r="D194">
        <v>29</v>
      </c>
      <c r="E194">
        <v>0.9613931034482759</v>
      </c>
      <c r="F194">
        <v>0.05057316250842885</v>
      </c>
      <c r="G194">
        <v>0.00790546386112978</v>
      </c>
      <c r="H194">
        <v>0.04</v>
      </c>
      <c r="I194">
        <v>0.08997905195810474</v>
      </c>
      <c r="J194" t="s">
        <v>776</v>
      </c>
      <c r="K194" t="s">
        <v>775</v>
      </c>
      <c r="L194">
        <v>1.8</v>
      </c>
      <c r="M194">
        <v>1.41</v>
      </c>
      <c r="N194">
        <v>0.7833333333333332</v>
      </c>
      <c r="O194">
        <v>49</v>
      </c>
      <c r="P194">
        <v>0.02560510523091319</v>
      </c>
      <c r="Q194">
        <v>0.169519832985386</v>
      </c>
      <c r="R194" t="s">
        <v>779</v>
      </c>
      <c r="S194" t="s">
        <v>791</v>
      </c>
      <c r="T194">
        <v>5504.906052</v>
      </c>
      <c r="U194" s="2">
        <v>44502</v>
      </c>
      <c r="V194" t="s">
        <v>794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56.15</v>
      </c>
      <c r="D195">
        <v>53</v>
      </c>
      <c r="E195">
        <v>1.059433962264151</v>
      </c>
      <c r="F195">
        <v>0.0313446126447017</v>
      </c>
      <c r="G195">
        <v>-0.01148054331623727</v>
      </c>
      <c r="H195">
        <v>0.07000000000000001</v>
      </c>
      <c r="I195">
        <v>0.0877285659662661</v>
      </c>
      <c r="J195" t="s">
        <v>776</v>
      </c>
      <c r="K195" t="s">
        <v>776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0.283960316445288</v>
      </c>
      <c r="R195" t="s">
        <v>779</v>
      </c>
      <c r="S195" t="s">
        <v>790</v>
      </c>
      <c r="T195">
        <v>32934.525653</v>
      </c>
      <c r="U195" s="2">
        <v>44510</v>
      </c>
      <c r="V195" t="s">
        <v>797</v>
      </c>
    </row>
    <row r="196" spans="1:22">
      <c r="A196" s="1" t="s">
        <v>216</v>
      </c>
      <c r="B196">
        <f>HYPERLINK("https://www.suredividend.com/sure-analysis-CIO/","City Office REIT Inc")</f>
        <v>0</v>
      </c>
      <c r="C196">
        <v>18.43</v>
      </c>
      <c r="D196">
        <v>14.8</v>
      </c>
      <c r="E196">
        <v>1.24527027027027</v>
      </c>
      <c r="F196">
        <v>0.03255561584373304</v>
      </c>
      <c r="G196">
        <v>-0.04292212636684389</v>
      </c>
      <c r="H196">
        <v>0.1</v>
      </c>
      <c r="I196">
        <v>0.08626825342701716</v>
      </c>
      <c r="J196" t="s">
        <v>776</v>
      </c>
      <c r="K196" t="s">
        <v>776</v>
      </c>
      <c r="L196">
        <v>1.31</v>
      </c>
      <c r="M196">
        <v>0.6</v>
      </c>
      <c r="N196">
        <v>0.4580152671755725</v>
      </c>
      <c r="O196">
        <v>0</v>
      </c>
      <c r="P196">
        <v>0.1008397341583922</v>
      </c>
      <c r="Q196">
        <v>1.190055898793762</v>
      </c>
      <c r="R196" t="s">
        <v>781</v>
      </c>
      <c r="S196" t="s">
        <v>793</v>
      </c>
      <c r="T196">
        <v>810.546919</v>
      </c>
      <c r="U196" s="2">
        <v>44513</v>
      </c>
      <c r="V196" t="s">
        <v>794</v>
      </c>
    </row>
    <row r="197" spans="1:22">
      <c r="A197" s="1" t="s">
        <v>217</v>
      </c>
      <c r="B197">
        <f>HYPERLINK("https://www.suredividend.com/sure-analysis-UNH/","Unitedhealth Group Inc")</f>
        <v>0</v>
      </c>
      <c r="C197">
        <v>448.95</v>
      </c>
      <c r="D197">
        <v>358</v>
      </c>
      <c r="E197">
        <v>1.254050279329609</v>
      </c>
      <c r="F197">
        <v>0.01291903329992204</v>
      </c>
      <c r="G197">
        <v>-0.04426605733255762</v>
      </c>
      <c r="H197">
        <v>0.12</v>
      </c>
      <c r="I197">
        <v>0.08485990276474698</v>
      </c>
      <c r="J197" t="s">
        <v>776</v>
      </c>
      <c r="K197" t="s">
        <v>366</v>
      </c>
      <c r="L197">
        <v>18.65</v>
      </c>
      <c r="M197">
        <v>5.8</v>
      </c>
      <c r="N197">
        <v>0.3109919571045577</v>
      </c>
      <c r="O197">
        <v>12</v>
      </c>
      <c r="P197">
        <v>0.1400529846685179</v>
      </c>
      <c r="Q197">
        <v>0.278220305229752</v>
      </c>
      <c r="R197" t="s">
        <v>779</v>
      </c>
      <c r="S197" t="s">
        <v>784</v>
      </c>
      <c r="T197">
        <v>423475.159025</v>
      </c>
      <c r="U197" s="2">
        <v>44491</v>
      </c>
      <c r="V197" t="s">
        <v>799</v>
      </c>
    </row>
    <row r="198" spans="1:22">
      <c r="A198" s="1" t="s">
        <v>218</v>
      </c>
      <c r="B198">
        <f>HYPERLINK("https://www.suredividend.com/sure-analysis-MRK/","Merck &amp; Co Inc")</f>
        <v>0</v>
      </c>
      <c r="C198">
        <v>82.59999999999999</v>
      </c>
      <c r="D198">
        <v>85</v>
      </c>
      <c r="E198">
        <v>0.9717647058823529</v>
      </c>
      <c r="F198">
        <v>0.0314769975786925</v>
      </c>
      <c r="G198">
        <v>0.005744753362834532</v>
      </c>
      <c r="H198">
        <v>0.05</v>
      </c>
      <c r="I198">
        <v>0.08389979082811316</v>
      </c>
      <c r="J198" t="s">
        <v>776</v>
      </c>
      <c r="K198" t="s">
        <v>776</v>
      </c>
      <c r="L198">
        <v>5.68</v>
      </c>
      <c r="M198">
        <v>2.6</v>
      </c>
      <c r="N198">
        <v>0.4577464788732395</v>
      </c>
      <c r="O198">
        <v>10</v>
      </c>
      <c r="P198">
        <v>0.05010553388446692</v>
      </c>
      <c r="Q198">
        <v>0.085396761488868</v>
      </c>
      <c r="R198" t="s">
        <v>779</v>
      </c>
      <c r="S198" t="s">
        <v>784</v>
      </c>
      <c r="T198">
        <v>212457.144457</v>
      </c>
      <c r="U198" s="2">
        <v>44500</v>
      </c>
      <c r="V198" t="s">
        <v>795</v>
      </c>
    </row>
    <row r="199" spans="1:22">
      <c r="A199" s="1" t="s">
        <v>219</v>
      </c>
      <c r="B199">
        <f>HYPERLINK("https://www.suredividend.com/sure-analysis-IMO/","Imperial Oil Ltd.")</f>
        <v>0</v>
      </c>
      <c r="C199">
        <v>35.23</v>
      </c>
      <c r="D199">
        <v>39</v>
      </c>
      <c r="E199">
        <v>0.9033333333333332</v>
      </c>
      <c r="F199">
        <v>0.02355946636389441</v>
      </c>
      <c r="G199">
        <v>0.02054084886856544</v>
      </c>
      <c r="H199">
        <v>0.04</v>
      </c>
      <c r="I199">
        <v>0.08323915263610226</v>
      </c>
      <c r="J199" t="s">
        <v>776</v>
      </c>
      <c r="K199" t="s">
        <v>776</v>
      </c>
      <c r="L199">
        <v>2.8</v>
      </c>
      <c r="M199">
        <v>0.83</v>
      </c>
      <c r="N199">
        <v>0.2964285714285714</v>
      </c>
      <c r="O199">
        <v>6</v>
      </c>
      <c r="P199">
        <v>0.06924192562875131</v>
      </c>
      <c r="Q199">
        <v>1.163122071845471</v>
      </c>
      <c r="R199" t="s">
        <v>779</v>
      </c>
      <c r="S199" t="s">
        <v>792</v>
      </c>
      <c r="T199">
        <v>24724.769716</v>
      </c>
      <c r="U199" s="2">
        <v>44502</v>
      </c>
      <c r="V199" t="s">
        <v>802</v>
      </c>
    </row>
    <row r="200" spans="1:22">
      <c r="A200" s="1" t="s">
        <v>220</v>
      </c>
      <c r="B200">
        <f>HYPERLINK("https://www.suredividend.com/sure-analysis-RBGLY/","Reckitt Benckiser Group Plc")</f>
        <v>0</v>
      </c>
      <c r="C200">
        <v>16.34</v>
      </c>
      <c r="D200">
        <v>18</v>
      </c>
      <c r="E200">
        <v>0.9077777777777778</v>
      </c>
      <c r="F200">
        <v>0.02692778457772338</v>
      </c>
      <c r="G200">
        <v>0.01953958047067283</v>
      </c>
      <c r="H200">
        <v>0.04</v>
      </c>
      <c r="I200">
        <v>0.08316830711919088</v>
      </c>
      <c r="J200" t="s">
        <v>776</v>
      </c>
      <c r="K200" t="s">
        <v>776</v>
      </c>
      <c r="L200">
        <v>1.2</v>
      </c>
      <c r="M200">
        <v>0.44</v>
      </c>
      <c r="N200">
        <v>0.3666666666666667</v>
      </c>
      <c r="O200">
        <v>0</v>
      </c>
      <c r="P200">
        <v>0.03792181163298758</v>
      </c>
      <c r="Q200">
        <v>-0.104864864864864</v>
      </c>
      <c r="R200" t="s">
        <v>779</v>
      </c>
      <c r="S200" t="s">
        <v>789</v>
      </c>
      <c r="T200">
        <v>59137.094984</v>
      </c>
      <c r="U200" s="2">
        <v>44497</v>
      </c>
      <c r="V200" t="s">
        <v>805</v>
      </c>
    </row>
    <row r="201" spans="1:22">
      <c r="A201" s="1" t="s">
        <v>221</v>
      </c>
      <c r="B201">
        <f>HYPERLINK("https://www.suredividend.com/sure-analysis-MDLZ/","Mondelez International Inc.")</f>
        <v>0</v>
      </c>
      <c r="C201">
        <v>62.17</v>
      </c>
      <c r="D201">
        <v>57</v>
      </c>
      <c r="E201">
        <v>1.090701754385965</v>
      </c>
      <c r="F201">
        <v>0.02251889979089593</v>
      </c>
      <c r="G201">
        <v>-0.01721437015499483</v>
      </c>
      <c r="H201">
        <v>0.08</v>
      </c>
      <c r="I201">
        <v>0.08301421483854421</v>
      </c>
      <c r="J201" t="s">
        <v>776</v>
      </c>
      <c r="K201" t="s">
        <v>366</v>
      </c>
      <c r="L201">
        <v>2.85</v>
      </c>
      <c r="M201">
        <v>1.4</v>
      </c>
      <c r="N201">
        <v>0.4912280701754386</v>
      </c>
      <c r="O201">
        <v>7</v>
      </c>
      <c r="P201">
        <v>0.08030860883184343</v>
      </c>
      <c r="Q201">
        <v>0.08786508870793501</v>
      </c>
      <c r="R201" t="s">
        <v>779</v>
      </c>
      <c r="S201" t="s">
        <v>789</v>
      </c>
      <c r="T201">
        <v>87143.909086</v>
      </c>
      <c r="U201" s="2">
        <v>44514</v>
      </c>
      <c r="V201" t="s">
        <v>803</v>
      </c>
    </row>
    <row r="202" spans="1:22">
      <c r="A202" s="1" t="s">
        <v>222</v>
      </c>
      <c r="B202">
        <f>HYPERLINK("https://www.suredividend.com/sure-analysis-MSM/","MSC Industrial Direct Co., Inc.")</f>
        <v>0</v>
      </c>
      <c r="C202">
        <v>85.38</v>
      </c>
      <c r="D202">
        <v>86</v>
      </c>
      <c r="E202">
        <v>0.9927906976744185</v>
      </c>
      <c r="F202">
        <v>0.03513703443429374</v>
      </c>
      <c r="G202">
        <v>0.001448130514547286</v>
      </c>
      <c r="H202">
        <v>0.05</v>
      </c>
      <c r="I202">
        <v>0.08294191185547928</v>
      </c>
      <c r="J202" t="s">
        <v>776</v>
      </c>
      <c r="K202" t="s">
        <v>776</v>
      </c>
      <c r="L202">
        <v>5.55</v>
      </c>
      <c r="M202">
        <v>3</v>
      </c>
      <c r="N202">
        <v>0.5405405405405406</v>
      </c>
      <c r="O202">
        <v>16</v>
      </c>
      <c r="P202">
        <v>0.05006335758366887</v>
      </c>
      <c r="Q202">
        <v>0.08427927876641801</v>
      </c>
      <c r="R202" t="s">
        <v>779</v>
      </c>
      <c r="S202" t="s">
        <v>786</v>
      </c>
      <c r="T202">
        <v>4012.964913</v>
      </c>
      <c r="U202" s="2">
        <v>44494</v>
      </c>
      <c r="V202" t="s">
        <v>801</v>
      </c>
    </row>
    <row r="203" spans="1:22">
      <c r="A203" s="1" t="s">
        <v>223</v>
      </c>
      <c r="B203">
        <f>HYPERLINK("https://www.suredividend.com/sure-analysis-IBM/","International Business Machines Corp.")</f>
        <v>0</v>
      </c>
      <c r="C203">
        <v>118.06</v>
      </c>
      <c r="D203">
        <v>114</v>
      </c>
      <c r="E203">
        <v>1.035614035087719</v>
      </c>
      <c r="F203">
        <v>0.05556496696594952</v>
      </c>
      <c r="G203">
        <v>-0.006974468993010574</v>
      </c>
      <c r="H203">
        <v>0.04</v>
      </c>
      <c r="I203">
        <v>0.0826988953087</v>
      </c>
      <c r="J203" t="s">
        <v>776</v>
      </c>
      <c r="K203" t="s">
        <v>775</v>
      </c>
      <c r="L203">
        <v>10.32</v>
      </c>
      <c r="M203">
        <v>6.56</v>
      </c>
      <c r="N203">
        <v>0.6356589147286821</v>
      </c>
      <c r="O203">
        <v>26</v>
      </c>
      <c r="P203">
        <v>0.03996760299438673</v>
      </c>
      <c r="Q203">
        <v>0.051200548051205</v>
      </c>
      <c r="R203" t="s">
        <v>779</v>
      </c>
      <c r="S203" t="s">
        <v>785</v>
      </c>
      <c r="T203">
        <v>106178.075848</v>
      </c>
      <c r="U203" s="2">
        <v>44494</v>
      </c>
      <c r="V203" t="s">
        <v>798</v>
      </c>
    </row>
    <row r="204" spans="1:22">
      <c r="A204" s="1" t="s">
        <v>224</v>
      </c>
      <c r="B204">
        <f>HYPERLINK("https://www.suredividend.com/sure-analysis-EMN/","Eastman Chemical Co")</f>
        <v>0</v>
      </c>
      <c r="C204">
        <v>113.86</v>
      </c>
      <c r="D204">
        <v>120</v>
      </c>
      <c r="E204">
        <v>0.9488333333333333</v>
      </c>
      <c r="F204">
        <v>0.02424029509924468</v>
      </c>
      <c r="G204">
        <v>0.01055978900190158</v>
      </c>
      <c r="H204">
        <v>0.05</v>
      </c>
      <c r="I204">
        <v>0.08239370778845001</v>
      </c>
      <c r="J204" t="s">
        <v>776</v>
      </c>
      <c r="K204" t="s">
        <v>776</v>
      </c>
      <c r="L204">
        <v>8.9</v>
      </c>
      <c r="M204">
        <v>2.76</v>
      </c>
      <c r="N204">
        <v>0.3101123595505618</v>
      </c>
      <c r="O204">
        <v>11</v>
      </c>
      <c r="P204">
        <v>0.04984870359842875</v>
      </c>
      <c r="Q204">
        <v>0.199027979062234</v>
      </c>
      <c r="R204" t="s">
        <v>779</v>
      </c>
      <c r="S204" t="s">
        <v>787</v>
      </c>
      <c r="T204">
        <v>15416.266793</v>
      </c>
      <c r="U204" s="2">
        <v>44502</v>
      </c>
      <c r="V204" t="s">
        <v>794</v>
      </c>
    </row>
    <row r="205" spans="1:22">
      <c r="A205" s="1" t="s">
        <v>225</v>
      </c>
      <c r="B205">
        <f>HYPERLINK("https://www.suredividend.com/sure-analysis-TD/","Toronto Dominion Bank")</f>
        <v>0</v>
      </c>
      <c r="C205">
        <v>73.38</v>
      </c>
      <c r="D205">
        <v>74</v>
      </c>
      <c r="E205">
        <v>0.9916216216216216</v>
      </c>
      <c r="F205">
        <v>0.0342055055873535</v>
      </c>
      <c r="G205">
        <v>0.001684151448175353</v>
      </c>
      <c r="H205">
        <v>0.05</v>
      </c>
      <c r="I205">
        <v>0.0823508504562398</v>
      </c>
      <c r="J205" t="s">
        <v>776</v>
      </c>
      <c r="K205" t="s">
        <v>776</v>
      </c>
      <c r="L205">
        <v>6.08</v>
      </c>
      <c r="M205">
        <v>2.51</v>
      </c>
      <c r="N205">
        <v>0.412828947368421</v>
      </c>
      <c r="O205">
        <v>9</v>
      </c>
      <c r="P205">
        <v>0.04977264413928073</v>
      </c>
      <c r="Q205">
        <v>0.511816992505104</v>
      </c>
      <c r="R205" t="s">
        <v>779</v>
      </c>
      <c r="S205" t="s">
        <v>790</v>
      </c>
      <c r="T205">
        <v>135224.2995</v>
      </c>
      <c r="U205" s="2">
        <v>44444</v>
      </c>
      <c r="V205" t="s">
        <v>803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104.79</v>
      </c>
      <c r="D206">
        <v>94.92</v>
      </c>
      <c r="E206">
        <v>1.103982300884956</v>
      </c>
      <c r="F206">
        <v>0.03206412825651302</v>
      </c>
      <c r="G206">
        <v>-0.0195903487534026</v>
      </c>
      <c r="H206">
        <v>0.07000000000000001</v>
      </c>
      <c r="I206">
        <v>0.08090526495272798</v>
      </c>
      <c r="J206" t="s">
        <v>776</v>
      </c>
      <c r="K206" t="s">
        <v>776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0.408804091350722</v>
      </c>
      <c r="R206" t="s">
        <v>779</v>
      </c>
      <c r="S206" t="s">
        <v>790</v>
      </c>
      <c r="T206">
        <v>150308.9952</v>
      </c>
      <c r="U206" s="2">
        <v>44444</v>
      </c>
      <c r="V206" t="s">
        <v>803</v>
      </c>
    </row>
    <row r="207" spans="1:22">
      <c r="A207" s="1" t="s">
        <v>227</v>
      </c>
      <c r="B207">
        <f>HYPERLINK("https://www.suredividend.com/sure-analysis-SNA/","Snap-on, Inc.")</f>
        <v>0</v>
      </c>
      <c r="C207">
        <v>216.16</v>
      </c>
      <c r="D207">
        <v>231</v>
      </c>
      <c r="E207">
        <v>0.9357575757575758</v>
      </c>
      <c r="F207">
        <v>0.02627683197631384</v>
      </c>
      <c r="G207">
        <v>0.01336833498993717</v>
      </c>
      <c r="H207">
        <v>0.04</v>
      </c>
      <c r="I207">
        <v>0.07961643978585187</v>
      </c>
      <c r="J207" t="s">
        <v>776</v>
      </c>
      <c r="K207" t="s">
        <v>776</v>
      </c>
      <c r="L207">
        <v>14.45</v>
      </c>
      <c r="M207">
        <v>5.68</v>
      </c>
      <c r="N207">
        <v>0.3930795847750865</v>
      </c>
      <c r="O207">
        <v>12</v>
      </c>
      <c r="P207">
        <v>0.08010910720791475</v>
      </c>
      <c r="Q207">
        <v>0.312139016570404</v>
      </c>
      <c r="R207" t="s">
        <v>779</v>
      </c>
      <c r="S207" t="s">
        <v>786</v>
      </c>
      <c r="T207">
        <v>12016.232805</v>
      </c>
      <c r="U207" s="2">
        <v>44498</v>
      </c>
      <c r="V207" t="s">
        <v>799</v>
      </c>
    </row>
    <row r="208" spans="1:22">
      <c r="A208" s="1" t="s">
        <v>228</v>
      </c>
      <c r="B208">
        <f>HYPERLINK("https://www.suredividend.com/sure-analysis-CMI/","Cummins Inc.")</f>
        <v>0</v>
      </c>
      <c r="C208">
        <v>230.44</v>
      </c>
      <c r="D208">
        <v>207</v>
      </c>
      <c r="E208">
        <v>1.113236714975845</v>
      </c>
      <c r="F208">
        <v>0.02516924145113696</v>
      </c>
      <c r="G208">
        <v>-0.02122583890827101</v>
      </c>
      <c r="H208">
        <v>0.08</v>
      </c>
      <c r="I208">
        <v>0.0794912082857866</v>
      </c>
      <c r="J208" t="s">
        <v>776</v>
      </c>
      <c r="K208" t="s">
        <v>776</v>
      </c>
      <c r="L208">
        <v>15.92</v>
      </c>
      <c r="M208">
        <v>5.8</v>
      </c>
      <c r="N208">
        <v>0.364321608040201</v>
      </c>
      <c r="O208">
        <v>16</v>
      </c>
      <c r="P208">
        <v>0.0499309672496191</v>
      </c>
      <c r="Q208">
        <v>0.0388177722473</v>
      </c>
      <c r="R208" t="s">
        <v>779</v>
      </c>
      <c r="S208" t="s">
        <v>786</v>
      </c>
      <c r="T208">
        <v>33672.557656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110.34</v>
      </c>
      <c r="D209">
        <v>110</v>
      </c>
      <c r="E209">
        <v>1.003090909090909</v>
      </c>
      <c r="F209">
        <v>0.02999818742069965</v>
      </c>
      <c r="G209">
        <v>-0.0006170379641033952</v>
      </c>
      <c r="H209">
        <v>0.05</v>
      </c>
      <c r="I209">
        <v>0.07805232415610286</v>
      </c>
      <c r="J209" t="s">
        <v>776</v>
      </c>
      <c r="K209" t="s">
        <v>776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0.679790105536313</v>
      </c>
      <c r="R209" t="s">
        <v>779</v>
      </c>
      <c r="S209" t="s">
        <v>790</v>
      </c>
      <c r="T209">
        <v>72072.456448</v>
      </c>
      <c r="U209" s="2">
        <v>44442</v>
      </c>
      <c r="V209" t="s">
        <v>803</v>
      </c>
    </row>
    <row r="210" spans="1:22">
      <c r="A210" s="1" t="s">
        <v>230</v>
      </c>
      <c r="B210">
        <f>HYPERLINK("https://www.suredividend.com/sure-analysis-CM/","Canadian Imperial Bank Of Commerce")</f>
        <v>0</v>
      </c>
      <c r="C210">
        <v>118.28</v>
      </c>
      <c r="D210">
        <v>113</v>
      </c>
      <c r="E210">
        <v>1.046725663716814</v>
      </c>
      <c r="F210">
        <v>0.03914440311126141</v>
      </c>
      <c r="G210">
        <v>-0.009091792675346988</v>
      </c>
      <c r="H210">
        <v>0.05</v>
      </c>
      <c r="I210">
        <v>0.07661421423304815</v>
      </c>
      <c r="J210" t="s">
        <v>776</v>
      </c>
      <c r="K210" t="s">
        <v>775</v>
      </c>
      <c r="L210">
        <v>11.3</v>
      </c>
      <c r="M210">
        <v>4.63</v>
      </c>
      <c r="N210">
        <v>0.4097345132743362</v>
      </c>
      <c r="O210">
        <v>10</v>
      </c>
      <c r="P210">
        <v>0.05002901032002183</v>
      </c>
      <c r="Q210">
        <v>0.5120723550845661</v>
      </c>
      <c r="R210" t="s">
        <v>779</v>
      </c>
      <c r="S210" t="s">
        <v>790</v>
      </c>
      <c r="T210">
        <v>53468.950708</v>
      </c>
      <c r="U210" s="2">
        <v>44442</v>
      </c>
      <c r="V210" t="s">
        <v>803</v>
      </c>
    </row>
    <row r="211" spans="1:22">
      <c r="A211" s="1" t="s">
        <v>231</v>
      </c>
      <c r="B211">
        <f>HYPERLINK("https://www.suredividend.com/sure-analysis-LNT/","Alliant Energy Corp.")</f>
        <v>0</v>
      </c>
      <c r="C211">
        <v>56.11</v>
      </c>
      <c r="D211">
        <v>53</v>
      </c>
      <c r="E211">
        <v>1.058679245283019</v>
      </c>
      <c r="F211">
        <v>0.02869363749777223</v>
      </c>
      <c r="G211">
        <v>-0.0113396432703623</v>
      </c>
      <c r="H211">
        <v>0.06</v>
      </c>
      <c r="I211">
        <v>0.07494770848513221</v>
      </c>
      <c r="J211" t="s">
        <v>776</v>
      </c>
      <c r="K211" t="s">
        <v>776</v>
      </c>
      <c r="L211">
        <v>2.63</v>
      </c>
      <c r="M211">
        <v>1.61</v>
      </c>
      <c r="N211">
        <v>0.6121673003802282</v>
      </c>
      <c r="O211">
        <v>18</v>
      </c>
      <c r="P211">
        <v>0.05955258842469102</v>
      </c>
      <c r="Q211">
        <v>0.021692955628708</v>
      </c>
      <c r="R211" t="s">
        <v>779</v>
      </c>
      <c r="S211" t="s">
        <v>791</v>
      </c>
      <c r="T211">
        <v>14011.937357</v>
      </c>
      <c r="U211" s="2">
        <v>44513</v>
      </c>
      <c r="V211" t="s">
        <v>796</v>
      </c>
    </row>
    <row r="212" spans="1:22">
      <c r="A212" s="1" t="s">
        <v>232</v>
      </c>
      <c r="B212">
        <f>HYPERLINK("https://www.suredividend.com/sure-analysis-ORI/","Old Republic International Corp.")</f>
        <v>0</v>
      </c>
      <c r="C212">
        <v>25.71</v>
      </c>
      <c r="D212">
        <v>35</v>
      </c>
      <c r="E212">
        <v>0.7345714285714285</v>
      </c>
      <c r="F212">
        <v>0.03422792687670167</v>
      </c>
      <c r="G212">
        <v>0.06363640515751934</v>
      </c>
      <c r="H212">
        <v>-0.02</v>
      </c>
      <c r="I212">
        <v>0.07397325072773731</v>
      </c>
      <c r="J212" t="s">
        <v>776</v>
      </c>
      <c r="K212" t="s">
        <v>776</v>
      </c>
      <c r="L212">
        <v>2.9</v>
      </c>
      <c r="M212">
        <v>0.88</v>
      </c>
      <c r="N212">
        <v>0.303448275862069</v>
      </c>
      <c r="O212">
        <v>40</v>
      </c>
      <c r="P212">
        <v>0.04941452284458392</v>
      </c>
      <c r="Q212">
        <v>0.609748476800499</v>
      </c>
      <c r="R212" t="s">
        <v>779</v>
      </c>
      <c r="S212" t="s">
        <v>790</v>
      </c>
      <c r="T212">
        <v>7908.544988</v>
      </c>
      <c r="U212" s="2">
        <v>44518</v>
      </c>
      <c r="V212" t="s">
        <v>799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75.58</v>
      </c>
      <c r="D213">
        <v>82</v>
      </c>
      <c r="E213">
        <v>0.9217073170731707</v>
      </c>
      <c r="F213">
        <v>0.02752050807091823</v>
      </c>
      <c r="G213">
        <v>0.01643917017290097</v>
      </c>
      <c r="H213">
        <v>0.03</v>
      </c>
      <c r="I213">
        <v>0.0728489904371914</v>
      </c>
      <c r="J213" t="s">
        <v>776</v>
      </c>
      <c r="K213" t="s">
        <v>776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0.224279421120873</v>
      </c>
      <c r="R213" t="s">
        <v>779</v>
      </c>
      <c r="S213" t="s">
        <v>790</v>
      </c>
      <c r="T213">
        <v>7005.45823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HYPERLINK("https://www.suredividend.com/sure-analysis-NTIOF/","National Bank of Canada")</f>
        <v>0</v>
      </c>
      <c r="C214">
        <v>82.69</v>
      </c>
      <c r="D214">
        <v>77</v>
      </c>
      <c r="E214">
        <v>1.073896103896104</v>
      </c>
      <c r="F214">
        <v>0.02708912806869029</v>
      </c>
      <c r="G214">
        <v>-0.01415747765002096</v>
      </c>
      <c r="H214">
        <v>0.06</v>
      </c>
      <c r="I214">
        <v>0.07230635530565577</v>
      </c>
      <c r="J214" t="s">
        <v>776</v>
      </c>
      <c r="K214" t="s">
        <v>776</v>
      </c>
      <c r="L214">
        <v>6.73</v>
      </c>
      <c r="M214">
        <v>2.24</v>
      </c>
      <c r="N214">
        <v>0.3328380386329866</v>
      </c>
      <c r="O214">
        <v>9</v>
      </c>
      <c r="P214">
        <v>0.0799150058822331</v>
      </c>
      <c r="Q214">
        <v>0.560330268343028</v>
      </c>
      <c r="R214" t="s">
        <v>779</v>
      </c>
      <c r="S214" t="s">
        <v>790</v>
      </c>
      <c r="T214">
        <v>28088.855185</v>
      </c>
      <c r="U214" s="2">
        <v>44436</v>
      </c>
      <c r="V214" t="s">
        <v>803</v>
      </c>
    </row>
    <row r="215" spans="1:22">
      <c r="A215" s="1" t="s">
        <v>235</v>
      </c>
      <c r="B215">
        <f>HYPERLINK("https://www.suredividend.com/sure-analysis-TXN/","Texas Instruments Inc.")</f>
        <v>0</v>
      </c>
      <c r="C215">
        <v>189.57</v>
      </c>
      <c r="D215">
        <v>162</v>
      </c>
      <c r="E215">
        <v>1.170185185185185</v>
      </c>
      <c r="F215">
        <v>0.02426544284433191</v>
      </c>
      <c r="G215">
        <v>-0.03094354029973378</v>
      </c>
      <c r="H215">
        <v>0.08</v>
      </c>
      <c r="I215">
        <v>0.07173531162145652</v>
      </c>
      <c r="J215" t="s">
        <v>776</v>
      </c>
      <c r="K215" t="s">
        <v>366</v>
      </c>
      <c r="L215">
        <v>8.1</v>
      </c>
      <c r="M215">
        <v>4.6</v>
      </c>
      <c r="N215">
        <v>0.5679012345679012</v>
      </c>
      <c r="O215">
        <v>18</v>
      </c>
      <c r="P215">
        <v>0.09007175117662958</v>
      </c>
      <c r="Q215">
        <v>0.218841221556654</v>
      </c>
      <c r="R215" t="s">
        <v>779</v>
      </c>
      <c r="S215" t="s">
        <v>785</v>
      </c>
      <c r="T215">
        <v>174103.13038</v>
      </c>
      <c r="U215" s="2">
        <v>44504</v>
      </c>
      <c r="V215" t="s">
        <v>797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49.53</v>
      </c>
      <c r="D216">
        <v>50</v>
      </c>
      <c r="E216">
        <v>0.9906</v>
      </c>
      <c r="F216">
        <v>0.06299212598425197</v>
      </c>
      <c r="G216">
        <v>0.001890676845414996</v>
      </c>
      <c r="H216">
        <v>0.015</v>
      </c>
      <c r="I216">
        <v>0.07145195468937704</v>
      </c>
      <c r="J216" t="s">
        <v>776</v>
      </c>
      <c r="K216" t="s">
        <v>775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0.113785637943162</v>
      </c>
      <c r="R216" t="s">
        <v>779</v>
      </c>
      <c r="S216" t="s">
        <v>789</v>
      </c>
      <c r="T216">
        <v>1200.102118</v>
      </c>
      <c r="U216" s="2">
        <v>44440</v>
      </c>
      <c r="V216" t="s">
        <v>797</v>
      </c>
    </row>
    <row r="217" spans="1:22">
      <c r="A217" s="1" t="s">
        <v>237</v>
      </c>
      <c r="B217">
        <f>HYPERLINK("https://www.suredividend.com/sure-analysis-TTC/","Toro Co.")</f>
        <v>0</v>
      </c>
      <c r="C217">
        <v>105.31</v>
      </c>
      <c r="D217">
        <v>83</v>
      </c>
      <c r="E217">
        <v>1.268795180722892</v>
      </c>
      <c r="F217">
        <v>0.009970563099420758</v>
      </c>
      <c r="G217">
        <v>-0.04649780768884337</v>
      </c>
      <c r="H217">
        <v>0.11</v>
      </c>
      <c r="I217">
        <v>0.06884674778971434</v>
      </c>
      <c r="J217" t="s">
        <v>776</v>
      </c>
      <c r="K217" t="s">
        <v>514</v>
      </c>
      <c r="L217">
        <v>3.55</v>
      </c>
      <c r="M217">
        <v>1.05</v>
      </c>
      <c r="N217">
        <v>0.295774647887324</v>
      </c>
      <c r="O217">
        <v>11</v>
      </c>
      <c r="P217">
        <v>0.09986525071768737</v>
      </c>
      <c r="Q217">
        <v>0.184332128071509</v>
      </c>
      <c r="R217" t="s">
        <v>779</v>
      </c>
      <c r="S217" t="s">
        <v>786</v>
      </c>
      <c r="T217">
        <v>11062.794865</v>
      </c>
      <c r="U217" s="2">
        <v>44453</v>
      </c>
      <c r="V217" t="s">
        <v>801</v>
      </c>
    </row>
    <row r="218" spans="1:22">
      <c r="A218" s="1" t="s">
        <v>238</v>
      </c>
      <c r="B218">
        <f>HYPERLINK("https://www.suredividend.com/sure-analysis-EIX/","Edison International")</f>
        <v>0</v>
      </c>
      <c r="C218">
        <v>64.45999999999999</v>
      </c>
      <c r="D218">
        <v>56.6</v>
      </c>
      <c r="E218">
        <v>1.13886925795053</v>
      </c>
      <c r="F218">
        <v>0.04111076636673906</v>
      </c>
      <c r="G218">
        <v>-0.02567190437300504</v>
      </c>
      <c r="H218">
        <v>0.058</v>
      </c>
      <c r="I218">
        <v>0.06808769739857046</v>
      </c>
      <c r="J218" t="s">
        <v>776</v>
      </c>
      <c r="K218" t="s">
        <v>775</v>
      </c>
      <c r="L218">
        <v>4.49</v>
      </c>
      <c r="M218">
        <v>2.65</v>
      </c>
      <c r="N218">
        <v>0.5902004454342984</v>
      </c>
      <c r="O218">
        <v>17</v>
      </c>
      <c r="P218">
        <v>0.03186567045409161</v>
      </c>
      <c r="Q218">
        <v>0.023464081658856</v>
      </c>
      <c r="R218" t="s">
        <v>779</v>
      </c>
      <c r="S218" t="s">
        <v>791</v>
      </c>
      <c r="T218">
        <v>24213.775032</v>
      </c>
      <c r="U218" s="2">
        <v>44509</v>
      </c>
      <c r="V218" t="s">
        <v>804</v>
      </c>
    </row>
    <row r="219" spans="1:22">
      <c r="A219" s="1" t="s">
        <v>239</v>
      </c>
      <c r="B219">
        <f>HYPERLINK("https://www.suredividend.com/sure-analysis-FOXA/","Fox Corporation")</f>
        <v>0</v>
      </c>
      <c r="C219">
        <v>40.29</v>
      </c>
      <c r="D219">
        <v>42</v>
      </c>
      <c r="E219">
        <v>0.9592857142857143</v>
      </c>
      <c r="F219">
        <v>0.01141722511789526</v>
      </c>
      <c r="G219">
        <v>0.00834791494843734</v>
      </c>
      <c r="H219">
        <v>0.05</v>
      </c>
      <c r="I219">
        <v>0.0676990400412838</v>
      </c>
      <c r="J219" t="s">
        <v>776</v>
      </c>
      <c r="K219" t="s">
        <v>366</v>
      </c>
      <c r="L219">
        <v>2.77</v>
      </c>
      <c r="M219">
        <v>0.46</v>
      </c>
      <c r="N219">
        <v>0.1660649819494585</v>
      </c>
      <c r="O219">
        <v>0</v>
      </c>
      <c r="P219">
        <v>0</v>
      </c>
      <c r="Q219">
        <v>0.504991194200459</v>
      </c>
      <c r="R219" t="s">
        <v>779</v>
      </c>
      <c r="S219" t="s">
        <v>783</v>
      </c>
      <c r="T219">
        <v>22322.308554</v>
      </c>
      <c r="U219" s="2">
        <v>44425</v>
      </c>
      <c r="V219" t="s">
        <v>796</v>
      </c>
    </row>
    <row r="220" spans="1:22">
      <c r="A220" s="1" t="s">
        <v>240</v>
      </c>
      <c r="B220">
        <f>HYPERLINK("https://www.suredividend.com/sure-analysis-EQIX/","Equinix Inc")</f>
        <v>0</v>
      </c>
      <c r="C220">
        <v>798</v>
      </c>
      <c r="D220">
        <v>638</v>
      </c>
      <c r="E220">
        <v>1.250783699059561</v>
      </c>
      <c r="F220">
        <v>0.0143859649122807</v>
      </c>
      <c r="G220">
        <v>-0.04376737392892049</v>
      </c>
      <c r="H220">
        <v>0.1</v>
      </c>
      <c r="I220">
        <v>0.06718756642771173</v>
      </c>
      <c r="J220" t="s">
        <v>776</v>
      </c>
      <c r="K220" t="s">
        <v>514</v>
      </c>
      <c r="L220">
        <v>27.14</v>
      </c>
      <c r="M220">
        <v>11.48</v>
      </c>
      <c r="N220">
        <v>0.4229918938835667</v>
      </c>
      <c r="O220">
        <v>5</v>
      </c>
      <c r="P220">
        <v>0.1000160063233719</v>
      </c>
      <c r="Q220">
        <v>0.07314007724017101</v>
      </c>
      <c r="R220" t="s">
        <v>781</v>
      </c>
      <c r="S220" t="s">
        <v>793</v>
      </c>
      <c r="T220">
        <v>71591.75812</v>
      </c>
      <c r="U220" s="2">
        <v>44505</v>
      </c>
      <c r="V220" t="s">
        <v>801</v>
      </c>
    </row>
    <row r="221" spans="1:22">
      <c r="A221" s="1" t="s">
        <v>241</v>
      </c>
      <c r="B221">
        <f>HYPERLINK("https://www.suredividend.com/sure-analysis-PBCT/","People`s United Financial Inc")</f>
        <v>0</v>
      </c>
      <c r="C221">
        <v>18.63</v>
      </c>
      <c r="D221">
        <v>18</v>
      </c>
      <c r="E221">
        <v>1.035</v>
      </c>
      <c r="F221">
        <v>0.03918411164787976</v>
      </c>
      <c r="G221">
        <v>-0.00685667037055171</v>
      </c>
      <c r="H221">
        <v>0.04</v>
      </c>
      <c r="I221">
        <v>0.06644567779955812</v>
      </c>
      <c r="J221" t="s">
        <v>776</v>
      </c>
      <c r="K221" t="s">
        <v>775</v>
      </c>
      <c r="L221">
        <v>1.33</v>
      </c>
      <c r="M221">
        <v>0.73</v>
      </c>
      <c r="N221">
        <v>0.5488721804511277</v>
      </c>
      <c r="O221">
        <v>29</v>
      </c>
      <c r="P221">
        <v>0.01333804570728625</v>
      </c>
      <c r="Q221">
        <v>0.45880354516786</v>
      </c>
      <c r="R221" t="s">
        <v>779</v>
      </c>
      <c r="S221" t="s">
        <v>790</v>
      </c>
      <c r="T221">
        <v>7939.771167</v>
      </c>
      <c r="U221" s="2">
        <v>44495</v>
      </c>
      <c r="V221" t="s">
        <v>802</v>
      </c>
    </row>
    <row r="222" spans="1:22">
      <c r="A222" s="1" t="s">
        <v>242</v>
      </c>
      <c r="B222">
        <f>HYPERLINK("https://www.suredividend.com/sure-analysis-BAH/","Booz Allen Hamilton Holding Corp")</f>
        <v>0</v>
      </c>
      <c r="C222">
        <v>88.81999999999999</v>
      </c>
      <c r="D222">
        <v>76</v>
      </c>
      <c r="E222">
        <v>1.168684210526316</v>
      </c>
      <c r="F222">
        <v>0.01666291375816258</v>
      </c>
      <c r="G222">
        <v>-0.03069475067567529</v>
      </c>
      <c r="H222">
        <v>0.08</v>
      </c>
      <c r="I222">
        <v>0.06589611891507818</v>
      </c>
      <c r="J222" t="s">
        <v>776</v>
      </c>
      <c r="K222" t="s">
        <v>366</v>
      </c>
      <c r="L222">
        <v>4.2</v>
      </c>
      <c r="M222">
        <v>1.48</v>
      </c>
      <c r="N222">
        <v>0.3523809523809524</v>
      </c>
      <c r="O222">
        <v>10</v>
      </c>
      <c r="P222">
        <v>0.1201489042708301</v>
      </c>
      <c r="Q222">
        <v>0.008757899242606001</v>
      </c>
      <c r="R222" t="s">
        <v>779</v>
      </c>
      <c r="S222" t="s">
        <v>786</v>
      </c>
      <c r="T222">
        <v>11864.582688</v>
      </c>
      <c r="U222" s="2">
        <v>44508</v>
      </c>
      <c r="V222" t="s">
        <v>798</v>
      </c>
    </row>
    <row r="223" spans="1:22">
      <c r="A223" s="1" t="s">
        <v>243</v>
      </c>
      <c r="B223">
        <f>HYPERLINK("https://www.suredividend.com/sure-analysis-CSCO/","Cisco Systems, Inc.")</f>
        <v>0</v>
      </c>
      <c r="C223">
        <v>56.76</v>
      </c>
      <c r="D223">
        <v>51</v>
      </c>
      <c r="E223">
        <v>1.112941176470588</v>
      </c>
      <c r="F223">
        <v>0.02607470049330515</v>
      </c>
      <c r="G223">
        <v>-0.02117386226510232</v>
      </c>
      <c r="H223">
        <v>0.06</v>
      </c>
      <c r="I223">
        <v>0.06314545108068903</v>
      </c>
      <c r="J223" t="s">
        <v>776</v>
      </c>
      <c r="K223" t="s">
        <v>776</v>
      </c>
      <c r="L223">
        <v>3.42</v>
      </c>
      <c r="M223">
        <v>1.48</v>
      </c>
      <c r="N223">
        <v>0.4327485380116959</v>
      </c>
      <c r="O223">
        <v>11</v>
      </c>
      <c r="P223">
        <v>0.05993856763806171</v>
      </c>
      <c r="Q223">
        <v>0.379206883452179</v>
      </c>
      <c r="R223" t="s">
        <v>779</v>
      </c>
      <c r="S223" t="s">
        <v>785</v>
      </c>
      <c r="T223">
        <v>240404.743104</v>
      </c>
      <c r="U223" s="2">
        <v>44428</v>
      </c>
      <c r="V223" t="s">
        <v>795</v>
      </c>
    </row>
    <row r="224" spans="1:22">
      <c r="A224" s="1" t="s">
        <v>244</v>
      </c>
      <c r="B224">
        <f>HYPERLINK("https://www.suredividend.com/sure-analysis-HD/","Home Depot, Inc.")</f>
        <v>0</v>
      </c>
      <c r="C224">
        <v>394.85</v>
      </c>
      <c r="D224">
        <v>320</v>
      </c>
      <c r="E224">
        <v>1.23390625</v>
      </c>
      <c r="F224">
        <v>0.016715208306952</v>
      </c>
      <c r="G224">
        <v>-0.04116568739344539</v>
      </c>
      <c r="H224">
        <v>0.09</v>
      </c>
      <c r="I224">
        <v>0.06279454635377602</v>
      </c>
      <c r="J224" t="s">
        <v>776</v>
      </c>
      <c r="K224" t="s">
        <v>366</v>
      </c>
      <c r="L224">
        <v>14.55</v>
      </c>
      <c r="M224">
        <v>6.6</v>
      </c>
      <c r="N224">
        <v>0.4536082474226804</v>
      </c>
      <c r="O224">
        <v>12</v>
      </c>
      <c r="P224">
        <v>0.08989440052011655</v>
      </c>
      <c r="Q224">
        <v>0.434529329000213</v>
      </c>
      <c r="R224" t="s">
        <v>779</v>
      </c>
      <c r="S224" t="s">
        <v>788</v>
      </c>
      <c r="T224">
        <v>414048.877202</v>
      </c>
      <c r="U224" s="2">
        <v>44427</v>
      </c>
      <c r="V224" t="s">
        <v>801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53.2</v>
      </c>
      <c r="D225">
        <v>54</v>
      </c>
      <c r="E225">
        <v>0.9851851851851853</v>
      </c>
      <c r="F225">
        <v>0.03157894736842105</v>
      </c>
      <c r="G225">
        <v>0.002989589980749718</v>
      </c>
      <c r="H225">
        <v>0.03</v>
      </c>
      <c r="I225">
        <v>0.06178396679983345</v>
      </c>
      <c r="J225" t="s">
        <v>776</v>
      </c>
      <c r="K225" t="s">
        <v>775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0.08100208853013301</v>
      </c>
      <c r="R225" t="s">
        <v>779</v>
      </c>
      <c r="S225" t="s">
        <v>790</v>
      </c>
      <c r="T225">
        <v>4515.030059</v>
      </c>
      <c r="U225" s="2">
        <v>44512</v>
      </c>
      <c r="V225" t="s">
        <v>799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62.96</v>
      </c>
      <c r="D226">
        <v>62</v>
      </c>
      <c r="E226">
        <v>1.015483870967742</v>
      </c>
      <c r="F226">
        <v>0.03684879288437103</v>
      </c>
      <c r="G226">
        <v>-0.003068326846725089</v>
      </c>
      <c r="H226">
        <v>0.03</v>
      </c>
      <c r="I226">
        <v>0.0607749025946358</v>
      </c>
      <c r="J226" t="s">
        <v>776</v>
      </c>
      <c r="K226" t="s">
        <v>776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-0.012589291698424</v>
      </c>
      <c r="R226" t="s">
        <v>779</v>
      </c>
      <c r="S226" t="s">
        <v>789</v>
      </c>
      <c r="T226">
        <v>21610.12957</v>
      </c>
      <c r="U226" s="2">
        <v>44436</v>
      </c>
      <c r="V226" t="s">
        <v>799</v>
      </c>
    </row>
    <row r="227" spans="1:22">
      <c r="A227" s="1" t="s">
        <v>247</v>
      </c>
      <c r="B227">
        <f>HYPERLINK("https://www.suredividend.com/sure-analysis-AMX/","America Movil S.A.B.DE C.V.")</f>
        <v>0</v>
      </c>
      <c r="C227">
        <v>18.05</v>
      </c>
      <c r="D227">
        <v>18</v>
      </c>
      <c r="E227">
        <v>1.002777777777778</v>
      </c>
      <c r="F227">
        <v>0.0221606648199446</v>
      </c>
      <c r="G227">
        <v>-0.0005546315115934064</v>
      </c>
      <c r="H227">
        <v>0.04</v>
      </c>
      <c r="I227">
        <v>0.06031456642606559</v>
      </c>
      <c r="J227" t="s">
        <v>776</v>
      </c>
      <c r="K227" t="s">
        <v>366</v>
      </c>
      <c r="L227">
        <v>1.35</v>
      </c>
      <c r="M227">
        <v>0.4</v>
      </c>
      <c r="N227">
        <v>0.2962962962962963</v>
      </c>
      <c r="O227">
        <v>0</v>
      </c>
      <c r="P227">
        <v>0.04563955259127317</v>
      </c>
      <c r="Q227">
        <v>0.316847971822207</v>
      </c>
      <c r="R227" t="s">
        <v>779</v>
      </c>
      <c r="S227" t="s">
        <v>783</v>
      </c>
      <c r="T227">
        <v>40448.793621</v>
      </c>
      <c r="U227" s="2">
        <v>44494</v>
      </c>
      <c r="V227" t="s">
        <v>802</v>
      </c>
    </row>
    <row r="228" spans="1:22">
      <c r="A228" s="1" t="s">
        <v>248</v>
      </c>
      <c r="B228">
        <f>HYPERLINK("https://www.suredividend.com/sure-analysis-XOM/","Exxon Mobil Corp.")</f>
        <v>0</v>
      </c>
      <c r="C228">
        <v>64.31</v>
      </c>
      <c r="D228">
        <v>65</v>
      </c>
      <c r="E228">
        <v>0.9893846153846154</v>
      </c>
      <c r="F228">
        <v>0.05473487793500233</v>
      </c>
      <c r="G228">
        <v>0.002136705458366084</v>
      </c>
      <c r="H228">
        <v>0.01</v>
      </c>
      <c r="I228">
        <v>0.06023058658658043</v>
      </c>
      <c r="J228" t="s">
        <v>776</v>
      </c>
      <c r="K228" t="s">
        <v>775</v>
      </c>
      <c r="L228">
        <v>5</v>
      </c>
      <c r="M228">
        <v>3.52</v>
      </c>
      <c r="N228">
        <v>0.704</v>
      </c>
      <c r="O228">
        <v>39</v>
      </c>
      <c r="P228">
        <v>0.004504686905032917</v>
      </c>
      <c r="Q228">
        <v>0.808653273768129</v>
      </c>
      <c r="R228" t="s">
        <v>779</v>
      </c>
      <c r="S228" t="s">
        <v>792</v>
      </c>
      <c r="T228">
        <v>275266.515872</v>
      </c>
      <c r="U228" s="2">
        <v>44501</v>
      </c>
      <c r="V228" t="s">
        <v>802</v>
      </c>
    </row>
    <row r="229" spans="1:22">
      <c r="A229" s="1" t="s">
        <v>249</v>
      </c>
      <c r="B229">
        <f>HYPERLINK("https://www.suredividend.com/sure-analysis-YORW/","York Water Co.")</f>
        <v>0</v>
      </c>
      <c r="C229">
        <v>48.15</v>
      </c>
      <c r="D229">
        <v>45</v>
      </c>
      <c r="E229">
        <v>1.07</v>
      </c>
      <c r="F229">
        <v>0.01557632398753894</v>
      </c>
      <c r="G229">
        <v>-0.01344058740792065</v>
      </c>
      <c r="H229">
        <v>0.06</v>
      </c>
      <c r="I229">
        <v>0.06000730945286858</v>
      </c>
      <c r="J229" t="s">
        <v>776</v>
      </c>
      <c r="K229" t="s">
        <v>514</v>
      </c>
      <c r="L229">
        <v>1.29</v>
      </c>
      <c r="M229">
        <v>0.75</v>
      </c>
      <c r="N229">
        <v>0.5813953488372093</v>
      </c>
      <c r="O229">
        <v>24</v>
      </c>
      <c r="P229">
        <v>0.03943186329943948</v>
      </c>
      <c r="Q229">
        <v>0.038145254697773</v>
      </c>
      <c r="R229" t="s">
        <v>779</v>
      </c>
      <c r="S229" t="s">
        <v>791</v>
      </c>
      <c r="T229">
        <v>635.44249</v>
      </c>
      <c r="U229" s="2">
        <v>44507</v>
      </c>
      <c r="V229" t="s">
        <v>794</v>
      </c>
    </row>
    <row r="230" spans="1:22">
      <c r="A230" s="1" t="s">
        <v>250</v>
      </c>
      <c r="B230">
        <f>HYPERLINK("https://www.suredividend.com/sure-analysis-DTE/","DTE Energy Co.")</f>
        <v>0</v>
      </c>
      <c r="C230">
        <v>112.75</v>
      </c>
      <c r="D230">
        <v>102</v>
      </c>
      <c r="E230">
        <v>1.105392156862745</v>
      </c>
      <c r="F230">
        <v>0.03139689578713969</v>
      </c>
      <c r="G230">
        <v>-0.01984056622060271</v>
      </c>
      <c r="H230">
        <v>0.05</v>
      </c>
      <c r="I230">
        <v>0.05977521775790273</v>
      </c>
      <c r="J230" t="s">
        <v>776</v>
      </c>
      <c r="K230" t="s">
        <v>776</v>
      </c>
      <c r="L230">
        <v>6</v>
      </c>
      <c r="M230">
        <v>3.54</v>
      </c>
      <c r="N230">
        <v>0.59</v>
      </c>
      <c r="O230">
        <v>12</v>
      </c>
      <c r="P230">
        <v>0.05009123759249423</v>
      </c>
      <c r="Q230">
        <v>0.013868214211234</v>
      </c>
      <c r="R230" t="s">
        <v>779</v>
      </c>
      <c r="S230" t="s">
        <v>791</v>
      </c>
      <c r="T230">
        <v>21850.499686</v>
      </c>
      <c r="U230" s="2">
        <v>44498</v>
      </c>
      <c r="V230" t="s">
        <v>802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31.54</v>
      </c>
      <c r="D231">
        <v>28.6</v>
      </c>
      <c r="E231">
        <v>1.102797202797203</v>
      </c>
      <c r="F231">
        <v>0.02060875079264426</v>
      </c>
      <c r="G231">
        <v>-0.01937972390143872</v>
      </c>
      <c r="H231">
        <v>0.06</v>
      </c>
      <c r="I231">
        <v>0.05974874493589688</v>
      </c>
      <c r="J231" t="s">
        <v>776</v>
      </c>
      <c r="K231" t="s">
        <v>366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0.381343273717465</v>
      </c>
      <c r="R231" t="s">
        <v>779</v>
      </c>
      <c r="S231" t="s">
        <v>783</v>
      </c>
      <c r="T231">
        <v>60645.838839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92.73</v>
      </c>
      <c r="D232">
        <v>87</v>
      </c>
      <c r="E232">
        <v>1.065862068965517</v>
      </c>
      <c r="F232">
        <v>0.02156799309824221</v>
      </c>
      <c r="G232">
        <v>-0.01267576234326351</v>
      </c>
      <c r="H232">
        <v>0.05</v>
      </c>
      <c r="I232">
        <v>0.05749297519284502</v>
      </c>
      <c r="J232" t="s">
        <v>776</v>
      </c>
      <c r="K232" t="s">
        <v>776</v>
      </c>
      <c r="L232">
        <v>7.95</v>
      </c>
      <c r="M232">
        <v>2</v>
      </c>
      <c r="N232">
        <v>0.2515723270440252</v>
      </c>
      <c r="O232">
        <v>0</v>
      </c>
      <c r="P232">
        <v>0.04978904632428516</v>
      </c>
      <c r="Q232">
        <v>0.296381325075048</v>
      </c>
      <c r="R232" t="s">
        <v>779</v>
      </c>
      <c r="S232" t="s">
        <v>784</v>
      </c>
      <c r="T232">
        <v>122620.248649</v>
      </c>
      <c r="U232" s="2">
        <v>44503</v>
      </c>
      <c r="V232" t="s">
        <v>795</v>
      </c>
    </row>
    <row r="233" spans="1:22">
      <c r="A233" s="1" t="s">
        <v>253</v>
      </c>
      <c r="B233">
        <f>HYPERLINK("https://www.suredividend.com/sure-analysis-TSN/","Tyson Foods, Inc.")</f>
        <v>0</v>
      </c>
      <c r="C233">
        <v>82.59</v>
      </c>
      <c r="D233">
        <v>81</v>
      </c>
      <c r="E233">
        <v>1.01962962962963</v>
      </c>
      <c r="F233">
        <v>0.02155224603462889</v>
      </c>
      <c r="G233">
        <v>-0.00388034256844294</v>
      </c>
      <c r="H233">
        <v>0.04</v>
      </c>
      <c r="I233">
        <v>0.05740788352838999</v>
      </c>
      <c r="J233" t="s">
        <v>776</v>
      </c>
      <c r="K233" t="s">
        <v>776</v>
      </c>
      <c r="L233">
        <v>6.75</v>
      </c>
      <c r="M233">
        <v>1.78</v>
      </c>
      <c r="N233">
        <v>0.2637037037037037</v>
      </c>
      <c r="O233">
        <v>10</v>
      </c>
      <c r="P233">
        <v>0.05981824312960904</v>
      </c>
      <c r="Q233">
        <v>0.323328937014419</v>
      </c>
      <c r="R233" t="s">
        <v>779</v>
      </c>
      <c r="S233" t="s">
        <v>789</v>
      </c>
      <c r="T233">
        <v>30434.48688</v>
      </c>
      <c r="U233" s="2">
        <v>44515</v>
      </c>
      <c r="V233" t="s">
        <v>800</v>
      </c>
    </row>
    <row r="234" spans="1:22">
      <c r="A234" s="1" t="s">
        <v>254</v>
      </c>
      <c r="B234">
        <f>HYPERLINK("https://www.suredividend.com/sure-analysis-SBUX/","Starbucks Corp.")</f>
        <v>0</v>
      </c>
      <c r="C234">
        <v>112.52</v>
      </c>
      <c r="D234">
        <v>92</v>
      </c>
      <c r="E234">
        <v>1.223043478260869</v>
      </c>
      <c r="F234">
        <v>0.01741912548880199</v>
      </c>
      <c r="G234">
        <v>-0.03946848023446303</v>
      </c>
      <c r="H234">
        <v>0.08</v>
      </c>
      <c r="I234">
        <v>0.05577048199356271</v>
      </c>
      <c r="J234" t="s">
        <v>776</v>
      </c>
      <c r="K234" t="s">
        <v>366</v>
      </c>
      <c r="L234">
        <v>4</v>
      </c>
      <c r="M234">
        <v>1.96</v>
      </c>
      <c r="N234">
        <v>0.49</v>
      </c>
      <c r="O234">
        <v>11</v>
      </c>
      <c r="P234">
        <v>0.0800087729241854</v>
      </c>
      <c r="Q234">
        <v>0.166754513727532</v>
      </c>
      <c r="R234" t="s">
        <v>779</v>
      </c>
      <c r="S234" t="s">
        <v>788</v>
      </c>
      <c r="T234">
        <v>132330.393</v>
      </c>
      <c r="U234" s="2">
        <v>44504</v>
      </c>
      <c r="V234" t="s">
        <v>800</v>
      </c>
    </row>
    <row r="235" spans="1:22">
      <c r="A235" s="1" t="s">
        <v>255</v>
      </c>
      <c r="B235">
        <f>HYPERLINK("https://www.suredividend.com/sure-analysis-KMB/","Kimberly-Clark Corp.")</f>
        <v>0</v>
      </c>
      <c r="C235">
        <v>134.41</v>
      </c>
      <c r="D235">
        <v>112</v>
      </c>
      <c r="E235">
        <v>1.200089285714286</v>
      </c>
      <c r="F235">
        <v>0.03392604716910944</v>
      </c>
      <c r="G235">
        <v>-0.0358218434596056</v>
      </c>
      <c r="H235">
        <v>0.06</v>
      </c>
      <c r="I235">
        <v>0.05481734968478924</v>
      </c>
      <c r="J235" t="s">
        <v>776</v>
      </c>
      <c r="K235" t="s">
        <v>775</v>
      </c>
      <c r="L235">
        <v>6.2</v>
      </c>
      <c r="M235">
        <v>4.56</v>
      </c>
      <c r="N235">
        <v>0.7354838709677418</v>
      </c>
      <c r="O235">
        <v>49</v>
      </c>
      <c r="P235">
        <v>0.03932663634209943</v>
      </c>
      <c r="Q235">
        <v>-0.026084830456242</v>
      </c>
      <c r="R235" t="s">
        <v>779</v>
      </c>
      <c r="S235" t="s">
        <v>789</v>
      </c>
      <c r="T235">
        <v>45066.166072</v>
      </c>
      <c r="U235" s="2">
        <v>44499</v>
      </c>
      <c r="V235" t="s">
        <v>799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115.42</v>
      </c>
      <c r="D236">
        <v>122</v>
      </c>
      <c r="E236">
        <v>0.9460655737704918</v>
      </c>
      <c r="F236">
        <v>0.04643909201178305</v>
      </c>
      <c r="G236">
        <v>0.0111503863652076</v>
      </c>
      <c r="H236">
        <v>0</v>
      </c>
      <c r="I236">
        <v>0.05312809997006296</v>
      </c>
      <c r="J236" t="s">
        <v>776</v>
      </c>
      <c r="K236" t="s">
        <v>775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0.3723747148777301</v>
      </c>
      <c r="R236" t="s">
        <v>779</v>
      </c>
      <c r="S236" t="s">
        <v>792</v>
      </c>
      <c r="T236">
        <v>223495.905449</v>
      </c>
      <c r="U236" s="2">
        <v>44501</v>
      </c>
      <c r="V236" t="s">
        <v>802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207.85</v>
      </c>
      <c r="D237">
        <v>191</v>
      </c>
      <c r="E237">
        <v>1.088219895287958</v>
      </c>
      <c r="F237">
        <v>0.01962954053403897</v>
      </c>
      <c r="G237">
        <v>-0.01676649865910407</v>
      </c>
      <c r="H237">
        <v>0.05</v>
      </c>
      <c r="I237">
        <v>0.05243976307468401</v>
      </c>
      <c r="J237" t="s">
        <v>776</v>
      </c>
      <c r="K237" t="s">
        <v>366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0.278585161966994</v>
      </c>
      <c r="R237" t="s">
        <v>779</v>
      </c>
      <c r="S237" t="s">
        <v>786</v>
      </c>
      <c r="T237">
        <v>183140.428</v>
      </c>
      <c r="U237" s="2">
        <v>44495</v>
      </c>
      <c r="V237" t="s">
        <v>800</v>
      </c>
    </row>
    <row r="238" spans="1:22">
      <c r="A238" s="1" t="s">
        <v>258</v>
      </c>
      <c r="B238">
        <f>HYPERLINK("https://www.suredividend.com/sure-analysis-DPZ/","Dominos Pizza Inc")</f>
        <v>0</v>
      </c>
      <c r="C238">
        <v>531.48</v>
      </c>
      <c r="D238">
        <v>370</v>
      </c>
      <c r="E238">
        <v>1.436432432432432</v>
      </c>
      <c r="F238">
        <v>0.007074584180025588</v>
      </c>
      <c r="G238">
        <v>-0.06987148333234383</v>
      </c>
      <c r="H238">
        <v>0.12</v>
      </c>
      <c r="I238">
        <v>0.05084807196151586</v>
      </c>
      <c r="J238" t="s">
        <v>776</v>
      </c>
      <c r="K238" t="s">
        <v>514</v>
      </c>
      <c r="L238">
        <v>13.9</v>
      </c>
      <c r="M238">
        <v>3.76</v>
      </c>
      <c r="N238">
        <v>0.2705035971223022</v>
      </c>
      <c r="O238">
        <v>8</v>
      </c>
      <c r="P238">
        <v>0.1480866941841668</v>
      </c>
      <c r="Q238">
        <v>0.376686982137011</v>
      </c>
      <c r="R238" t="s">
        <v>779</v>
      </c>
      <c r="S238" t="s">
        <v>788</v>
      </c>
      <c r="T238">
        <v>19112.154619</v>
      </c>
      <c r="U238" s="2">
        <v>44486</v>
      </c>
      <c r="V238" t="s">
        <v>802</v>
      </c>
    </row>
    <row r="239" spans="1:22">
      <c r="A239" s="1" t="s">
        <v>259</v>
      </c>
      <c r="B239">
        <f>HYPERLINK("https://www.suredividend.com/sure-analysis-ARTNA/","Artesian Resources Corp.")</f>
        <v>0</v>
      </c>
      <c r="C239">
        <v>43.63</v>
      </c>
      <c r="D239">
        <v>44.6</v>
      </c>
      <c r="E239">
        <v>0.9782511210762332</v>
      </c>
      <c r="F239">
        <v>0.02452440980976392</v>
      </c>
      <c r="G239">
        <v>0.004407458779239759</v>
      </c>
      <c r="H239">
        <v>0.023</v>
      </c>
      <c r="I239">
        <v>0.05062178052334021</v>
      </c>
      <c r="J239" t="s">
        <v>776</v>
      </c>
      <c r="K239" t="s">
        <v>776</v>
      </c>
      <c r="L239">
        <v>2.23</v>
      </c>
      <c r="M239">
        <v>1.07</v>
      </c>
      <c r="N239">
        <v>0.4798206278026906</v>
      </c>
      <c r="O239">
        <v>24</v>
      </c>
      <c r="P239">
        <v>0.03158554278749115</v>
      </c>
      <c r="Q239">
        <v>0.11763018996613</v>
      </c>
      <c r="R239" t="s">
        <v>779</v>
      </c>
      <c r="S239" t="s">
        <v>791</v>
      </c>
      <c r="T239">
        <v>368.784449</v>
      </c>
      <c r="U239" s="2">
        <v>44509</v>
      </c>
      <c r="V239" t="s">
        <v>804</v>
      </c>
    </row>
    <row r="240" spans="1:22">
      <c r="A240" s="1" t="s">
        <v>260</v>
      </c>
      <c r="B240">
        <f>HYPERLINK("https://www.suredividend.com/sure-analysis-SJM/","J.M. Smucker Co.")</f>
        <v>0</v>
      </c>
      <c r="C240">
        <v>127.8</v>
      </c>
      <c r="D240">
        <v>110</v>
      </c>
      <c r="E240">
        <v>1.161818181818182</v>
      </c>
      <c r="F240">
        <v>0.03098591549295775</v>
      </c>
      <c r="G240">
        <v>-0.02955178338928266</v>
      </c>
      <c r="H240">
        <v>0.05</v>
      </c>
      <c r="I240">
        <v>0.04947756916189139</v>
      </c>
      <c r="J240" t="s">
        <v>776</v>
      </c>
      <c r="K240" t="s">
        <v>776</v>
      </c>
      <c r="L240">
        <v>6.9</v>
      </c>
      <c r="M240">
        <v>3.96</v>
      </c>
      <c r="N240">
        <v>0.5739130434782609</v>
      </c>
      <c r="O240">
        <v>24</v>
      </c>
      <c r="P240">
        <v>0.04008868188296377</v>
      </c>
      <c r="Q240">
        <v>0.093721586912739</v>
      </c>
      <c r="R240" t="s">
        <v>779</v>
      </c>
      <c r="S240" t="s">
        <v>789</v>
      </c>
      <c r="T240">
        <v>13816.795013</v>
      </c>
      <c r="U240" s="2">
        <v>44435</v>
      </c>
      <c r="V240" t="s">
        <v>800</v>
      </c>
    </row>
    <row r="241" spans="1:22">
      <c r="A241" s="1" t="s">
        <v>261</v>
      </c>
      <c r="B241">
        <f>HYPERLINK("https://www.suredividend.com/sure-analysis-RBA/","Ritchie Bros Auctioneers Inc")</f>
        <v>0</v>
      </c>
      <c r="C241">
        <v>72.40000000000001</v>
      </c>
      <c r="D241">
        <v>53</v>
      </c>
      <c r="E241">
        <v>1.366037735849057</v>
      </c>
      <c r="F241">
        <v>0.0138121546961326</v>
      </c>
      <c r="G241">
        <v>-0.06047690402453298</v>
      </c>
      <c r="H241">
        <v>0.1</v>
      </c>
      <c r="I241">
        <v>0.0492455257978599</v>
      </c>
      <c r="J241" t="s">
        <v>776</v>
      </c>
      <c r="K241" t="s">
        <v>514</v>
      </c>
      <c r="L241">
        <v>1.6</v>
      </c>
      <c r="M241">
        <v>1</v>
      </c>
      <c r="N241">
        <v>0.625</v>
      </c>
      <c r="O241">
        <v>17</v>
      </c>
      <c r="P241">
        <v>0.09993032380125255</v>
      </c>
      <c r="Q241">
        <v>0.167191313267074</v>
      </c>
      <c r="R241" t="s">
        <v>779</v>
      </c>
      <c r="S241" t="s">
        <v>786</v>
      </c>
      <c r="T241">
        <v>8021.609211</v>
      </c>
      <c r="U241" s="2">
        <v>44515</v>
      </c>
      <c r="V241" t="s">
        <v>794</v>
      </c>
    </row>
    <row r="242" spans="1:22">
      <c r="A242" s="1" t="s">
        <v>262</v>
      </c>
      <c r="B242">
        <f>HYPERLINK("https://www.suredividend.com/sure-analysis-SPTN/","SpartanNash Co")</f>
        <v>0</v>
      </c>
      <c r="C242">
        <v>24.62</v>
      </c>
      <c r="D242">
        <v>21</v>
      </c>
      <c r="E242">
        <v>1.172380952380953</v>
      </c>
      <c r="F242">
        <v>0.03249390739236394</v>
      </c>
      <c r="G242">
        <v>-0.03130680417990539</v>
      </c>
      <c r="H242">
        <v>0.05</v>
      </c>
      <c r="I242">
        <v>0.04917511114416584</v>
      </c>
      <c r="J242" t="s">
        <v>776</v>
      </c>
      <c r="K242" t="s">
        <v>776</v>
      </c>
      <c r="L242">
        <v>1.78</v>
      </c>
      <c r="M242">
        <v>0.8</v>
      </c>
      <c r="N242">
        <v>0.4494382022471911</v>
      </c>
      <c r="O242">
        <v>10</v>
      </c>
      <c r="P242">
        <v>0.03928904495613805</v>
      </c>
      <c r="Q242">
        <v>0.403754459671235</v>
      </c>
      <c r="R242" t="s">
        <v>779</v>
      </c>
      <c r="S242" t="s">
        <v>789</v>
      </c>
      <c r="T242">
        <v>907.954483</v>
      </c>
      <c r="U242" s="2">
        <v>44513</v>
      </c>
      <c r="V242" t="s">
        <v>801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23.48</v>
      </c>
      <c r="D243">
        <v>23</v>
      </c>
      <c r="E243">
        <v>1.020869565217391</v>
      </c>
      <c r="F243">
        <v>0.04258943781942078</v>
      </c>
      <c r="G243">
        <v>-0.004122435145075709</v>
      </c>
      <c r="H243">
        <v>0.01</v>
      </c>
      <c r="I243">
        <v>0.04893725967593698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0.4100595936030551</v>
      </c>
      <c r="R243" t="s">
        <v>779</v>
      </c>
      <c r="S243" t="s">
        <v>788</v>
      </c>
      <c r="T243">
        <v>227.476575</v>
      </c>
      <c r="U243" s="2">
        <v>44509</v>
      </c>
      <c r="V243" t="s">
        <v>798</v>
      </c>
    </row>
    <row r="244" spans="1:22">
      <c r="A244" s="1" t="s">
        <v>264</v>
      </c>
      <c r="B244">
        <f>HYPERLINK("https://www.suredividend.com/sure-analysis-CLX/","Clorox Co.")</f>
        <v>0</v>
      </c>
      <c r="C244">
        <v>169.25</v>
      </c>
      <c r="D244">
        <v>128</v>
      </c>
      <c r="E244">
        <v>1.322265625</v>
      </c>
      <c r="F244">
        <v>0.02741506646971935</v>
      </c>
      <c r="G244">
        <v>-0.05433730203566201</v>
      </c>
      <c r="H244">
        <v>0.08</v>
      </c>
      <c r="I244">
        <v>0.04825775796510046</v>
      </c>
      <c r="J244" t="s">
        <v>776</v>
      </c>
      <c r="K244" t="s">
        <v>776</v>
      </c>
      <c r="L244">
        <v>5.55</v>
      </c>
      <c r="M244">
        <v>4.64</v>
      </c>
      <c r="N244">
        <v>0.836036036036036</v>
      </c>
      <c r="O244">
        <v>44</v>
      </c>
      <c r="P244">
        <v>0.04017423812999366</v>
      </c>
      <c r="Q244">
        <v>-0.161464995814974</v>
      </c>
      <c r="R244" t="s">
        <v>779</v>
      </c>
      <c r="S244" t="s">
        <v>789</v>
      </c>
      <c r="T244">
        <v>20875.612571</v>
      </c>
      <c r="U244" s="2">
        <v>44415</v>
      </c>
      <c r="V244" t="s">
        <v>799</v>
      </c>
    </row>
    <row r="245" spans="1:22">
      <c r="A245" s="1" t="s">
        <v>265</v>
      </c>
      <c r="B245">
        <f>HYPERLINK("https://www.suredividend.com/sure-analysis-CTSH/","Cognizant Technology Solutions Corp.")</f>
        <v>0</v>
      </c>
      <c r="C245">
        <v>80.75</v>
      </c>
      <c r="D245">
        <v>65</v>
      </c>
      <c r="E245">
        <v>1.242307692307692</v>
      </c>
      <c r="F245">
        <v>0.01188854489164087</v>
      </c>
      <c r="G245">
        <v>-0.04246608524162288</v>
      </c>
      <c r="H245">
        <v>0.08</v>
      </c>
      <c r="I245">
        <v>0.04670069932084009</v>
      </c>
      <c r="J245" t="s">
        <v>776</v>
      </c>
      <c r="K245" t="s">
        <v>514</v>
      </c>
      <c r="L245">
        <v>4.05</v>
      </c>
      <c r="M245">
        <v>0.96</v>
      </c>
      <c r="N245">
        <v>0.237037037037037</v>
      </c>
      <c r="O245">
        <v>2</v>
      </c>
      <c r="P245">
        <v>0.07214502590085092</v>
      </c>
      <c r="Q245">
        <v>0.06403333060003601</v>
      </c>
      <c r="R245" t="s">
        <v>779</v>
      </c>
      <c r="S245" t="s">
        <v>785</v>
      </c>
      <c r="T245">
        <v>42939.329255</v>
      </c>
      <c r="U245" s="2">
        <v>44504</v>
      </c>
      <c r="V245" t="s">
        <v>802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57.19</v>
      </c>
      <c r="D246">
        <v>57</v>
      </c>
      <c r="E246">
        <v>1.003333333333333</v>
      </c>
      <c r="F246">
        <v>0.02937576499388005</v>
      </c>
      <c r="G246">
        <v>-0.0006653365839255354</v>
      </c>
      <c r="H246">
        <v>0.02</v>
      </c>
      <c r="I246">
        <v>0.04665721646413323</v>
      </c>
      <c r="J246" t="s">
        <v>776</v>
      </c>
      <c r="K246" t="s">
        <v>776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-0.020759957818412</v>
      </c>
      <c r="R246" t="s">
        <v>779</v>
      </c>
      <c r="S246" t="s">
        <v>790</v>
      </c>
      <c r="T246">
        <v>1526.800918</v>
      </c>
      <c r="U246" s="2">
        <v>44490</v>
      </c>
      <c r="V246" t="s">
        <v>795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105.78</v>
      </c>
      <c r="D247">
        <v>90</v>
      </c>
      <c r="E247">
        <v>1.175333333333333</v>
      </c>
      <c r="F247">
        <v>0.0381924749480053</v>
      </c>
      <c r="G247">
        <v>-0.03179395607490432</v>
      </c>
      <c r="H247">
        <v>0.04</v>
      </c>
      <c r="I247">
        <v>0.04411301950820534</v>
      </c>
      <c r="J247" t="s">
        <v>776</v>
      </c>
      <c r="K247" t="s">
        <v>775</v>
      </c>
      <c r="L247">
        <v>6</v>
      </c>
      <c r="M247">
        <v>4.04</v>
      </c>
      <c r="N247">
        <v>0.6733333333333333</v>
      </c>
      <c r="O247">
        <v>28</v>
      </c>
      <c r="P247">
        <v>0.02496011802205444</v>
      </c>
      <c r="Q247">
        <v>-0.030558754196202</v>
      </c>
      <c r="R247" t="s">
        <v>779</v>
      </c>
      <c r="S247" t="s">
        <v>791</v>
      </c>
      <c r="T247">
        <v>21167.350305</v>
      </c>
      <c r="U247" s="2">
        <v>44510</v>
      </c>
      <c r="V247" t="s">
        <v>797</v>
      </c>
    </row>
    <row r="248" spans="1:22">
      <c r="A248" s="1" t="s">
        <v>268</v>
      </c>
      <c r="B248">
        <f>HYPERLINK("https://www.suredividend.com/sure-analysis-ICE/","Intercontinental Exchange Inc")</f>
        <v>0</v>
      </c>
      <c r="C248">
        <v>136.27</v>
      </c>
      <c r="D248">
        <v>103</v>
      </c>
      <c r="E248">
        <v>1.323009708737864</v>
      </c>
      <c r="F248">
        <v>0.009686651500697144</v>
      </c>
      <c r="G248">
        <v>-0.05444369741316635</v>
      </c>
      <c r="H248">
        <v>0.09</v>
      </c>
      <c r="I248">
        <v>0.04260481890902645</v>
      </c>
      <c r="J248" t="s">
        <v>776</v>
      </c>
      <c r="K248" t="s">
        <v>514</v>
      </c>
      <c r="L248">
        <v>4.92</v>
      </c>
      <c r="M248">
        <v>1.32</v>
      </c>
      <c r="N248">
        <v>0.2682926829268293</v>
      </c>
      <c r="O248">
        <v>8</v>
      </c>
      <c r="P248">
        <v>0.1203569122523565</v>
      </c>
      <c r="Q248">
        <v>0.3801938580511131</v>
      </c>
      <c r="R248" t="s">
        <v>779</v>
      </c>
      <c r="S248" t="s">
        <v>790</v>
      </c>
      <c r="T248">
        <v>76662.428</v>
      </c>
      <c r="U248" s="2">
        <v>44430</v>
      </c>
      <c r="V248" t="s">
        <v>798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137.45</v>
      </c>
      <c r="D249">
        <v>107</v>
      </c>
      <c r="E249">
        <v>1.284579439252336</v>
      </c>
      <c r="F249">
        <v>0.01338668606766097</v>
      </c>
      <c r="G249">
        <v>-0.04885264025736547</v>
      </c>
      <c r="H249">
        <v>0.08</v>
      </c>
      <c r="I249">
        <v>0.04141874554121094</v>
      </c>
      <c r="J249" t="s">
        <v>776</v>
      </c>
      <c r="K249" t="s">
        <v>514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0.362819463883086</v>
      </c>
      <c r="R249" t="s">
        <v>779</v>
      </c>
      <c r="S249" t="s">
        <v>786</v>
      </c>
      <c r="T249">
        <v>43258.071934</v>
      </c>
      <c r="U249" s="2">
        <v>44502</v>
      </c>
      <c r="V249" t="s">
        <v>794</v>
      </c>
    </row>
    <row r="250" spans="1:22">
      <c r="A250" s="1" t="s">
        <v>270</v>
      </c>
      <c r="B250">
        <f>HYPERLINK("https://www.suredividend.com/sure-analysis-AAP/","Advance Auto Parts Inc")</f>
        <v>0</v>
      </c>
      <c r="C250">
        <v>232.55</v>
      </c>
      <c r="D250">
        <v>204</v>
      </c>
      <c r="E250">
        <v>1.139950980392157</v>
      </c>
      <c r="F250">
        <v>0.01720060202107074</v>
      </c>
      <c r="G250">
        <v>-0.02585688650983864</v>
      </c>
      <c r="H250">
        <v>0.05</v>
      </c>
      <c r="I250">
        <v>0.04123415908032402</v>
      </c>
      <c r="J250" t="s">
        <v>776</v>
      </c>
      <c r="K250" t="s">
        <v>366</v>
      </c>
      <c r="L250">
        <v>12</v>
      </c>
      <c r="M250">
        <v>4</v>
      </c>
      <c r="N250">
        <v>0.3333333333333333</v>
      </c>
      <c r="O250">
        <v>2</v>
      </c>
      <c r="P250">
        <v>0.06498652656427617</v>
      </c>
      <c r="Q250">
        <v>0.5804639129977041</v>
      </c>
      <c r="R250" t="s">
        <v>779</v>
      </c>
      <c r="S250" t="s">
        <v>788</v>
      </c>
      <c r="T250">
        <v>14848.644646</v>
      </c>
      <c r="U250" s="2">
        <v>44517</v>
      </c>
      <c r="V250" t="s">
        <v>800</v>
      </c>
    </row>
    <row r="251" spans="1:22">
      <c r="A251" s="1" t="s">
        <v>271</v>
      </c>
      <c r="B251">
        <f>HYPERLINK("https://www.suredividend.com/sure-analysis-CONE/","CyrusOne Inc")</f>
        <v>0</v>
      </c>
      <c r="C251">
        <v>89.34</v>
      </c>
      <c r="D251">
        <v>73</v>
      </c>
      <c r="E251">
        <v>1.223835616438356</v>
      </c>
      <c r="F251">
        <v>0.02328184463845982</v>
      </c>
      <c r="G251">
        <v>-0.03959285490482378</v>
      </c>
      <c r="H251">
        <v>0.06</v>
      </c>
      <c r="I251">
        <v>0.04102729652758819</v>
      </c>
      <c r="J251" t="s">
        <v>776</v>
      </c>
      <c r="K251" t="s">
        <v>366</v>
      </c>
      <c r="L251">
        <v>4.06</v>
      </c>
      <c r="M251">
        <v>2.08</v>
      </c>
      <c r="N251">
        <v>0.5123152709359606</v>
      </c>
      <c r="O251">
        <v>8</v>
      </c>
      <c r="P251">
        <v>0.03496752704080697</v>
      </c>
      <c r="Q251">
        <v>0.27358301736808</v>
      </c>
      <c r="R251" t="s">
        <v>781</v>
      </c>
      <c r="S251" t="s">
        <v>793</v>
      </c>
      <c r="T251">
        <v>11305.345101</v>
      </c>
      <c r="U251" s="2">
        <v>44500</v>
      </c>
      <c r="V251" t="s">
        <v>794</v>
      </c>
    </row>
    <row r="252" spans="1:22">
      <c r="A252" s="1" t="s">
        <v>272</v>
      </c>
      <c r="B252">
        <f>HYPERLINK("https://www.suredividend.com/sure-analysis-OTTR/","Otter Tail Corporation")</f>
        <v>0</v>
      </c>
      <c r="C252">
        <v>67.43000000000001</v>
      </c>
      <c r="D252">
        <v>72</v>
      </c>
      <c r="E252">
        <v>0.9365277777777778</v>
      </c>
      <c r="F252">
        <v>0.02313510306985021</v>
      </c>
      <c r="G252">
        <v>0.01320160096722733</v>
      </c>
      <c r="H252">
        <v>0.005</v>
      </c>
      <c r="I252">
        <v>0.04086858962669093</v>
      </c>
      <c r="J252" t="s">
        <v>776</v>
      </c>
      <c r="K252" t="s">
        <v>366</v>
      </c>
      <c r="L252">
        <v>3.61</v>
      </c>
      <c r="M252">
        <v>1.56</v>
      </c>
      <c r="N252">
        <v>0.4321329639889197</v>
      </c>
      <c r="O252">
        <v>8</v>
      </c>
      <c r="P252">
        <v>0.03131030647754507</v>
      </c>
      <c r="Q252">
        <v>0.6339756712069911</v>
      </c>
      <c r="R252" t="s">
        <v>779</v>
      </c>
      <c r="S252" t="s">
        <v>791</v>
      </c>
      <c r="T252">
        <v>2758.670337</v>
      </c>
      <c r="U252" s="2">
        <v>44506</v>
      </c>
      <c r="V252" t="s">
        <v>804</v>
      </c>
    </row>
    <row r="253" spans="1:22">
      <c r="A253" s="1" t="s">
        <v>273</v>
      </c>
      <c r="B253">
        <f>HYPERLINK("https://www.suredividend.com/sure-analysis-SIEGY/","Siemens AG")</f>
        <v>0</v>
      </c>
      <c r="C253">
        <v>87.84999999999999</v>
      </c>
      <c r="D253">
        <v>74</v>
      </c>
      <c r="E253">
        <v>1.187162162162162</v>
      </c>
      <c r="F253">
        <v>0.02401821286283438</v>
      </c>
      <c r="G253">
        <v>-0.03373112432023806</v>
      </c>
      <c r="H253">
        <v>0.05</v>
      </c>
      <c r="I253">
        <v>0.04031045176457915</v>
      </c>
      <c r="J253" t="s">
        <v>776</v>
      </c>
      <c r="K253" t="s">
        <v>366</v>
      </c>
      <c r="L253">
        <v>4.6</v>
      </c>
      <c r="M253">
        <v>2.11</v>
      </c>
      <c r="N253">
        <v>0.4586956521739131</v>
      </c>
      <c r="O253">
        <v>0</v>
      </c>
      <c r="P253">
        <v>0.0597253677135221</v>
      </c>
      <c r="Q253">
        <v>0.198602209944751</v>
      </c>
      <c r="R253" t="s">
        <v>779</v>
      </c>
      <c r="S253" t="s">
        <v>786</v>
      </c>
      <c r="T253">
        <v>147523.96</v>
      </c>
      <c r="U253" s="2">
        <v>44513</v>
      </c>
      <c r="V253" t="s">
        <v>797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77.5</v>
      </c>
      <c r="D254">
        <v>65</v>
      </c>
      <c r="E254">
        <v>1.192307692307692</v>
      </c>
      <c r="F254">
        <v>0.04</v>
      </c>
      <c r="G254">
        <v>-0.03456657489558213</v>
      </c>
      <c r="H254">
        <v>0.035</v>
      </c>
      <c r="I254">
        <v>0.04024086539686578</v>
      </c>
      <c r="J254" t="s">
        <v>776</v>
      </c>
      <c r="K254" t="s">
        <v>775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-0.025449937393455</v>
      </c>
      <c r="R254" t="s">
        <v>779</v>
      </c>
      <c r="S254" t="s">
        <v>791</v>
      </c>
      <c r="T254">
        <v>27394.157756</v>
      </c>
      <c r="U254" s="2">
        <v>44507</v>
      </c>
      <c r="V254" t="s">
        <v>795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86.94</v>
      </c>
      <c r="D255">
        <v>66</v>
      </c>
      <c r="E255">
        <v>1.317272727272727</v>
      </c>
      <c r="F255">
        <v>0.02346445824706694</v>
      </c>
      <c r="G255">
        <v>-0.05362151179555319</v>
      </c>
      <c r="H255">
        <v>0.07000000000000001</v>
      </c>
      <c r="I255">
        <v>0.03870287689420238</v>
      </c>
      <c r="J255" t="s">
        <v>776</v>
      </c>
      <c r="K255" t="s">
        <v>776</v>
      </c>
      <c r="L255">
        <v>4.15</v>
      </c>
      <c r="M255">
        <v>2.04</v>
      </c>
      <c r="N255">
        <v>0.4915662650602409</v>
      </c>
      <c r="O255">
        <v>27</v>
      </c>
      <c r="P255">
        <v>0.06990981876632385</v>
      </c>
      <c r="Q255">
        <v>0.318462930280154</v>
      </c>
      <c r="R255" t="s">
        <v>779</v>
      </c>
      <c r="S255" t="s">
        <v>786</v>
      </c>
      <c r="T255">
        <v>133063.541264</v>
      </c>
      <c r="U255" s="2">
        <v>44497</v>
      </c>
      <c r="V255" t="s">
        <v>800</v>
      </c>
    </row>
    <row r="256" spans="1:22">
      <c r="A256" s="1" t="s">
        <v>276</v>
      </c>
      <c r="B256">
        <f>HYPERLINK("https://www.suredividend.com/sure-analysis-NEP/","NextEra Energy Partners LP")</f>
        <v>0</v>
      </c>
      <c r="C256">
        <v>87.31</v>
      </c>
      <c r="D256">
        <v>72.8</v>
      </c>
      <c r="E256">
        <v>1.199313186813187</v>
      </c>
      <c r="F256">
        <v>0.03138243042034131</v>
      </c>
      <c r="G256">
        <v>-0.03569708805860194</v>
      </c>
      <c r="H256">
        <v>0.039</v>
      </c>
      <c r="I256">
        <v>0.0384507437896553</v>
      </c>
      <c r="J256" t="s">
        <v>776</v>
      </c>
      <c r="K256" t="s">
        <v>776</v>
      </c>
      <c r="L256">
        <v>6.62</v>
      </c>
      <c r="M256">
        <v>2.74</v>
      </c>
      <c r="N256">
        <v>0.4138972809667674</v>
      </c>
      <c r="O256">
        <v>7</v>
      </c>
      <c r="P256">
        <v>0.07860365022909654</v>
      </c>
      <c r="Q256">
        <v>0.381013687599362</v>
      </c>
      <c r="R256" t="s">
        <v>780</v>
      </c>
      <c r="S256" t="s">
        <v>791</v>
      </c>
      <c r="T256">
        <v>6649.031792</v>
      </c>
      <c r="U256" s="2">
        <v>44494</v>
      </c>
      <c r="V256" t="s">
        <v>804</v>
      </c>
    </row>
    <row r="257" spans="1:22">
      <c r="A257" s="1" t="s">
        <v>277</v>
      </c>
      <c r="B257">
        <f>HYPERLINK("https://www.suredividend.com/sure-analysis-AMT/","American Tower Corp.")</f>
        <v>0</v>
      </c>
      <c r="C257">
        <v>257.53</v>
      </c>
      <c r="D257">
        <v>209</v>
      </c>
      <c r="E257">
        <v>1.232200956937799</v>
      </c>
      <c r="F257">
        <v>0.02034714402205568</v>
      </c>
      <c r="G257">
        <v>-0.04090044022028227</v>
      </c>
      <c r="H257">
        <v>0.06</v>
      </c>
      <c r="I257">
        <v>0.03844780137555803</v>
      </c>
      <c r="J257" t="s">
        <v>776</v>
      </c>
      <c r="K257" t="s">
        <v>366</v>
      </c>
      <c r="L257">
        <v>9.5</v>
      </c>
      <c r="M257">
        <v>5.24</v>
      </c>
      <c r="N257">
        <v>0.5515789473684211</v>
      </c>
      <c r="O257">
        <v>9</v>
      </c>
      <c r="P257">
        <v>0.0599303946492904</v>
      </c>
      <c r="Q257">
        <v>0.105530254629599</v>
      </c>
      <c r="R257" t="s">
        <v>781</v>
      </c>
      <c r="S257" t="s">
        <v>793</v>
      </c>
      <c r="T257">
        <v>117970.364071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HYPERLINK("https://www.suredividend.com/sure-analysis-PEG/","Public Service Enterprise Group Inc.")</f>
        <v>0</v>
      </c>
      <c r="C258">
        <v>62.46</v>
      </c>
      <c r="D258">
        <v>54</v>
      </c>
      <c r="E258">
        <v>1.156666666666667</v>
      </c>
      <c r="F258">
        <v>0.03266090297790586</v>
      </c>
      <c r="G258">
        <v>-0.02868889067744929</v>
      </c>
      <c r="H258">
        <v>0.03</v>
      </c>
      <c r="I258">
        <v>0.03473075850905261</v>
      </c>
      <c r="J258" t="s">
        <v>776</v>
      </c>
      <c r="K258" t="s">
        <v>776</v>
      </c>
      <c r="L258">
        <v>3.63</v>
      </c>
      <c r="M258">
        <v>2.04</v>
      </c>
      <c r="N258">
        <v>0.5619834710743802</v>
      </c>
      <c r="O258">
        <v>9</v>
      </c>
      <c r="P258">
        <v>0.0398346919425614</v>
      </c>
      <c r="Q258">
        <v>0.08159003392040101</v>
      </c>
      <c r="R258" t="s">
        <v>779</v>
      </c>
      <c r="S258" t="s">
        <v>791</v>
      </c>
      <c r="T258">
        <v>31709.793956</v>
      </c>
      <c r="U258" s="2">
        <v>44513</v>
      </c>
      <c r="V258" t="s">
        <v>796</v>
      </c>
    </row>
    <row r="259" spans="1:22">
      <c r="A259" s="1" t="s">
        <v>279</v>
      </c>
      <c r="B259">
        <f>HYPERLINK("https://www.suredividend.com/sure-analysis-SBAC/","SBA Communications Corp")</f>
        <v>0</v>
      </c>
      <c r="C259">
        <v>350.29</v>
      </c>
      <c r="D259">
        <v>244</v>
      </c>
      <c r="E259">
        <v>1.435614754098361</v>
      </c>
      <c r="F259">
        <v>0.006623083730623197</v>
      </c>
      <c r="G259">
        <v>-0.06976555342038793</v>
      </c>
      <c r="H259">
        <v>0.1</v>
      </c>
      <c r="I259">
        <v>0.03382320710534481</v>
      </c>
      <c r="J259" t="s">
        <v>776</v>
      </c>
      <c r="K259" t="s">
        <v>514</v>
      </c>
      <c r="L259">
        <v>10.6</v>
      </c>
      <c r="M259">
        <v>2.32</v>
      </c>
      <c r="N259">
        <v>0.2188679245283019</v>
      </c>
      <c r="O259">
        <v>2</v>
      </c>
      <c r="P259">
        <v>0.1998793126786198</v>
      </c>
      <c r="Q259">
        <v>0.184881891055098</v>
      </c>
      <c r="R259" t="s">
        <v>779</v>
      </c>
      <c r="S259" t="s">
        <v>785</v>
      </c>
      <c r="T259">
        <v>37993.137154</v>
      </c>
      <c r="U259" s="2">
        <v>44502</v>
      </c>
      <c r="V259" t="s">
        <v>794</v>
      </c>
    </row>
    <row r="260" spans="1:22">
      <c r="A260" s="1" t="s">
        <v>280</v>
      </c>
      <c r="B260">
        <f>HYPERLINK("https://www.suredividend.com/sure-analysis-NSC/","Norfolk Southern Corp.")</f>
        <v>0</v>
      </c>
      <c r="C260">
        <v>274.6</v>
      </c>
      <c r="D260">
        <v>216</v>
      </c>
      <c r="E260">
        <v>1.271296296296296</v>
      </c>
      <c r="F260">
        <v>0.01587764020393299</v>
      </c>
      <c r="G260">
        <v>-0.04687328241342759</v>
      </c>
      <c r="H260">
        <v>0.065</v>
      </c>
      <c r="I260">
        <v>0.03336675635702258</v>
      </c>
      <c r="J260" t="s">
        <v>776</v>
      </c>
      <c r="K260" t="s">
        <v>366</v>
      </c>
      <c r="L260">
        <v>12</v>
      </c>
      <c r="M260">
        <v>4.36</v>
      </c>
      <c r="N260">
        <v>0.3633333333333333</v>
      </c>
      <c r="O260">
        <v>5</v>
      </c>
      <c r="P260">
        <v>0.0801257210213755</v>
      </c>
      <c r="Q260">
        <v>0.127649030609557</v>
      </c>
      <c r="R260" t="s">
        <v>779</v>
      </c>
      <c r="S260" t="s">
        <v>786</v>
      </c>
      <c r="T260">
        <v>69584.268258</v>
      </c>
      <c r="U260" s="2">
        <v>44503</v>
      </c>
      <c r="V260" t="s">
        <v>797</v>
      </c>
    </row>
    <row r="261" spans="1:22">
      <c r="A261" s="1" t="s">
        <v>281</v>
      </c>
      <c r="B261">
        <f>HYPERLINK("https://www.suredividend.com/sure-analysis-XEL/","Xcel Energy, Inc.")</f>
        <v>0</v>
      </c>
      <c r="C261">
        <v>64.97</v>
      </c>
      <c r="D261">
        <v>53</v>
      </c>
      <c r="E261">
        <v>1.225849056603774</v>
      </c>
      <c r="F261">
        <v>0.02816684623672464</v>
      </c>
      <c r="G261">
        <v>-0.03990855348272182</v>
      </c>
      <c r="H261">
        <v>0.04</v>
      </c>
      <c r="I261">
        <v>0.0285819579955453</v>
      </c>
      <c r="J261" t="s">
        <v>776</v>
      </c>
      <c r="K261" t="s">
        <v>776</v>
      </c>
      <c r="L261">
        <v>2.96</v>
      </c>
      <c r="M261">
        <v>1.83</v>
      </c>
      <c r="N261">
        <v>0.6182432432432433</v>
      </c>
      <c r="O261">
        <v>18</v>
      </c>
      <c r="P261">
        <v>0.04032911905890546</v>
      </c>
      <c r="Q261">
        <v>-0.117986957598437</v>
      </c>
      <c r="R261" t="s">
        <v>779</v>
      </c>
      <c r="S261" t="s">
        <v>791</v>
      </c>
      <c r="T261">
        <v>34534.490793</v>
      </c>
      <c r="U261" s="2">
        <v>44502</v>
      </c>
      <c r="V261" t="s">
        <v>800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353.52</v>
      </c>
      <c r="D262">
        <v>345</v>
      </c>
      <c r="E262">
        <v>1.024695652173913</v>
      </c>
      <c r="F262">
        <v>0.01188051595383571</v>
      </c>
      <c r="G262">
        <v>-0.004867245144588028</v>
      </c>
      <c r="H262">
        <v>0.02</v>
      </c>
      <c r="I262">
        <v>0.02844875294982163</v>
      </c>
      <c r="J262" t="s">
        <v>776</v>
      </c>
      <c r="K262" t="s">
        <v>514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0.412444147570584</v>
      </c>
      <c r="R262" t="s">
        <v>779</v>
      </c>
      <c r="S262" t="s">
        <v>786</v>
      </c>
      <c r="T262">
        <v>112245.355651</v>
      </c>
      <c r="U262" s="2">
        <v>44428</v>
      </c>
      <c r="V262" t="s">
        <v>800</v>
      </c>
    </row>
    <row r="263" spans="1:22">
      <c r="A263" s="1" t="s">
        <v>283</v>
      </c>
      <c r="B263">
        <f>HYPERLINK("https://www.suredividend.com/sure-analysis-PEP/","PepsiCo Inc")</f>
        <v>0</v>
      </c>
      <c r="C263">
        <v>163.37</v>
      </c>
      <c r="D263">
        <v>124</v>
      </c>
      <c r="E263">
        <v>1.3175</v>
      </c>
      <c r="F263">
        <v>0.02632062190120585</v>
      </c>
      <c r="G263">
        <v>-0.05365416467794837</v>
      </c>
      <c r="H263">
        <v>0.055</v>
      </c>
      <c r="I263">
        <v>0.0278057620817882</v>
      </c>
      <c r="J263" t="s">
        <v>776</v>
      </c>
      <c r="K263" t="s">
        <v>776</v>
      </c>
      <c r="L263">
        <v>6.2</v>
      </c>
      <c r="M263">
        <v>4.3</v>
      </c>
      <c r="N263">
        <v>0.6935483870967741</v>
      </c>
      <c r="O263">
        <v>49</v>
      </c>
      <c r="P263">
        <v>0.0550027021888726</v>
      </c>
      <c r="Q263">
        <v>0.153548941243948</v>
      </c>
      <c r="R263" t="s">
        <v>779</v>
      </c>
      <c r="S263" t="s">
        <v>789</v>
      </c>
      <c r="T263">
        <v>225801.052121</v>
      </c>
      <c r="U263" s="2">
        <v>44474</v>
      </c>
      <c r="V263" t="s">
        <v>795</v>
      </c>
    </row>
    <row r="264" spans="1:22">
      <c r="A264" s="1" t="s">
        <v>284</v>
      </c>
      <c r="B264">
        <f>HYPERLINK("https://www.suredividend.com/sure-analysis-MTB/","M &amp; T Bank Corp")</f>
        <v>0</v>
      </c>
      <c r="C264">
        <v>161.17</v>
      </c>
      <c r="D264">
        <v>120</v>
      </c>
      <c r="E264">
        <v>1.343083333333333</v>
      </c>
      <c r="F264">
        <v>0.02730036607309053</v>
      </c>
      <c r="G264">
        <v>-0.05728719104317481</v>
      </c>
      <c r="H264">
        <v>0.057</v>
      </c>
      <c r="I264">
        <v>0.02520360295492141</v>
      </c>
      <c r="J264" t="s">
        <v>776</v>
      </c>
      <c r="K264" t="s">
        <v>776</v>
      </c>
      <c r="L264">
        <v>12.02</v>
      </c>
      <c r="M264">
        <v>4.4</v>
      </c>
      <c r="N264">
        <v>0.3660565723793678</v>
      </c>
      <c r="O264">
        <v>4</v>
      </c>
      <c r="P264">
        <v>0.03197912046824536</v>
      </c>
      <c r="Q264">
        <v>0.303757017791951</v>
      </c>
      <c r="R264" t="s">
        <v>779</v>
      </c>
      <c r="S264" t="s">
        <v>790</v>
      </c>
      <c r="T264">
        <v>20643.578238</v>
      </c>
      <c r="U264" s="2">
        <v>44490</v>
      </c>
      <c r="V264" t="s">
        <v>795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489</v>
      </c>
      <c r="D265">
        <v>400</v>
      </c>
      <c r="E265">
        <v>1.2225</v>
      </c>
      <c r="F265">
        <v>0.01063394683026585</v>
      </c>
      <c r="G265">
        <v>-0.03938309206351931</v>
      </c>
      <c r="H265">
        <v>0.055</v>
      </c>
      <c r="I265">
        <v>0.02489056854331206</v>
      </c>
      <c r="J265" t="s">
        <v>776</v>
      </c>
      <c r="K265" t="s">
        <v>514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0.282300440970663</v>
      </c>
      <c r="R265" t="s">
        <v>779</v>
      </c>
      <c r="S265" t="s">
        <v>789</v>
      </c>
      <c r="T265">
        <v>270816.849521</v>
      </c>
      <c r="U265" s="2">
        <v>44505</v>
      </c>
      <c r="V265" t="s">
        <v>794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178.399</v>
      </c>
      <c r="D266">
        <v>141</v>
      </c>
      <c r="E266">
        <v>1.265241134751773</v>
      </c>
      <c r="F266">
        <v>0.02017948531101632</v>
      </c>
      <c r="G266">
        <v>-0.04596273349480795</v>
      </c>
      <c r="H266">
        <v>0.05</v>
      </c>
      <c r="I266">
        <v>0.02396958748948674</v>
      </c>
      <c r="J266" t="s">
        <v>776</v>
      </c>
      <c r="K266" t="s">
        <v>366</v>
      </c>
      <c r="L266">
        <v>7.05</v>
      </c>
      <c r="M266">
        <v>3.6</v>
      </c>
      <c r="N266">
        <v>0.5106382978723405</v>
      </c>
      <c r="O266">
        <v>12</v>
      </c>
      <c r="P266">
        <v>0.04978904632428516</v>
      </c>
      <c r="Q266">
        <v>0.169293607703705</v>
      </c>
      <c r="R266" t="s">
        <v>779</v>
      </c>
      <c r="S266" t="s">
        <v>789</v>
      </c>
      <c r="T266">
        <v>36990.99624</v>
      </c>
      <c r="U266" s="2">
        <v>44500</v>
      </c>
      <c r="V266" t="s">
        <v>800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69.69</v>
      </c>
      <c r="D267">
        <v>62</v>
      </c>
      <c r="E267">
        <v>1.124032258064516</v>
      </c>
      <c r="F267">
        <v>0.0264026402640264</v>
      </c>
      <c r="G267">
        <v>-0.02311319173195203</v>
      </c>
      <c r="H267">
        <v>0.02</v>
      </c>
      <c r="I267">
        <v>0.02327421176583999</v>
      </c>
      <c r="J267" t="s">
        <v>776</v>
      </c>
      <c r="K267" t="s">
        <v>776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0.54023410683912</v>
      </c>
      <c r="R267" t="s">
        <v>779</v>
      </c>
      <c r="S267" t="s">
        <v>788</v>
      </c>
      <c r="T267">
        <v>3414.354505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164.91</v>
      </c>
      <c r="D268">
        <v>136</v>
      </c>
      <c r="E268">
        <v>1.212573529411765</v>
      </c>
      <c r="F268">
        <v>0.01164271420774968</v>
      </c>
      <c r="G268">
        <v>-0.03781544053442365</v>
      </c>
      <c r="H268">
        <v>0.05</v>
      </c>
      <c r="I268">
        <v>0.02293947414921749</v>
      </c>
      <c r="J268" t="s">
        <v>776</v>
      </c>
      <c r="K268" t="s">
        <v>514</v>
      </c>
      <c r="L268">
        <v>5.45</v>
      </c>
      <c r="M268">
        <v>1.92</v>
      </c>
      <c r="N268">
        <v>0.3522935779816513</v>
      </c>
      <c r="O268">
        <v>11</v>
      </c>
      <c r="P268">
        <v>0.04996052445273014</v>
      </c>
      <c r="Q268">
        <v>0.440794964258747</v>
      </c>
      <c r="R268" t="s">
        <v>779</v>
      </c>
      <c r="S268" t="s">
        <v>790</v>
      </c>
      <c r="T268">
        <v>34567.75206</v>
      </c>
      <c r="U268" s="2">
        <v>44518</v>
      </c>
      <c r="V268" t="s">
        <v>799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43.98</v>
      </c>
      <c r="D269">
        <v>36</v>
      </c>
      <c r="E269">
        <v>1.221666666666667</v>
      </c>
      <c r="F269">
        <v>0.03001364256480219</v>
      </c>
      <c r="G269">
        <v>-0.03925207502264749</v>
      </c>
      <c r="H269">
        <v>0.03</v>
      </c>
      <c r="I269">
        <v>0.02164991332794397</v>
      </c>
      <c r="J269" t="s">
        <v>776</v>
      </c>
      <c r="K269" t="s">
        <v>776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0.465636891282548</v>
      </c>
      <c r="R269" t="s">
        <v>779</v>
      </c>
      <c r="S269" t="s">
        <v>790</v>
      </c>
      <c r="T269">
        <v>1424.665156</v>
      </c>
      <c r="U269" s="2">
        <v>44495</v>
      </c>
      <c r="V269" t="s">
        <v>795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170.75</v>
      </c>
      <c r="D270">
        <v>136</v>
      </c>
      <c r="E270">
        <v>1.255514705882353</v>
      </c>
      <c r="F270">
        <v>0.01411420204978038</v>
      </c>
      <c r="G270">
        <v>-0.04448911415691881</v>
      </c>
      <c r="H270">
        <v>0.05</v>
      </c>
      <c r="I270">
        <v>0.02084144452233727</v>
      </c>
      <c r="J270" t="s">
        <v>776</v>
      </c>
      <c r="K270" t="s">
        <v>514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0.046186236345933</v>
      </c>
      <c r="R270" t="s">
        <v>779</v>
      </c>
      <c r="S270" t="s">
        <v>791</v>
      </c>
      <c r="T270">
        <v>30995.755094</v>
      </c>
      <c r="U270" s="2">
        <v>44504</v>
      </c>
      <c r="V270" t="s">
        <v>794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49.86</v>
      </c>
      <c r="D271">
        <v>42</v>
      </c>
      <c r="E271">
        <v>1.187142857142857</v>
      </c>
      <c r="F271">
        <v>0.02346570397111913</v>
      </c>
      <c r="G271">
        <v>-0.03372798169627322</v>
      </c>
      <c r="H271">
        <v>0.03</v>
      </c>
      <c r="I271">
        <v>0.01996597863659</v>
      </c>
      <c r="J271" t="s">
        <v>776</v>
      </c>
      <c r="K271" t="s">
        <v>776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0.201845041692709</v>
      </c>
      <c r="R271" t="s">
        <v>779</v>
      </c>
      <c r="S271" t="s">
        <v>784</v>
      </c>
      <c r="T271">
        <v>278833.084376</v>
      </c>
      <c r="U271" s="2">
        <v>44490</v>
      </c>
      <c r="V271" t="s">
        <v>805</v>
      </c>
    </row>
    <row r="272" spans="1:22">
      <c r="A272" s="1" t="s">
        <v>292</v>
      </c>
      <c r="B272">
        <f>HYPERLINK("https://www.suredividend.com/sure-analysis-UNP/","Union Pacific Corp.")</f>
        <v>0</v>
      </c>
      <c r="C272">
        <v>239.75</v>
      </c>
      <c r="D272">
        <v>169</v>
      </c>
      <c r="E272">
        <v>1.418639053254438</v>
      </c>
      <c r="F272">
        <v>0.01785192909280501</v>
      </c>
      <c r="G272">
        <v>-0.0675498615902943</v>
      </c>
      <c r="H272">
        <v>0.07000000000000001</v>
      </c>
      <c r="I272">
        <v>0.01779643535915509</v>
      </c>
      <c r="J272" t="s">
        <v>776</v>
      </c>
      <c r="K272" t="s">
        <v>366</v>
      </c>
      <c r="L272">
        <v>9.93</v>
      </c>
      <c r="M272">
        <v>4.28</v>
      </c>
      <c r="N272">
        <v>0.4310171198388721</v>
      </c>
      <c r="O272">
        <v>14</v>
      </c>
      <c r="P272">
        <v>0.04990444580451969</v>
      </c>
      <c r="Q272">
        <v>0.184960986283247</v>
      </c>
      <c r="R272" t="s">
        <v>779</v>
      </c>
      <c r="S272" t="s">
        <v>786</v>
      </c>
      <c r="T272">
        <v>155241.624036</v>
      </c>
      <c r="U272" s="2">
        <v>44490</v>
      </c>
      <c r="V272" t="s">
        <v>795</v>
      </c>
    </row>
    <row r="273" spans="1:22">
      <c r="A273" s="1" t="s">
        <v>293</v>
      </c>
      <c r="B273">
        <f>HYPERLINK("https://www.suredividend.com/sure-analysis-NEE/","NextEra Energy Inc")</f>
        <v>0</v>
      </c>
      <c r="C273">
        <v>87.78</v>
      </c>
      <c r="D273">
        <v>61</v>
      </c>
      <c r="E273">
        <v>1.439016393442623</v>
      </c>
      <c r="F273">
        <v>0.01754385964912281</v>
      </c>
      <c r="G273">
        <v>-0.07020575943458729</v>
      </c>
      <c r="H273">
        <v>0.07000000000000001</v>
      </c>
      <c r="I273">
        <v>0.0168182970536408</v>
      </c>
      <c r="J273" t="s">
        <v>776</v>
      </c>
      <c r="K273" t="s">
        <v>366</v>
      </c>
      <c r="L273">
        <v>2.47</v>
      </c>
      <c r="M273">
        <v>1.54</v>
      </c>
      <c r="N273">
        <v>0.6234817813765182</v>
      </c>
      <c r="O273">
        <v>25</v>
      </c>
      <c r="P273">
        <v>0.08353120449915608</v>
      </c>
      <c r="Q273">
        <v>0.135027566632956</v>
      </c>
      <c r="R273" t="s">
        <v>779</v>
      </c>
      <c r="S273" t="s">
        <v>791</v>
      </c>
      <c r="T273">
        <v>170399.904425</v>
      </c>
      <c r="U273" s="2">
        <v>44498</v>
      </c>
      <c r="V273" t="s">
        <v>803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98.87</v>
      </c>
      <c r="D274">
        <v>79</v>
      </c>
      <c r="E274">
        <v>1.251518987341772</v>
      </c>
      <c r="F274">
        <v>0.02629715788409022</v>
      </c>
      <c r="G274">
        <v>-0.04387976086753753</v>
      </c>
      <c r="H274">
        <v>0.03</v>
      </c>
      <c r="I274">
        <v>0.01530714634196606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0.329042080100425</v>
      </c>
      <c r="R274" t="s">
        <v>779</v>
      </c>
      <c r="S274" t="s">
        <v>789</v>
      </c>
      <c r="T274">
        <v>6621.655953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HYPERLINK("https://www.suredividend.com/sure-analysis-HON/","Honeywell International Inc")</f>
        <v>0</v>
      </c>
      <c r="C275">
        <v>220.49</v>
      </c>
      <c r="D275">
        <v>137</v>
      </c>
      <c r="E275">
        <v>1.609416058394161</v>
      </c>
      <c r="F275">
        <v>0.01777858406276929</v>
      </c>
      <c r="G275">
        <v>-0.09078554024783381</v>
      </c>
      <c r="H275">
        <v>0.09</v>
      </c>
      <c r="I275">
        <v>0.01399709898717871</v>
      </c>
      <c r="J275" t="s">
        <v>776</v>
      </c>
      <c r="K275" t="s">
        <v>366</v>
      </c>
      <c r="L275">
        <v>8.050000000000001</v>
      </c>
      <c r="M275">
        <v>3.92</v>
      </c>
      <c r="N275">
        <v>0.4869565217391304</v>
      </c>
      <c r="O275">
        <v>12</v>
      </c>
      <c r="P275">
        <v>0.08994918009420316</v>
      </c>
      <c r="Q275">
        <v>0.07940346830955801</v>
      </c>
      <c r="R275" t="s">
        <v>779</v>
      </c>
      <c r="S275" t="s">
        <v>786</v>
      </c>
      <c r="T275">
        <v>152396.193976</v>
      </c>
      <c r="U275" s="2">
        <v>44491</v>
      </c>
      <c r="V275" t="s">
        <v>795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14.32</v>
      </c>
      <c r="D276">
        <v>11</v>
      </c>
      <c r="E276">
        <v>1.301818181818182</v>
      </c>
      <c r="F276">
        <v>0.01606145251396648</v>
      </c>
      <c r="G276">
        <v>-0.05138511844394111</v>
      </c>
      <c r="H276">
        <v>0.05</v>
      </c>
      <c r="I276">
        <v>0.01379253859905805</v>
      </c>
      <c r="J276" t="s">
        <v>776</v>
      </c>
      <c r="K276" t="s">
        <v>514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0.219625184249315</v>
      </c>
      <c r="R276" t="s">
        <v>779</v>
      </c>
      <c r="S276" t="s">
        <v>786</v>
      </c>
      <c r="T276">
        <v>2295.952203</v>
      </c>
      <c r="U276" s="2">
        <v>44511</v>
      </c>
      <c r="V276" t="s">
        <v>794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80</v>
      </c>
      <c r="D277">
        <v>65</v>
      </c>
      <c r="E277">
        <v>1.230769230769231</v>
      </c>
      <c r="F277">
        <v>0.02175</v>
      </c>
      <c r="G277">
        <v>-0.04067740418734689</v>
      </c>
      <c r="H277">
        <v>0.03</v>
      </c>
      <c r="I277">
        <v>0.01190349396746226</v>
      </c>
      <c r="J277" t="s">
        <v>776</v>
      </c>
      <c r="K277" t="s">
        <v>776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0.268474523708939</v>
      </c>
      <c r="R277" t="s">
        <v>779</v>
      </c>
      <c r="S277" t="s">
        <v>786</v>
      </c>
      <c r="T277">
        <v>1943.847357</v>
      </c>
      <c r="U277" s="2">
        <v>44498</v>
      </c>
      <c r="V277" t="s">
        <v>795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262.53</v>
      </c>
      <c r="D278">
        <v>151</v>
      </c>
      <c r="E278">
        <v>1.738609271523179</v>
      </c>
      <c r="F278">
        <v>0.006399268655010856</v>
      </c>
      <c r="G278">
        <v>-0.1047185177802058</v>
      </c>
      <c r="H278">
        <v>0.12</v>
      </c>
      <c r="I278">
        <v>0.01108533549383384</v>
      </c>
      <c r="J278" t="s">
        <v>776</v>
      </c>
      <c r="K278" t="s">
        <v>514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0.245084118402603</v>
      </c>
      <c r="R278" t="s">
        <v>779</v>
      </c>
      <c r="S278" t="s">
        <v>784</v>
      </c>
      <c r="T278">
        <v>38832.30288</v>
      </c>
      <c r="U278" s="2">
        <v>44508</v>
      </c>
      <c r="V278" t="s">
        <v>797</v>
      </c>
    </row>
    <row r="279" spans="1:22">
      <c r="A279" s="1" t="s">
        <v>299</v>
      </c>
      <c r="B279">
        <f>HYPERLINK("https://www.suredividend.com/sure-analysis-PRGO/","Perrigo Company plc")</f>
        <v>0</v>
      </c>
      <c r="C279">
        <v>42.74</v>
      </c>
      <c r="D279">
        <v>31</v>
      </c>
      <c r="E279">
        <v>1.378709677419355</v>
      </c>
      <c r="F279">
        <v>0.02246139447824052</v>
      </c>
      <c r="G279">
        <v>-0.0622103502112723</v>
      </c>
      <c r="H279">
        <v>0.05</v>
      </c>
      <c r="I279">
        <v>0.01102240876457117</v>
      </c>
      <c r="J279" t="s">
        <v>776</v>
      </c>
      <c r="K279" t="s">
        <v>776</v>
      </c>
      <c r="L279">
        <v>2.05</v>
      </c>
      <c r="M279">
        <v>0.96</v>
      </c>
      <c r="N279">
        <v>0.4682926829268293</v>
      </c>
      <c r="O279">
        <v>19</v>
      </c>
      <c r="P279">
        <v>0.05081623913789235</v>
      </c>
      <c r="Q279">
        <v>-0.107124313052725</v>
      </c>
      <c r="R279" t="s">
        <v>779</v>
      </c>
      <c r="S279" t="s">
        <v>784</v>
      </c>
      <c r="T279">
        <v>5750.939144</v>
      </c>
      <c r="U279" s="2">
        <v>44510</v>
      </c>
      <c r="V279" t="s">
        <v>795</v>
      </c>
    </row>
    <row r="280" spans="1:22">
      <c r="A280" s="1" t="s">
        <v>300</v>
      </c>
      <c r="B280">
        <f>HYPERLINK("https://www.suredividend.com/sure-analysis-TR/","Tootsie Roll Industries, Inc.")</f>
        <v>0</v>
      </c>
      <c r="C280">
        <v>32.8</v>
      </c>
      <c r="D280">
        <v>28</v>
      </c>
      <c r="E280">
        <v>1.171428571428571</v>
      </c>
      <c r="F280">
        <v>0.01097560975609756</v>
      </c>
      <c r="G280">
        <v>-0.03114934428929972</v>
      </c>
      <c r="H280">
        <v>0.03</v>
      </c>
      <c r="I280">
        <v>0.008746118605258646</v>
      </c>
      <c r="J280" t="s">
        <v>776</v>
      </c>
      <c r="K280" t="s">
        <v>514</v>
      </c>
      <c r="L280">
        <v>0.92</v>
      </c>
      <c r="M280">
        <v>0.36</v>
      </c>
      <c r="N280">
        <v>0.3913043478260869</v>
      </c>
      <c r="O280">
        <v>0</v>
      </c>
      <c r="P280">
        <v>0</v>
      </c>
      <c r="Q280">
        <v>0.034715092402464</v>
      </c>
      <c r="R280" t="s">
        <v>779</v>
      </c>
      <c r="S280" t="s">
        <v>789</v>
      </c>
      <c r="T280">
        <v>1268.460612</v>
      </c>
      <c r="U280" s="2">
        <v>44430</v>
      </c>
      <c r="V280" t="s">
        <v>798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47.36</v>
      </c>
      <c r="D281">
        <v>30</v>
      </c>
      <c r="E281">
        <v>1.578666666666667</v>
      </c>
      <c r="F281">
        <v>0.02259290540540541</v>
      </c>
      <c r="G281">
        <v>-0.08727086827167352</v>
      </c>
      <c r="H281">
        <v>0.07000000000000001</v>
      </c>
      <c r="I281">
        <v>0.004622814549473553</v>
      </c>
      <c r="J281" t="s">
        <v>776</v>
      </c>
      <c r="K281" t="s">
        <v>366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0.05539896044653</v>
      </c>
      <c r="R281" t="s">
        <v>779</v>
      </c>
      <c r="S281" t="s">
        <v>791</v>
      </c>
      <c r="T281">
        <v>11952.21089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HYPERLINK("https://www.suredividend.com/sure-analysis-APD/","Air Products &amp; Chemicals Inc.")</f>
        <v>0</v>
      </c>
      <c r="C282">
        <v>299.49</v>
      </c>
      <c r="D282">
        <v>200</v>
      </c>
      <c r="E282">
        <v>1.49745</v>
      </c>
      <c r="F282">
        <v>0.02003405789842733</v>
      </c>
      <c r="G282">
        <v>-0.07757825164213394</v>
      </c>
      <c r="H282">
        <v>0.06</v>
      </c>
      <c r="I282">
        <v>0.003374760523707554</v>
      </c>
      <c r="J282" t="s">
        <v>776</v>
      </c>
      <c r="K282" t="s">
        <v>776</v>
      </c>
      <c r="L282">
        <v>10.5</v>
      </c>
      <c r="M282">
        <v>6</v>
      </c>
      <c r="N282">
        <v>0.5714285714285714</v>
      </c>
      <c r="O282">
        <v>39</v>
      </c>
      <c r="P282">
        <v>0.07011922960697747</v>
      </c>
      <c r="Q282">
        <v>0.155918667798943</v>
      </c>
      <c r="R282" t="s">
        <v>779</v>
      </c>
      <c r="S282" t="s">
        <v>787</v>
      </c>
      <c r="T282">
        <v>66741.44499</v>
      </c>
      <c r="U282" s="2">
        <v>44506</v>
      </c>
      <c r="V282" t="s">
        <v>797</v>
      </c>
    </row>
    <row r="283" spans="1:22">
      <c r="A283" s="1" t="s">
        <v>303</v>
      </c>
      <c r="B283">
        <f>HYPERLINK("https://www.suredividend.com/sure-analysis-IFF/","International Flavors &amp; Fragrances Inc.")</f>
        <v>0</v>
      </c>
      <c r="C283">
        <v>152.83</v>
      </c>
      <c r="D283">
        <v>113</v>
      </c>
      <c r="E283">
        <v>1.352477876106195</v>
      </c>
      <c r="F283">
        <v>0.02067656873650461</v>
      </c>
      <c r="G283">
        <v>-0.05860049399988354</v>
      </c>
      <c r="H283">
        <v>0.04</v>
      </c>
      <c r="I283">
        <v>0.003171341224891711</v>
      </c>
      <c r="J283" t="s">
        <v>776</v>
      </c>
      <c r="K283" t="s">
        <v>366</v>
      </c>
      <c r="L283">
        <v>5.63</v>
      </c>
      <c r="M283">
        <v>3.16</v>
      </c>
      <c r="N283">
        <v>0.5612788632326821</v>
      </c>
      <c r="O283">
        <v>19</v>
      </c>
      <c r="P283">
        <v>0.03974975894363819</v>
      </c>
      <c r="Q283">
        <v>0.364918167377607</v>
      </c>
      <c r="R283" t="s">
        <v>779</v>
      </c>
      <c r="S283" t="s">
        <v>787</v>
      </c>
      <c r="T283">
        <v>38932.962732</v>
      </c>
      <c r="U283" s="2">
        <v>44516</v>
      </c>
      <c r="V283" t="s">
        <v>798</v>
      </c>
    </row>
    <row r="284" spans="1:22">
      <c r="A284" s="1" t="s">
        <v>304</v>
      </c>
      <c r="B284">
        <f>HYPERLINK("https://www.suredividend.com/sure-analysis-CARR/","Carrier Global Corp")</f>
        <v>0</v>
      </c>
      <c r="C284">
        <v>56.12</v>
      </c>
      <c r="D284">
        <v>40</v>
      </c>
      <c r="E284">
        <v>1.403</v>
      </c>
      <c r="F284">
        <v>0.008553100498930863</v>
      </c>
      <c r="G284">
        <v>-0.06548028944667061</v>
      </c>
      <c r="H284">
        <v>0.06</v>
      </c>
      <c r="I284">
        <v>0.002121213180393156</v>
      </c>
      <c r="J284" t="s">
        <v>776</v>
      </c>
      <c r="K284" t="s">
        <v>514</v>
      </c>
      <c r="L284">
        <v>2.2</v>
      </c>
      <c r="M284">
        <v>0.48</v>
      </c>
      <c r="N284">
        <v>0.2181818181818181</v>
      </c>
      <c r="O284">
        <v>1</v>
      </c>
      <c r="P284">
        <v>0.09626227935295417</v>
      </c>
      <c r="Q284">
        <v>0.404088478038968</v>
      </c>
      <c r="R284" t="s">
        <v>779</v>
      </c>
      <c r="S284" t="s">
        <v>786</v>
      </c>
      <c r="T284">
        <v>48754.068274</v>
      </c>
      <c r="U284" s="2">
        <v>44502</v>
      </c>
      <c r="V284" t="s">
        <v>800</v>
      </c>
    </row>
    <row r="285" spans="1:22">
      <c r="A285" s="1" t="s">
        <v>305</v>
      </c>
      <c r="B285">
        <f>HYPERLINK("https://www.suredividend.com/sure-analysis-CNI/","Canadian National Railway Co.")</f>
        <v>0</v>
      </c>
      <c r="C285">
        <v>127.69</v>
      </c>
      <c r="D285">
        <v>79</v>
      </c>
      <c r="E285">
        <v>1.616329113924051</v>
      </c>
      <c r="F285">
        <v>0.01558461899913854</v>
      </c>
      <c r="G285">
        <v>-0.09156461807858474</v>
      </c>
      <c r="H285">
        <v>0.07000000000000001</v>
      </c>
      <c r="I285">
        <v>-0.007385813641440531</v>
      </c>
      <c r="J285" t="s">
        <v>776</v>
      </c>
      <c r="K285" t="s">
        <v>366</v>
      </c>
      <c r="L285">
        <v>4.4</v>
      </c>
      <c r="M285">
        <v>1.99</v>
      </c>
      <c r="N285">
        <v>0.4522727272727272</v>
      </c>
      <c r="O285">
        <v>26</v>
      </c>
      <c r="P285">
        <v>0.06991733814489587</v>
      </c>
      <c r="Q285">
        <v>0.201710765576873</v>
      </c>
      <c r="R285" t="s">
        <v>779</v>
      </c>
      <c r="S285" t="s">
        <v>786</v>
      </c>
      <c r="T285">
        <v>91577.91763700001</v>
      </c>
      <c r="U285" s="2">
        <v>44490</v>
      </c>
      <c r="V285" t="s">
        <v>795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114.41</v>
      </c>
      <c r="D286">
        <v>75</v>
      </c>
      <c r="E286">
        <v>1.525466666666667</v>
      </c>
      <c r="F286">
        <v>0.01380998164496111</v>
      </c>
      <c r="G286">
        <v>-0.08099165379604167</v>
      </c>
      <c r="H286">
        <v>0.06</v>
      </c>
      <c r="I286">
        <v>-0.007650417395173581</v>
      </c>
      <c r="J286" t="s">
        <v>776</v>
      </c>
      <c r="K286" t="s">
        <v>514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0.727560954909734</v>
      </c>
      <c r="R286" t="s">
        <v>779</v>
      </c>
      <c r="S286" t="s">
        <v>784</v>
      </c>
      <c r="T286">
        <v>202054.57036</v>
      </c>
      <c r="U286" s="2">
        <v>44516</v>
      </c>
      <c r="V286" t="s">
        <v>798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341.95</v>
      </c>
      <c r="D287">
        <v>216</v>
      </c>
      <c r="E287">
        <v>1.583101851851852</v>
      </c>
      <c r="F287">
        <v>0.01310133060388946</v>
      </c>
      <c r="G287">
        <v>-0.08778285893272275</v>
      </c>
      <c r="H287">
        <v>0.065</v>
      </c>
      <c r="I287">
        <v>-0.01103421418766515</v>
      </c>
      <c r="J287" t="s">
        <v>776</v>
      </c>
      <c r="K287" t="s">
        <v>514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0.4334870349753661</v>
      </c>
      <c r="R287" t="s">
        <v>779</v>
      </c>
      <c r="S287" t="s">
        <v>786</v>
      </c>
      <c r="T287">
        <v>39499.950574</v>
      </c>
      <c r="U287" s="2">
        <v>44503</v>
      </c>
      <c r="V287" t="s">
        <v>797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128.96</v>
      </c>
      <c r="D288">
        <v>78.2</v>
      </c>
      <c r="E288">
        <v>1.649104859335038</v>
      </c>
      <c r="F288">
        <v>0.03318858560794045</v>
      </c>
      <c r="G288">
        <v>-0.09520467966885771</v>
      </c>
      <c r="H288">
        <v>0.05</v>
      </c>
      <c r="I288">
        <v>-0.01126068013260462</v>
      </c>
      <c r="J288" t="s">
        <v>776</v>
      </c>
      <c r="K288" t="s">
        <v>776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0.442295818823936</v>
      </c>
      <c r="R288" t="s">
        <v>781</v>
      </c>
      <c r="S288" t="s">
        <v>793</v>
      </c>
      <c r="T288">
        <v>9994.393803999999</v>
      </c>
      <c r="U288" s="2">
        <v>44509</v>
      </c>
      <c r="V288" t="s">
        <v>804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106.08</v>
      </c>
      <c r="D289">
        <v>97</v>
      </c>
      <c r="E289">
        <v>1.09360824742268</v>
      </c>
      <c r="F289">
        <v>0.01395173453996983</v>
      </c>
      <c r="G289">
        <v>-0.01773731813088064</v>
      </c>
      <c r="H289">
        <v>-0.015</v>
      </c>
      <c r="I289">
        <v>-0.01562879501975711</v>
      </c>
      <c r="J289" t="s">
        <v>776</v>
      </c>
      <c r="K289" t="s">
        <v>514</v>
      </c>
      <c r="L289">
        <v>7.45</v>
      </c>
      <c r="M289">
        <v>1.48</v>
      </c>
      <c r="N289">
        <v>0.1986577181208053</v>
      </c>
      <c r="O289">
        <v>30</v>
      </c>
      <c r="P289">
        <v>0.03051269507716325</v>
      </c>
      <c r="Q289">
        <v>0.518639345014218</v>
      </c>
      <c r="R289" t="s">
        <v>779</v>
      </c>
      <c r="S289" t="s">
        <v>790</v>
      </c>
      <c r="T289">
        <v>5123.614542</v>
      </c>
      <c r="U289" s="2">
        <v>44512</v>
      </c>
      <c r="V289" t="s">
        <v>799</v>
      </c>
    </row>
    <row r="290" spans="1:22">
      <c r="A290" s="1" t="s">
        <v>310</v>
      </c>
      <c r="B290">
        <f>HYPERLINK("https://www.suredividend.com/sure-analysis-OTIS/","Otis Worldwide Corp")</f>
        <v>0</v>
      </c>
      <c r="C290">
        <v>85.33</v>
      </c>
      <c r="D290">
        <v>52</v>
      </c>
      <c r="E290">
        <v>1.640961538461538</v>
      </c>
      <c r="F290">
        <v>0.01125043947029181</v>
      </c>
      <c r="G290">
        <v>-0.09430844216441092</v>
      </c>
      <c r="H290">
        <v>0.07000000000000001</v>
      </c>
      <c r="I290">
        <v>-0.01567262511860035</v>
      </c>
      <c r="J290" t="s">
        <v>776</v>
      </c>
      <c r="K290" t="s">
        <v>514</v>
      </c>
      <c r="L290">
        <v>2.95</v>
      </c>
      <c r="M290">
        <v>0.96</v>
      </c>
      <c r="N290">
        <v>0.3254237288135593</v>
      </c>
      <c r="O290">
        <v>1</v>
      </c>
      <c r="P290">
        <v>0.07056368416916192</v>
      </c>
      <c r="Q290">
        <v>0.269118614240195</v>
      </c>
      <c r="R290" t="s">
        <v>779</v>
      </c>
      <c r="S290" t="s">
        <v>786</v>
      </c>
      <c r="T290">
        <v>35901.472922</v>
      </c>
      <c r="U290" s="2">
        <v>44495</v>
      </c>
      <c r="V290" t="s">
        <v>800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201.07</v>
      </c>
      <c r="D291">
        <v>130</v>
      </c>
      <c r="E291">
        <v>1.546692307692308</v>
      </c>
      <c r="F291">
        <v>0.005968070821107077</v>
      </c>
      <c r="G291">
        <v>-0.08352797063445072</v>
      </c>
      <c r="H291">
        <v>0.063</v>
      </c>
      <c r="I291">
        <v>-0.01705693112310835</v>
      </c>
      <c r="J291" t="s">
        <v>776</v>
      </c>
      <c r="K291" t="s">
        <v>514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0.04845213074888501</v>
      </c>
      <c r="R291" t="s">
        <v>779</v>
      </c>
      <c r="S291" t="s">
        <v>786</v>
      </c>
      <c r="T291">
        <v>3056.49153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HYPERLINK("https://www.suredividend.com/sure-analysis-DDS/","Dillard`s Inc.")</f>
        <v>0</v>
      </c>
      <c r="C292">
        <v>351.92</v>
      </c>
      <c r="D292">
        <v>288</v>
      </c>
      <c r="E292">
        <v>1.221944444444444</v>
      </c>
      <c r="F292">
        <v>0.002273243919072516</v>
      </c>
      <c r="G292">
        <v>-0.03929575928259155</v>
      </c>
      <c r="H292">
        <v>0.02</v>
      </c>
      <c r="I292">
        <v>-0.01762859206805467</v>
      </c>
      <c r="J292" t="s">
        <v>776</v>
      </c>
      <c r="K292" t="s">
        <v>514</v>
      </c>
      <c r="L292">
        <v>26.2</v>
      </c>
      <c r="M292">
        <v>0.8</v>
      </c>
      <c r="N292">
        <v>0.03053435114503817</v>
      </c>
      <c r="O292">
        <v>11</v>
      </c>
      <c r="P292">
        <v>0</v>
      </c>
      <c r="Q292">
        <v>6.20652436939162</v>
      </c>
      <c r="R292" t="s">
        <v>779</v>
      </c>
      <c r="S292" t="s">
        <v>788</v>
      </c>
      <c r="T292">
        <v>5991.544855</v>
      </c>
      <c r="U292" s="2">
        <v>44434</v>
      </c>
      <c r="V292" t="s">
        <v>797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194.02</v>
      </c>
      <c r="D293">
        <v>121</v>
      </c>
      <c r="E293">
        <v>1.603471074380165</v>
      </c>
      <c r="F293">
        <v>0.0121636944644882</v>
      </c>
      <c r="G293">
        <v>-0.09011234231652043</v>
      </c>
      <c r="H293">
        <v>0.06</v>
      </c>
      <c r="I293">
        <v>-0.0192709603008886</v>
      </c>
      <c r="J293" t="s">
        <v>776</v>
      </c>
      <c r="K293" t="s">
        <v>514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0.287610728338275</v>
      </c>
      <c r="R293" t="s">
        <v>779</v>
      </c>
      <c r="S293" t="s">
        <v>786</v>
      </c>
      <c r="T293">
        <v>45994.904666</v>
      </c>
      <c r="U293" s="2">
        <v>44511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347.52</v>
      </c>
      <c r="D294">
        <v>224</v>
      </c>
      <c r="E294">
        <v>1.551428571428571</v>
      </c>
      <c r="F294">
        <v>0.02405616942909761</v>
      </c>
      <c r="G294">
        <v>-0.0840882237555225</v>
      </c>
      <c r="H294">
        <v>0.038</v>
      </c>
      <c r="I294">
        <v>-0.02031817563725125</v>
      </c>
      <c r="J294" t="s">
        <v>776</v>
      </c>
      <c r="K294" t="s">
        <v>366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0.354133938008754</v>
      </c>
      <c r="R294" t="s">
        <v>781</v>
      </c>
      <c r="S294" t="s">
        <v>793</v>
      </c>
      <c r="T294">
        <v>22497.608785</v>
      </c>
      <c r="U294" s="2">
        <v>44503</v>
      </c>
      <c r="V294" t="s">
        <v>804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133.9</v>
      </c>
      <c r="D295">
        <v>86</v>
      </c>
      <c r="E295">
        <v>1.556976744186046</v>
      </c>
      <c r="F295">
        <v>0.02240477968633308</v>
      </c>
      <c r="G295">
        <v>-0.08474191309619317</v>
      </c>
      <c r="H295">
        <v>0.03</v>
      </c>
      <c r="I295">
        <v>-0.02729516936094489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0.6153488905106841</v>
      </c>
      <c r="R295" t="s">
        <v>779</v>
      </c>
      <c r="S295" t="s">
        <v>790</v>
      </c>
      <c r="T295">
        <v>8532.076720999999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225.23</v>
      </c>
      <c r="D296">
        <v>128</v>
      </c>
      <c r="E296">
        <v>1.759609375</v>
      </c>
      <c r="F296">
        <v>0.01838121031834125</v>
      </c>
      <c r="G296">
        <v>-0.1068657448377096</v>
      </c>
      <c r="H296">
        <v>0.055</v>
      </c>
      <c r="I296">
        <v>-0.03212831769748636</v>
      </c>
      <c r="J296" t="s">
        <v>776</v>
      </c>
      <c r="K296" t="s">
        <v>366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-0.05894241614846901</v>
      </c>
      <c r="R296" t="s">
        <v>779</v>
      </c>
      <c r="S296" t="s">
        <v>790</v>
      </c>
      <c r="T296">
        <v>10366.212531</v>
      </c>
      <c r="U296" s="2">
        <v>44504</v>
      </c>
      <c r="V296" t="s">
        <v>797</v>
      </c>
    </row>
    <row r="297" spans="1:22">
      <c r="A297" s="1" t="s">
        <v>317</v>
      </c>
      <c r="B297">
        <f>HYPERLINK("https://www.suredividend.com/sure-analysis-WM/","Waste Management, Inc.")</f>
        <v>0</v>
      </c>
      <c r="C297">
        <v>165.41</v>
      </c>
      <c r="D297">
        <v>98</v>
      </c>
      <c r="E297">
        <v>1.687857142857143</v>
      </c>
      <c r="F297">
        <v>0.01390484251254459</v>
      </c>
      <c r="G297">
        <v>-0.09939809180854087</v>
      </c>
      <c r="H297">
        <v>0.05</v>
      </c>
      <c r="I297">
        <v>-0.03498190923757971</v>
      </c>
      <c r="J297" t="s">
        <v>776</v>
      </c>
      <c r="K297" t="s">
        <v>514</v>
      </c>
      <c r="L297">
        <v>4.9</v>
      </c>
      <c r="M297">
        <v>2.3</v>
      </c>
      <c r="N297">
        <v>0.4693877551020407</v>
      </c>
      <c r="O297">
        <v>18</v>
      </c>
      <c r="P297">
        <v>0.05032547432346712</v>
      </c>
      <c r="Q297">
        <v>0.3729211873354</v>
      </c>
      <c r="R297" t="s">
        <v>779</v>
      </c>
      <c r="S297" t="s">
        <v>786</v>
      </c>
      <c r="T297">
        <v>68867.42185300001</v>
      </c>
      <c r="U297" s="2">
        <v>44496</v>
      </c>
      <c r="V297" t="s">
        <v>800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73.59</v>
      </c>
      <c r="D298">
        <v>55</v>
      </c>
      <c r="E298">
        <v>1.338</v>
      </c>
      <c r="F298">
        <v>0.0233727408615301</v>
      </c>
      <c r="G298">
        <v>-0.0565719657064605</v>
      </c>
      <c r="H298">
        <v>-0.02</v>
      </c>
      <c r="I298">
        <v>-0.04458565275748005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0.14659331267038</v>
      </c>
      <c r="R298" t="s">
        <v>779</v>
      </c>
      <c r="S298" t="s">
        <v>790</v>
      </c>
      <c r="T298">
        <v>4008.155933</v>
      </c>
      <c r="U298" s="2">
        <v>44501</v>
      </c>
      <c r="V298" t="s">
        <v>799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261.18</v>
      </c>
      <c r="D299">
        <v>140</v>
      </c>
      <c r="E299">
        <v>1.865571428571429</v>
      </c>
      <c r="F299">
        <v>0.01301784210123287</v>
      </c>
      <c r="G299">
        <v>-0.1172502085610946</v>
      </c>
      <c r="H299">
        <v>0.04</v>
      </c>
      <c r="I299">
        <v>-0.06101581756285901</v>
      </c>
      <c r="J299" t="s">
        <v>776</v>
      </c>
      <c r="K299" t="s">
        <v>514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0.8609138060135271</v>
      </c>
      <c r="R299" t="s">
        <v>779</v>
      </c>
      <c r="S299" t="s">
        <v>784</v>
      </c>
      <c r="T299">
        <v>246532.991524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130.16</v>
      </c>
      <c r="D300">
        <v>54</v>
      </c>
      <c r="E300">
        <v>2.41037037037037</v>
      </c>
      <c r="F300">
        <v>0.008604794099569761</v>
      </c>
      <c r="G300">
        <v>-0.1613451864940686</v>
      </c>
      <c r="H300">
        <v>0.09</v>
      </c>
      <c r="I300">
        <v>-0.07012411083883785</v>
      </c>
      <c r="J300" t="s">
        <v>776</v>
      </c>
      <c r="K300" t="s">
        <v>514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0.353446608418986</v>
      </c>
      <c r="R300" t="s">
        <v>779</v>
      </c>
      <c r="S300" t="s">
        <v>786</v>
      </c>
      <c r="T300">
        <v>23595.561841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4.52</v>
      </c>
      <c r="D301">
        <v>12</v>
      </c>
      <c r="E301">
        <v>0.3766666666666666</v>
      </c>
      <c r="F301">
        <v>0.008849557522123895</v>
      </c>
      <c r="G301">
        <v>0.2156500219094983</v>
      </c>
      <c r="H301">
        <v>0</v>
      </c>
      <c r="I301">
        <v>0.2621937501749754</v>
      </c>
      <c r="J301" t="s">
        <v>366</v>
      </c>
      <c r="K301" t="s">
        <v>514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-0.619820048156127</v>
      </c>
      <c r="R301" t="s">
        <v>780</v>
      </c>
      <c r="S301" t="s">
        <v>792</v>
      </c>
      <c r="T301">
        <v>150.124689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HYPERLINK("https://www.suredividend.com/sure-analysis-MFGP/","Micro Focus International Plc")</f>
        <v>0</v>
      </c>
      <c r="C302">
        <v>5.41</v>
      </c>
      <c r="D302">
        <v>9.17</v>
      </c>
      <c r="E302">
        <v>0.5899672846237732</v>
      </c>
      <c r="F302">
        <v>0.033271719038817</v>
      </c>
      <c r="G302">
        <v>0.1113079319015327</v>
      </c>
      <c r="H302">
        <v>0.04</v>
      </c>
      <c r="I302">
        <v>0.1760983188200871</v>
      </c>
      <c r="J302" t="s">
        <v>366</v>
      </c>
      <c r="K302" t="s">
        <v>776</v>
      </c>
      <c r="L302">
        <v>1.31</v>
      </c>
      <c r="M302">
        <v>0.18</v>
      </c>
      <c r="N302">
        <v>0.1374045801526717</v>
      </c>
      <c r="O302">
        <v>1</v>
      </c>
      <c r="P302">
        <v>0.04095039696925684</v>
      </c>
      <c r="Q302">
        <v>0.510880595332055</v>
      </c>
      <c r="R302" t="s">
        <v>779</v>
      </c>
      <c r="S302" t="s">
        <v>785</v>
      </c>
      <c r="T302">
        <v>1799.066098</v>
      </c>
      <c r="U302" s="2">
        <v>44384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13.65</v>
      </c>
      <c r="D303">
        <v>26.6</v>
      </c>
      <c r="E303">
        <v>0.5131578947368421</v>
      </c>
      <c r="F303">
        <v>0.01611721611721612</v>
      </c>
      <c r="G303">
        <v>0.1427462296187216</v>
      </c>
      <c r="H303">
        <v>0.02</v>
      </c>
      <c r="I303">
        <v>0.1746614683818823</v>
      </c>
      <c r="J303" t="s">
        <v>366</v>
      </c>
      <c r="K303" t="s">
        <v>514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-0.138059516121019</v>
      </c>
      <c r="R303" t="s">
        <v>779</v>
      </c>
      <c r="S303" t="s">
        <v>784</v>
      </c>
      <c r="T303">
        <v>16786.380614</v>
      </c>
      <c r="U303" s="2">
        <v>44515</v>
      </c>
      <c r="V303" t="s">
        <v>805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99.61</v>
      </c>
      <c r="D304">
        <v>130</v>
      </c>
      <c r="E304">
        <v>0.7662307692307693</v>
      </c>
      <c r="F304">
        <v>0.0172673426362815</v>
      </c>
      <c r="G304">
        <v>0.05469790279364739</v>
      </c>
      <c r="H304">
        <v>0.09</v>
      </c>
      <c r="I304">
        <v>0.1621004871579144</v>
      </c>
      <c r="J304" t="s">
        <v>366</v>
      </c>
      <c r="K304" t="s">
        <v>514</v>
      </c>
      <c r="L304">
        <v>7.2</v>
      </c>
      <c r="M304">
        <v>1.72</v>
      </c>
      <c r="N304">
        <v>0.2388888888888889</v>
      </c>
      <c r="O304">
        <v>0</v>
      </c>
      <c r="P304">
        <v>0.08614793340566318</v>
      </c>
      <c r="Q304">
        <v>0.142192657100812</v>
      </c>
      <c r="R304" t="s">
        <v>779</v>
      </c>
      <c r="S304" t="s">
        <v>788</v>
      </c>
      <c r="T304">
        <v>2132.913656</v>
      </c>
      <c r="U304" s="2">
        <v>44431</v>
      </c>
      <c r="V304" t="s">
        <v>802</v>
      </c>
    </row>
    <row r="305" spans="1:22">
      <c r="A305" s="1" t="s">
        <v>325</v>
      </c>
      <c r="B305">
        <f>HYPERLINK("https://www.suredividend.com/sure-analysis-MDC/","M.D.C. Holdings, Inc.")</f>
        <v>0</v>
      </c>
      <c r="C305">
        <v>51.99</v>
      </c>
      <c r="D305">
        <v>65</v>
      </c>
      <c r="E305">
        <v>0.7998461538461539</v>
      </c>
      <c r="F305">
        <v>0.03846893633391037</v>
      </c>
      <c r="G305">
        <v>0.0456797741382089</v>
      </c>
      <c r="H305">
        <v>0.08</v>
      </c>
      <c r="I305">
        <v>0.1578356232757969</v>
      </c>
      <c r="J305" t="s">
        <v>366</v>
      </c>
      <c r="K305" t="s">
        <v>776</v>
      </c>
      <c r="L305">
        <v>8.09</v>
      </c>
      <c r="M305">
        <v>2</v>
      </c>
      <c r="N305">
        <v>0.2472187886279357</v>
      </c>
      <c r="O305">
        <v>6</v>
      </c>
      <c r="P305">
        <v>0.08009875865888949</v>
      </c>
      <c r="Q305">
        <v>0.213352712138426</v>
      </c>
      <c r="R305" t="s">
        <v>779</v>
      </c>
      <c r="S305" t="s">
        <v>790</v>
      </c>
      <c r="T305">
        <v>3676.03497</v>
      </c>
      <c r="U305" s="2">
        <v>44502</v>
      </c>
      <c r="V305" t="s">
        <v>794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55.59</v>
      </c>
      <c r="D306">
        <v>86</v>
      </c>
      <c r="E306">
        <v>0.6463953488372094</v>
      </c>
      <c r="F306">
        <v>0.0215866162978953</v>
      </c>
      <c r="G306">
        <v>0.09118994502086353</v>
      </c>
      <c r="H306">
        <v>0.03</v>
      </c>
      <c r="I306">
        <v>0.1441429689252443</v>
      </c>
      <c r="J306" t="s">
        <v>366</v>
      </c>
      <c r="K306" t="s">
        <v>514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0.44024444234032</v>
      </c>
      <c r="R306" t="s">
        <v>779</v>
      </c>
      <c r="S306" t="s">
        <v>788</v>
      </c>
      <c r="T306">
        <v>5842.296174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HYPERLINK("https://www.suredividend.com/sure-analysis-TRTN/","Triton International Ltd")</f>
        <v>0</v>
      </c>
      <c r="C307">
        <v>61.98</v>
      </c>
      <c r="D307">
        <v>81</v>
      </c>
      <c r="E307">
        <v>0.7651851851851852</v>
      </c>
      <c r="F307">
        <v>0.04194901581155212</v>
      </c>
      <c r="G307">
        <v>0.05498598287205625</v>
      </c>
      <c r="H307">
        <v>0.05</v>
      </c>
      <c r="I307">
        <v>0.1400944106039679</v>
      </c>
      <c r="J307" t="s">
        <v>366</v>
      </c>
      <c r="K307" t="s">
        <v>776</v>
      </c>
      <c r="L307">
        <v>9</v>
      </c>
      <c r="M307">
        <v>2.6</v>
      </c>
      <c r="N307">
        <v>0.2888888888888889</v>
      </c>
      <c r="O307">
        <v>6</v>
      </c>
      <c r="P307">
        <v>0.07019742897422021</v>
      </c>
      <c r="Q307">
        <v>0.545118669932934</v>
      </c>
      <c r="R307" t="s">
        <v>779</v>
      </c>
      <c r="S307" t="s">
        <v>786</v>
      </c>
      <c r="T307">
        <v>4110.451201</v>
      </c>
      <c r="U307" s="2">
        <v>44497</v>
      </c>
      <c r="V307" t="s">
        <v>794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48.17</v>
      </c>
      <c r="D308">
        <v>60</v>
      </c>
      <c r="E308">
        <v>0.8028333333333334</v>
      </c>
      <c r="F308">
        <v>0.08615320739049201</v>
      </c>
      <c r="G308">
        <v>0.04490046107065493</v>
      </c>
      <c r="H308">
        <v>0.03</v>
      </c>
      <c r="I308">
        <v>0.1368967699048567</v>
      </c>
      <c r="J308" t="s">
        <v>366</v>
      </c>
      <c r="K308" t="s">
        <v>775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0.307241746538871</v>
      </c>
      <c r="R308" t="s">
        <v>780</v>
      </c>
      <c r="S308" t="s">
        <v>792</v>
      </c>
      <c r="T308">
        <v>10480.161186</v>
      </c>
      <c r="U308" s="2">
        <v>44504</v>
      </c>
      <c r="V308" t="s">
        <v>802</v>
      </c>
    </row>
    <row r="309" spans="1:22">
      <c r="A309" s="1" t="s">
        <v>329</v>
      </c>
      <c r="B309">
        <f>HYPERLINK("https://www.suredividend.com/sure-analysis-LYB/","LyondellBasell Industries NV")</f>
        <v>0</v>
      </c>
      <c r="C309">
        <v>91.98999999999999</v>
      </c>
      <c r="D309">
        <v>190</v>
      </c>
      <c r="E309">
        <v>0.4841578947368421</v>
      </c>
      <c r="F309">
        <v>0.04913577562778563</v>
      </c>
      <c r="G309">
        <v>0.1561191540016591</v>
      </c>
      <c r="H309">
        <v>-0.05</v>
      </c>
      <c r="I309">
        <v>0.1359960130325752</v>
      </c>
      <c r="J309" t="s">
        <v>366</v>
      </c>
      <c r="K309" t="s">
        <v>776</v>
      </c>
      <c r="L309">
        <v>19</v>
      </c>
      <c r="M309">
        <v>4.52</v>
      </c>
      <c r="N309">
        <v>0.2378947368421052</v>
      </c>
      <c r="O309">
        <v>10</v>
      </c>
      <c r="P309">
        <v>0.06004276922950136</v>
      </c>
      <c r="Q309">
        <v>0.20383206930966</v>
      </c>
      <c r="R309" t="s">
        <v>779</v>
      </c>
      <c r="S309" t="s">
        <v>787</v>
      </c>
      <c r="T309">
        <v>30948.906792</v>
      </c>
      <c r="U309" s="2">
        <v>44502</v>
      </c>
      <c r="V309" t="s">
        <v>794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39.28</v>
      </c>
      <c r="D310">
        <v>135</v>
      </c>
      <c r="E310">
        <v>0.290962962962963</v>
      </c>
      <c r="F310">
        <v>0.05346232179226069</v>
      </c>
      <c r="G310">
        <v>0.2800662814714485</v>
      </c>
      <c r="H310">
        <v>-0.15</v>
      </c>
      <c r="I310">
        <v>0.1338009638982682</v>
      </c>
      <c r="J310" t="s">
        <v>366</v>
      </c>
      <c r="K310" t="s">
        <v>775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0.6837487873803191</v>
      </c>
      <c r="R310" t="s">
        <v>779</v>
      </c>
      <c r="S310" t="s">
        <v>787</v>
      </c>
      <c r="T310">
        <v>8002.935812</v>
      </c>
      <c r="U310" s="2">
        <v>44513</v>
      </c>
      <c r="V310" t="s">
        <v>801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48</v>
      </c>
      <c r="D311">
        <v>68</v>
      </c>
      <c r="E311">
        <v>0.7058823529411765</v>
      </c>
      <c r="F311">
        <v>0.02083333333333333</v>
      </c>
      <c r="G311">
        <v>0.07214502590085092</v>
      </c>
      <c r="H311">
        <v>0.04</v>
      </c>
      <c r="I311">
        <v>0.1325687361850199</v>
      </c>
      <c r="J311" t="s">
        <v>366</v>
      </c>
      <c r="K311" t="s">
        <v>514</v>
      </c>
      <c r="L311">
        <v>8.5</v>
      </c>
      <c r="M311">
        <v>1</v>
      </c>
      <c r="N311">
        <v>0.1176470588235294</v>
      </c>
      <c r="O311">
        <v>5</v>
      </c>
      <c r="P311">
        <v>0.09993032380125255</v>
      </c>
      <c r="Q311">
        <v>0.6164565361645651</v>
      </c>
      <c r="R311" t="s">
        <v>779</v>
      </c>
      <c r="S311" t="s">
        <v>790</v>
      </c>
      <c r="T311">
        <v>16878.75168</v>
      </c>
      <c r="U311" s="2">
        <v>44498</v>
      </c>
      <c r="V311" t="s">
        <v>797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35</v>
      </c>
      <c r="D312">
        <v>42</v>
      </c>
      <c r="E312">
        <v>0.8333333333333334</v>
      </c>
      <c r="F312">
        <v>0.08285714285714285</v>
      </c>
      <c r="G312">
        <v>0.03713728933664817</v>
      </c>
      <c r="H312">
        <v>0.03</v>
      </c>
      <c r="I312">
        <v>0.129388011484771</v>
      </c>
      <c r="J312" t="s">
        <v>366</v>
      </c>
      <c r="K312" t="s">
        <v>775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0.002650950522291</v>
      </c>
      <c r="R312" t="s">
        <v>779</v>
      </c>
      <c r="S312" t="s">
        <v>789</v>
      </c>
      <c r="T312">
        <v>80105.450738</v>
      </c>
      <c r="U312" s="2">
        <v>44462</v>
      </c>
      <c r="V312" t="s">
        <v>797</v>
      </c>
    </row>
    <row r="313" spans="1:22">
      <c r="A313" s="1" t="s">
        <v>333</v>
      </c>
      <c r="B313">
        <f>HYPERLINK("https://www.suredividend.com/sure-analysis-DHI/","D.R. Horton Inc.")</f>
        <v>0</v>
      </c>
      <c r="C313">
        <v>101.54</v>
      </c>
      <c r="D313">
        <v>127</v>
      </c>
      <c r="E313">
        <v>0.7995275590551182</v>
      </c>
      <c r="F313">
        <v>0.008863502068150482</v>
      </c>
      <c r="G313">
        <v>0.04576309710489412</v>
      </c>
      <c r="H313">
        <v>0.07000000000000001</v>
      </c>
      <c r="I313">
        <v>0.1264609403835601</v>
      </c>
      <c r="J313" t="s">
        <v>366</v>
      </c>
      <c r="K313" t="s">
        <v>514</v>
      </c>
      <c r="L313">
        <v>13.35</v>
      </c>
      <c r="M313">
        <v>0.9</v>
      </c>
      <c r="N313">
        <v>0.06741573033707865</v>
      </c>
      <c r="O313">
        <v>7</v>
      </c>
      <c r="P313">
        <v>0.100082101138866</v>
      </c>
      <c r="Q313">
        <v>0.34633801764598</v>
      </c>
      <c r="R313" t="s">
        <v>779</v>
      </c>
      <c r="S313" t="s">
        <v>788</v>
      </c>
      <c r="T313">
        <v>35499.613465</v>
      </c>
      <c r="U313" s="2">
        <v>44513</v>
      </c>
      <c r="V313" t="s">
        <v>801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82.628</v>
      </c>
      <c r="D314">
        <v>81</v>
      </c>
      <c r="E314">
        <v>1.020098765432099</v>
      </c>
      <c r="F314">
        <v>0.01125526455922932</v>
      </c>
      <c r="G314">
        <v>-0.003971981025493454</v>
      </c>
      <c r="H314">
        <v>0.12</v>
      </c>
      <c r="I314">
        <v>0.1257110172280733</v>
      </c>
      <c r="J314" t="s">
        <v>366</v>
      </c>
      <c r="K314" t="s">
        <v>514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1.629181228157763</v>
      </c>
      <c r="R314" t="s">
        <v>779</v>
      </c>
      <c r="S314" t="s">
        <v>785</v>
      </c>
      <c r="T314">
        <v>46753.406193</v>
      </c>
      <c r="U314" s="2">
        <v>44513</v>
      </c>
      <c r="V314" t="s">
        <v>794</v>
      </c>
    </row>
    <row r="315" spans="1:22">
      <c r="A315" s="1" t="s">
        <v>335</v>
      </c>
      <c r="B315">
        <f>HYPERLINK("https://www.suredividend.com/sure-analysis-DKS/","Dicks Sporting Goods, Inc.")</f>
        <v>0</v>
      </c>
      <c r="C315">
        <v>135.02</v>
      </c>
      <c r="D315">
        <v>158.96</v>
      </c>
      <c r="E315">
        <v>0.849396074484147</v>
      </c>
      <c r="F315">
        <v>0.01296104280847282</v>
      </c>
      <c r="G315">
        <v>0.0331846615225837</v>
      </c>
      <c r="H315">
        <v>0.075</v>
      </c>
      <c r="I315">
        <v>0.1215631296317452</v>
      </c>
      <c r="J315" t="s">
        <v>366</v>
      </c>
      <c r="K315" t="s">
        <v>514</v>
      </c>
      <c r="L315">
        <v>12.7</v>
      </c>
      <c r="M315">
        <v>1.75</v>
      </c>
      <c r="N315">
        <v>0.1377952755905512</v>
      </c>
      <c r="O315">
        <v>7</v>
      </c>
      <c r="P315">
        <v>0.08979006975364512</v>
      </c>
      <c r="Q315">
        <v>1.760591432467995</v>
      </c>
      <c r="R315" t="s">
        <v>779</v>
      </c>
      <c r="S315" t="s">
        <v>788</v>
      </c>
      <c r="T315">
        <v>8958.376217000001</v>
      </c>
      <c r="U315" s="2">
        <v>44439</v>
      </c>
      <c r="V315" t="s">
        <v>801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49.13</v>
      </c>
      <c r="D316">
        <v>71</v>
      </c>
      <c r="E316">
        <v>0.6919718309859155</v>
      </c>
      <c r="F316">
        <v>0.06269082027274578</v>
      </c>
      <c r="G316">
        <v>0.07642138429938838</v>
      </c>
      <c r="H316">
        <v>0</v>
      </c>
      <c r="I316">
        <v>0.1209093423662242</v>
      </c>
      <c r="J316" t="s">
        <v>366</v>
      </c>
      <c r="K316" t="s">
        <v>775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0.262079338699948</v>
      </c>
      <c r="R316" t="s">
        <v>779</v>
      </c>
      <c r="S316" t="s">
        <v>792</v>
      </c>
      <c r="T316">
        <v>130938.890425</v>
      </c>
      <c r="U316" s="2">
        <v>44501</v>
      </c>
      <c r="V316" t="s">
        <v>802</v>
      </c>
    </row>
    <row r="317" spans="1:22">
      <c r="A317" s="1" t="s">
        <v>337</v>
      </c>
      <c r="B317">
        <f>HYPERLINK("https://www.suredividend.com/sure-analysis-PNW/","Pinnacle West Capital Corp.")</f>
        <v>0</v>
      </c>
      <c r="C317">
        <v>66.27</v>
      </c>
      <c r="D317">
        <v>88</v>
      </c>
      <c r="E317">
        <v>0.7530681818181818</v>
      </c>
      <c r="F317">
        <v>0.05160706201901313</v>
      </c>
      <c r="G317">
        <v>0.05835932420148859</v>
      </c>
      <c r="H317">
        <v>0.02</v>
      </c>
      <c r="I317">
        <v>0.1171746525067181</v>
      </c>
      <c r="J317" t="s">
        <v>366</v>
      </c>
      <c r="K317" t="s">
        <v>775</v>
      </c>
      <c r="L317">
        <v>5.06</v>
      </c>
      <c r="M317">
        <v>3.42</v>
      </c>
      <c r="N317">
        <v>0.6758893280632411</v>
      </c>
      <c r="O317">
        <v>10</v>
      </c>
      <c r="P317">
        <v>0.02021836907521135</v>
      </c>
      <c r="Q317">
        <v>-0.23634675308776</v>
      </c>
      <c r="R317" t="s">
        <v>779</v>
      </c>
      <c r="S317" t="s">
        <v>791</v>
      </c>
      <c r="T317">
        <v>7457.383079</v>
      </c>
      <c r="U317" s="2">
        <v>44513</v>
      </c>
      <c r="V317" t="s">
        <v>796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111.56</v>
      </c>
      <c r="D318">
        <v>144</v>
      </c>
      <c r="E318">
        <v>0.7747222222222222</v>
      </c>
      <c r="F318">
        <v>0.01541771244173539</v>
      </c>
      <c r="G318">
        <v>0.05237566582487796</v>
      </c>
      <c r="H318">
        <v>0.05</v>
      </c>
      <c r="I318">
        <v>0.1162330480971794</v>
      </c>
      <c r="J318" t="s">
        <v>366</v>
      </c>
      <c r="K318" t="s">
        <v>514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0.302332165481119</v>
      </c>
      <c r="R318" t="s">
        <v>779</v>
      </c>
      <c r="S318" t="s">
        <v>788</v>
      </c>
      <c r="T318">
        <v>6316.180773</v>
      </c>
      <c r="U318" s="2">
        <v>44491</v>
      </c>
      <c r="V318" t="s">
        <v>801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51.25</v>
      </c>
      <c r="D319">
        <v>75</v>
      </c>
      <c r="E319">
        <v>0.6833333333333333</v>
      </c>
      <c r="F319">
        <v>0.03434146341463415</v>
      </c>
      <c r="G319">
        <v>0.07912928578583145</v>
      </c>
      <c r="H319">
        <v>0.01</v>
      </c>
      <c r="I319">
        <v>0.1145878507813594</v>
      </c>
      <c r="J319" t="s">
        <v>366</v>
      </c>
      <c r="K319" t="s">
        <v>776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0.492584988776573</v>
      </c>
      <c r="R319" t="s">
        <v>779</v>
      </c>
      <c r="S319" t="s">
        <v>790</v>
      </c>
      <c r="T319">
        <v>14624.931282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HYPERLINK("https://www.suredividend.com/sure-analysis-DGX/","Quest Diagnostics, Inc.")</f>
        <v>0</v>
      </c>
      <c r="C320">
        <v>147.83</v>
      </c>
      <c r="D320">
        <v>206</v>
      </c>
      <c r="E320">
        <v>0.7176213592233011</v>
      </c>
      <c r="F320">
        <v>0.01677602651694514</v>
      </c>
      <c r="G320">
        <v>0.06861416997976844</v>
      </c>
      <c r="H320">
        <v>0.03</v>
      </c>
      <c r="I320">
        <v>0.1143970306299289</v>
      </c>
      <c r="J320" t="s">
        <v>366</v>
      </c>
      <c r="K320" t="s">
        <v>514</v>
      </c>
      <c r="L320">
        <v>13.7</v>
      </c>
      <c r="M320">
        <v>2.48</v>
      </c>
      <c r="N320">
        <v>0.181021897810219</v>
      </c>
      <c r="O320">
        <v>10</v>
      </c>
      <c r="P320">
        <v>0.07010283006626494</v>
      </c>
      <c r="Q320">
        <v>0.215254398728252</v>
      </c>
      <c r="R320" t="s">
        <v>779</v>
      </c>
      <c r="S320" t="s">
        <v>784</v>
      </c>
      <c r="T320">
        <v>18155.866108</v>
      </c>
      <c r="U320" s="2">
        <v>44490</v>
      </c>
      <c r="V320" t="s">
        <v>796</v>
      </c>
    </row>
    <row r="321" spans="1:22">
      <c r="A321" s="1" t="s">
        <v>341</v>
      </c>
      <c r="B321">
        <f>HYPERLINK("https://www.suredividend.com/sure-analysis-OGS/","ONE Gas Inc")</f>
        <v>0</v>
      </c>
      <c r="C321">
        <v>68.19</v>
      </c>
      <c r="D321">
        <v>77</v>
      </c>
      <c r="E321">
        <v>0.8855844155844156</v>
      </c>
      <c r="F321">
        <v>0.03402258395659188</v>
      </c>
      <c r="G321">
        <v>0.02459918702249708</v>
      </c>
      <c r="H321">
        <v>0.06</v>
      </c>
      <c r="I321">
        <v>0.114239195876922</v>
      </c>
      <c r="J321" t="s">
        <v>366</v>
      </c>
      <c r="K321" t="s">
        <v>776</v>
      </c>
      <c r="L321">
        <v>3.85</v>
      </c>
      <c r="M321">
        <v>2.32</v>
      </c>
      <c r="N321">
        <v>0.6025974025974026</v>
      </c>
      <c r="O321">
        <v>7</v>
      </c>
      <c r="P321">
        <v>0.06509372738446295</v>
      </c>
      <c r="Q321">
        <v>-0.09507795781106601</v>
      </c>
      <c r="R321" t="s">
        <v>779</v>
      </c>
      <c r="S321" t="s">
        <v>791</v>
      </c>
      <c r="T321">
        <v>3648.237545</v>
      </c>
      <c r="U321" s="2">
        <v>44502</v>
      </c>
      <c r="V321" t="s">
        <v>794</v>
      </c>
    </row>
    <row r="322" spans="1:22">
      <c r="A322" s="1" t="s">
        <v>342</v>
      </c>
      <c r="B322">
        <f>HYPERLINK("https://www.suredividend.com/sure-analysis-HPE/","Hewlett Packard Enterprise Co")</f>
        <v>0</v>
      </c>
      <c r="C322">
        <v>14.55</v>
      </c>
      <c r="D322">
        <v>16.49</v>
      </c>
      <c r="E322">
        <v>0.8823529411764707</v>
      </c>
      <c r="F322">
        <v>0.03298969072164948</v>
      </c>
      <c r="G322">
        <v>0.02534857565773274</v>
      </c>
      <c r="H322">
        <v>0.06</v>
      </c>
      <c r="I322">
        <v>0.1129478481436081</v>
      </c>
      <c r="J322" t="s">
        <v>366</v>
      </c>
      <c r="K322" t="s">
        <v>366</v>
      </c>
      <c r="L322">
        <v>1.94</v>
      </c>
      <c r="M322">
        <v>0.48</v>
      </c>
      <c r="N322">
        <v>0.2474226804123711</v>
      </c>
      <c r="O322">
        <v>4</v>
      </c>
      <c r="P322">
        <v>0.04910201101938982</v>
      </c>
      <c r="Q322">
        <v>0.41903334436377</v>
      </c>
      <c r="R322" t="s">
        <v>779</v>
      </c>
      <c r="S322" t="s">
        <v>785</v>
      </c>
      <c r="T322">
        <v>19071.369204</v>
      </c>
      <c r="U322" s="2">
        <v>44443</v>
      </c>
      <c r="V322" t="s">
        <v>794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113.23</v>
      </c>
      <c r="D323">
        <v>143</v>
      </c>
      <c r="E323">
        <v>0.7918181818181819</v>
      </c>
      <c r="F323">
        <v>0.02861432482557626</v>
      </c>
      <c r="G323">
        <v>0.04779158451787646</v>
      </c>
      <c r="H323">
        <v>0.04</v>
      </c>
      <c r="I323">
        <v>0.1123105249600223</v>
      </c>
      <c r="J323" t="s">
        <v>366</v>
      </c>
      <c r="K323" t="s">
        <v>366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0.199060709789886</v>
      </c>
      <c r="R323" t="s">
        <v>779</v>
      </c>
      <c r="S323" t="s">
        <v>790</v>
      </c>
      <c r="T323">
        <v>33068.081329</v>
      </c>
      <c r="U323" s="2">
        <v>44505</v>
      </c>
      <c r="V323" t="s">
        <v>801</v>
      </c>
    </row>
    <row r="324" spans="1:22">
      <c r="A324" s="1" t="s">
        <v>344</v>
      </c>
      <c r="B324">
        <f>HYPERLINK("https://www.suredividend.com/sure-analysis-GWLIF/","Great-West Lifeco, Inc.")</f>
        <v>0</v>
      </c>
      <c r="C324">
        <v>30.24</v>
      </c>
      <c r="D324">
        <v>34</v>
      </c>
      <c r="E324">
        <v>0.8894117647058823</v>
      </c>
      <c r="F324">
        <v>0.05191798941798943</v>
      </c>
      <c r="G324">
        <v>0.02371584670933058</v>
      </c>
      <c r="H324">
        <v>0.045</v>
      </c>
      <c r="I324">
        <v>0.1099967619646682</v>
      </c>
      <c r="J324" t="s">
        <v>366</v>
      </c>
      <c r="K324" t="s">
        <v>775</v>
      </c>
      <c r="L324">
        <v>2.8</v>
      </c>
      <c r="M324">
        <v>1.57</v>
      </c>
      <c r="N324">
        <v>0.5607142857142857</v>
      </c>
      <c r="O324">
        <v>6</v>
      </c>
      <c r="P324">
        <v>0.02999317534988744</v>
      </c>
      <c r="Q324">
        <v>0.334214002642008</v>
      </c>
      <c r="R324" t="s">
        <v>779</v>
      </c>
      <c r="S324" t="s">
        <v>790</v>
      </c>
      <c r="T324">
        <v>28193.695076</v>
      </c>
      <c r="U324" s="2">
        <v>44514</v>
      </c>
      <c r="V324" t="s">
        <v>801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51.01</v>
      </c>
      <c r="D325">
        <v>61</v>
      </c>
      <c r="E325">
        <v>0.8362295081967213</v>
      </c>
      <c r="F325">
        <v>0.03783571848657126</v>
      </c>
      <c r="G325">
        <v>0.0364178933329431</v>
      </c>
      <c r="H325">
        <v>0.04</v>
      </c>
      <c r="I325">
        <v>0.1077645638039391</v>
      </c>
      <c r="J325" t="s">
        <v>366</v>
      </c>
      <c r="K325" t="s">
        <v>776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0.04268644855793401</v>
      </c>
      <c r="R325" t="s">
        <v>779</v>
      </c>
      <c r="S325" t="s">
        <v>784</v>
      </c>
      <c r="T325">
        <v>128642.749587</v>
      </c>
      <c r="U325" s="2">
        <v>44501</v>
      </c>
      <c r="V325" t="s">
        <v>795</v>
      </c>
    </row>
    <row r="326" spans="1:22">
      <c r="A326" s="1" t="s">
        <v>346</v>
      </c>
      <c r="B326">
        <f>HYPERLINK("https://www.suredividend.com/sure-analysis-DFS/","Discover Financial Services")</f>
        <v>0</v>
      </c>
      <c r="C326">
        <v>115.38</v>
      </c>
      <c r="D326">
        <v>154</v>
      </c>
      <c r="E326">
        <v>0.7492207792207792</v>
      </c>
      <c r="F326">
        <v>0.01733402669440111</v>
      </c>
      <c r="G326">
        <v>0.05944407681814856</v>
      </c>
      <c r="H326">
        <v>0.03</v>
      </c>
      <c r="I326">
        <v>0.1054719960299029</v>
      </c>
      <c r="J326" t="s">
        <v>366</v>
      </c>
      <c r="K326" t="s">
        <v>514</v>
      </c>
      <c r="L326">
        <v>17.1</v>
      </c>
      <c r="M326">
        <v>2</v>
      </c>
      <c r="N326">
        <v>0.1169590643274854</v>
      </c>
      <c r="O326">
        <v>10</v>
      </c>
      <c r="P326">
        <v>0.0602809527753625</v>
      </c>
      <c r="Q326">
        <v>0.534846273180119</v>
      </c>
      <c r="R326" t="s">
        <v>779</v>
      </c>
      <c r="S326" t="s">
        <v>790</v>
      </c>
      <c r="T326">
        <v>34360.201399</v>
      </c>
      <c r="U326" s="2">
        <v>44499</v>
      </c>
      <c r="V326" t="s">
        <v>797</v>
      </c>
    </row>
    <row r="327" spans="1:22">
      <c r="A327" s="1" t="s">
        <v>347</v>
      </c>
      <c r="B327">
        <f>HYPERLINK("https://www.suredividend.com/sure-analysis-EQNR/","Equinor ASA")</f>
        <v>0</v>
      </c>
      <c r="C327">
        <v>26.79</v>
      </c>
      <c r="D327">
        <v>34.8</v>
      </c>
      <c r="E327">
        <v>0.7698275862068966</v>
      </c>
      <c r="F327">
        <v>0.02687569988801792</v>
      </c>
      <c r="G327">
        <v>0.05371049598056388</v>
      </c>
      <c r="H327">
        <v>0.02</v>
      </c>
      <c r="I327">
        <v>0.1028290270167225</v>
      </c>
      <c r="J327" t="s">
        <v>366</v>
      </c>
      <c r="K327" t="s">
        <v>514</v>
      </c>
      <c r="L327">
        <v>2.9</v>
      </c>
      <c r="M327">
        <v>0.72</v>
      </c>
      <c r="N327">
        <v>0.2482758620689655</v>
      </c>
      <c r="O327">
        <v>0</v>
      </c>
      <c r="P327">
        <v>0.1305865872992673</v>
      </c>
      <c r="Q327">
        <v>0.8144673530281441</v>
      </c>
      <c r="R327" t="s">
        <v>779</v>
      </c>
      <c r="S327" t="s">
        <v>792</v>
      </c>
      <c r="T327">
        <v>87957.56808899999</v>
      </c>
      <c r="U327" s="2">
        <v>44502</v>
      </c>
      <c r="V327" t="s">
        <v>794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34.84</v>
      </c>
      <c r="D328">
        <v>37</v>
      </c>
      <c r="E328">
        <v>0.9416216216216217</v>
      </c>
      <c r="F328">
        <v>0.0470723306544202</v>
      </c>
      <c r="G328">
        <v>0.01210300788395879</v>
      </c>
      <c r="H328">
        <v>0.05</v>
      </c>
      <c r="I328">
        <v>0.1026336516784077</v>
      </c>
      <c r="J328" t="s">
        <v>366</v>
      </c>
      <c r="K328" t="s">
        <v>776</v>
      </c>
      <c r="L328">
        <v>2.17</v>
      </c>
      <c r="M328">
        <v>1.64</v>
      </c>
      <c r="N328">
        <v>0.7557603686635944</v>
      </c>
      <c r="O328">
        <v>15</v>
      </c>
      <c r="P328">
        <v>0.05168994430952489</v>
      </c>
      <c r="Q328">
        <v>0.053740460788201</v>
      </c>
      <c r="R328" t="s">
        <v>779</v>
      </c>
      <c r="S328" t="s">
        <v>791</v>
      </c>
      <c r="T328">
        <v>6968.069506</v>
      </c>
      <c r="U328" s="2">
        <v>44508</v>
      </c>
      <c r="V328" t="s">
        <v>802</v>
      </c>
    </row>
    <row r="329" spans="1:22">
      <c r="A329" s="1" t="s">
        <v>349</v>
      </c>
      <c r="B329">
        <f>HYPERLINK("https://www.suredividend.com/sure-analysis-SJI/","South Jersey Industries Inc.")</f>
        <v>0</v>
      </c>
      <c r="C329">
        <v>24.69</v>
      </c>
      <c r="D329">
        <v>29</v>
      </c>
      <c r="E329">
        <v>0.8513793103448276</v>
      </c>
      <c r="F329">
        <v>0.04900769542324827</v>
      </c>
      <c r="G329">
        <v>0.03270286433235059</v>
      </c>
      <c r="H329">
        <v>0.03</v>
      </c>
      <c r="I329">
        <v>0.1020807687665335</v>
      </c>
      <c r="J329" t="s">
        <v>366</v>
      </c>
      <c r="K329" t="s">
        <v>775</v>
      </c>
      <c r="L329">
        <v>1.6</v>
      </c>
      <c r="M329">
        <v>1.21</v>
      </c>
      <c r="N329">
        <v>0.75625</v>
      </c>
      <c r="O329">
        <v>22</v>
      </c>
      <c r="P329">
        <v>0.02514911088713245</v>
      </c>
      <c r="Q329">
        <v>0.105276206360296</v>
      </c>
      <c r="R329" t="s">
        <v>779</v>
      </c>
      <c r="S329" t="s">
        <v>791</v>
      </c>
      <c r="T329">
        <v>2757.202867</v>
      </c>
      <c r="U329" s="2">
        <v>44517</v>
      </c>
      <c r="V329" t="s">
        <v>798</v>
      </c>
    </row>
    <row r="330" spans="1:22">
      <c r="A330" s="1" t="s">
        <v>350</v>
      </c>
      <c r="B330">
        <f>HYPERLINK("https://www.suredividend.com/sure-analysis-JBL/","Jabil Inc")</f>
        <v>0</v>
      </c>
      <c r="C330">
        <v>64.14</v>
      </c>
      <c r="D330">
        <v>73</v>
      </c>
      <c r="E330">
        <v>0.8786301369863013</v>
      </c>
      <c r="F330">
        <v>0.004989086373557842</v>
      </c>
      <c r="G330">
        <v>0.02621599842975031</v>
      </c>
      <c r="H330">
        <v>0.07000000000000001</v>
      </c>
      <c r="I330">
        <v>0.1020142873957683</v>
      </c>
      <c r="J330" t="s">
        <v>366</v>
      </c>
      <c r="K330" t="s">
        <v>777</v>
      </c>
      <c r="L330">
        <v>6.35</v>
      </c>
      <c r="M330">
        <v>0.32</v>
      </c>
      <c r="N330">
        <v>0.05039370078740158</v>
      </c>
      <c r="O330">
        <v>0</v>
      </c>
      <c r="P330">
        <v>0.05081623913789235</v>
      </c>
      <c r="Q330">
        <v>0.6668086435528291</v>
      </c>
      <c r="R330" t="s">
        <v>779</v>
      </c>
      <c r="S330" t="s">
        <v>785</v>
      </c>
      <c r="T330">
        <v>9255.139465</v>
      </c>
      <c r="U330" s="2">
        <v>44491</v>
      </c>
      <c r="V330" t="s">
        <v>801</v>
      </c>
    </row>
    <row r="331" spans="1:22">
      <c r="A331" s="1" t="s">
        <v>351</v>
      </c>
      <c r="B331">
        <f>HYPERLINK("https://www.suredividend.com/sure-analysis-LRCX/","Lam Research Corp.")</f>
        <v>0</v>
      </c>
      <c r="C331">
        <v>630.63</v>
      </c>
      <c r="D331">
        <v>615</v>
      </c>
      <c r="E331">
        <v>1.025414634146341</v>
      </c>
      <c r="F331">
        <v>0.008245722531436817</v>
      </c>
      <c r="G331">
        <v>-0.005006834192619491</v>
      </c>
      <c r="H331">
        <v>0.1</v>
      </c>
      <c r="I331">
        <v>0.1018881770682019</v>
      </c>
      <c r="J331" t="s">
        <v>366</v>
      </c>
      <c r="K331" t="s">
        <v>777</v>
      </c>
      <c r="L331">
        <v>34.16</v>
      </c>
      <c r="M331">
        <v>5.2</v>
      </c>
      <c r="N331">
        <v>0.1522248243559719</v>
      </c>
      <c r="O331">
        <v>7</v>
      </c>
      <c r="P331">
        <v>0.08997698704834534</v>
      </c>
      <c r="Q331">
        <v>0.457519798861991</v>
      </c>
      <c r="R331" t="s">
        <v>779</v>
      </c>
      <c r="S331" t="s">
        <v>785</v>
      </c>
      <c r="T331">
        <v>89302.98155900001</v>
      </c>
      <c r="U331" s="2">
        <v>44499</v>
      </c>
      <c r="V331" t="s">
        <v>796</v>
      </c>
    </row>
    <row r="332" spans="1:22">
      <c r="A332" s="1" t="s">
        <v>352</v>
      </c>
      <c r="B332">
        <f>HYPERLINK("https://www.suredividend.com/sure-analysis-PHM/","PulteGroup Inc")</f>
        <v>0</v>
      </c>
      <c r="C332">
        <v>52.36</v>
      </c>
      <c r="D332">
        <v>61</v>
      </c>
      <c r="E332">
        <v>0.8583606557377049</v>
      </c>
      <c r="F332">
        <v>0.0106951871657754</v>
      </c>
      <c r="G332">
        <v>0.0310175061074589</v>
      </c>
      <c r="H332">
        <v>0.06</v>
      </c>
      <c r="I332">
        <v>0.1014084129882227</v>
      </c>
      <c r="J332" t="s">
        <v>366</v>
      </c>
      <c r="K332" t="s">
        <v>514</v>
      </c>
      <c r="L332">
        <v>7.13</v>
      </c>
      <c r="M332">
        <v>0.5600000000000001</v>
      </c>
      <c r="N332">
        <v>0.07854137447405331</v>
      </c>
      <c r="O332">
        <v>4</v>
      </c>
      <c r="P332">
        <v>0.04861016738492974</v>
      </c>
      <c r="Q332">
        <v>0.215816947808603</v>
      </c>
      <c r="R332" t="s">
        <v>779</v>
      </c>
      <c r="S332" t="s">
        <v>788</v>
      </c>
      <c r="T332">
        <v>13044.125564</v>
      </c>
      <c r="U332" s="2">
        <v>44498</v>
      </c>
      <c r="V332" t="s">
        <v>801</v>
      </c>
    </row>
    <row r="333" spans="1:22">
      <c r="A333" s="1" t="s">
        <v>353</v>
      </c>
      <c r="B333">
        <f>HYPERLINK("https://www.suredividend.com/sure-analysis-UL/","Unilever plc")</f>
        <v>0</v>
      </c>
      <c r="C333">
        <v>51.77</v>
      </c>
      <c r="D333">
        <v>54</v>
      </c>
      <c r="E333">
        <v>0.9587037037037037</v>
      </c>
      <c r="F333">
        <v>0.039211898783079</v>
      </c>
      <c r="G333">
        <v>0.008470314954962088</v>
      </c>
      <c r="H333">
        <v>0.06</v>
      </c>
      <c r="I333">
        <v>0.1003251802747909</v>
      </c>
      <c r="J333" t="s">
        <v>366</v>
      </c>
      <c r="K333" t="s">
        <v>776</v>
      </c>
      <c r="L333">
        <v>2.98</v>
      </c>
      <c r="M333">
        <v>2.03</v>
      </c>
      <c r="N333">
        <v>0.6812080536912751</v>
      </c>
      <c r="O333">
        <v>6</v>
      </c>
      <c r="P333">
        <v>0.03405357579605606</v>
      </c>
      <c r="Q333">
        <v>-0.115870139495666</v>
      </c>
      <c r="R333" t="s">
        <v>779</v>
      </c>
      <c r="S333" t="s">
        <v>789</v>
      </c>
      <c r="T333">
        <v>133930.536168</v>
      </c>
      <c r="U333" s="2">
        <v>44516</v>
      </c>
      <c r="V333" t="s">
        <v>802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48.59</v>
      </c>
      <c r="D334">
        <v>63</v>
      </c>
      <c r="E334">
        <v>0.7712698412698413</v>
      </c>
      <c r="F334">
        <v>0.0181107223708582</v>
      </c>
      <c r="G334">
        <v>0.05331611849345586</v>
      </c>
      <c r="H334">
        <v>0.03</v>
      </c>
      <c r="I334">
        <v>0.1001248972905266</v>
      </c>
      <c r="J334" t="s">
        <v>366</v>
      </c>
      <c r="K334" t="s">
        <v>514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0.6277658405366831</v>
      </c>
      <c r="R334" t="s">
        <v>779</v>
      </c>
      <c r="S334" t="s">
        <v>790</v>
      </c>
      <c r="T334">
        <v>27155.000363</v>
      </c>
      <c r="U334" s="2">
        <v>44500</v>
      </c>
      <c r="V334" t="s">
        <v>797</v>
      </c>
    </row>
    <row r="335" spans="1:22">
      <c r="A335" s="1" t="s">
        <v>355</v>
      </c>
      <c r="B335">
        <f>HYPERLINK("https://www.suredividend.com/sure-analysis-HPQ/","HP Inc")</f>
        <v>0</v>
      </c>
      <c r="C335">
        <v>30.93</v>
      </c>
      <c r="D335">
        <v>36</v>
      </c>
      <c r="E335">
        <v>0.8591666666666666</v>
      </c>
      <c r="F335">
        <v>0.03233107015842224</v>
      </c>
      <c r="G335">
        <v>0.03082398756797144</v>
      </c>
      <c r="H335">
        <v>0.04</v>
      </c>
      <c r="I335">
        <v>0.09985282938581563</v>
      </c>
      <c r="J335" t="s">
        <v>366</v>
      </c>
      <c r="K335" t="s">
        <v>366</v>
      </c>
      <c r="L335">
        <v>3.59</v>
      </c>
      <c r="M335">
        <v>1</v>
      </c>
      <c r="N335">
        <v>0.2785515320334262</v>
      </c>
      <c r="O335">
        <v>11</v>
      </c>
      <c r="P335">
        <v>0.0602809527753625</v>
      </c>
      <c r="Q335">
        <v>0.570109067493057</v>
      </c>
      <c r="R335" t="s">
        <v>779</v>
      </c>
      <c r="S335" t="s">
        <v>785</v>
      </c>
      <c r="T335">
        <v>35970.109813</v>
      </c>
      <c r="U335" s="2">
        <v>44440</v>
      </c>
      <c r="V335" t="s">
        <v>797</v>
      </c>
    </row>
    <row r="336" spans="1:22">
      <c r="A336" s="1" t="s">
        <v>356</v>
      </c>
      <c r="B336">
        <f>HYPERLINK("https://www.suredividend.com/sure-analysis-AEG/","Aegon N. V.")</f>
        <v>0</v>
      </c>
      <c r="C336">
        <v>4.91</v>
      </c>
      <c r="D336">
        <v>5.6</v>
      </c>
      <c r="E336">
        <v>0.8767857142857144</v>
      </c>
      <c r="F336">
        <v>0.03462321792260693</v>
      </c>
      <c r="G336">
        <v>0.02664738899373997</v>
      </c>
      <c r="H336">
        <v>0.04</v>
      </c>
      <c r="I336">
        <v>0.09953617975246809</v>
      </c>
      <c r="J336" t="s">
        <v>366</v>
      </c>
      <c r="K336" t="s">
        <v>366</v>
      </c>
      <c r="L336">
        <v>0.7</v>
      </c>
      <c r="M336">
        <v>0.17</v>
      </c>
      <c r="N336">
        <v>0.2428571428571429</v>
      </c>
      <c r="O336">
        <v>0</v>
      </c>
      <c r="P336">
        <v>0.0801851873035635</v>
      </c>
      <c r="Q336">
        <v>0.464491305514958</v>
      </c>
      <c r="R336" t="s">
        <v>779</v>
      </c>
      <c r="S336" t="s">
        <v>790</v>
      </c>
      <c r="T336">
        <v>10336.231925</v>
      </c>
      <c r="U336" s="2">
        <v>44517</v>
      </c>
      <c r="V336" t="s">
        <v>802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37</v>
      </c>
      <c r="D337">
        <v>39</v>
      </c>
      <c r="E337">
        <v>0.9487179487179487</v>
      </c>
      <c r="F337">
        <v>0.03135135135135135</v>
      </c>
      <c r="G337">
        <v>0.01058436899020432</v>
      </c>
      <c r="H337">
        <v>0.06</v>
      </c>
      <c r="I337">
        <v>0.09906843736917637</v>
      </c>
      <c r="J337" t="s">
        <v>366</v>
      </c>
      <c r="K337" t="s">
        <v>776</v>
      </c>
      <c r="L337">
        <v>3.1</v>
      </c>
      <c r="M337">
        <v>1.16</v>
      </c>
      <c r="N337">
        <v>0.3741935483870967</v>
      </c>
      <c r="O337">
        <v>30</v>
      </c>
      <c r="P337">
        <v>0.07039956279333892</v>
      </c>
      <c r="Q337">
        <v>0.104167785755638</v>
      </c>
      <c r="R337" t="s">
        <v>779</v>
      </c>
      <c r="S337" t="s">
        <v>790</v>
      </c>
      <c r="T337">
        <v>102.155668</v>
      </c>
      <c r="U337" s="2">
        <v>44424</v>
      </c>
      <c r="V337" t="s">
        <v>797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56.98</v>
      </c>
      <c r="D338">
        <v>61</v>
      </c>
      <c r="E338">
        <v>0.9340983606557377</v>
      </c>
      <c r="F338">
        <v>0.06318006318006318</v>
      </c>
      <c r="G338">
        <v>0.01372808354301758</v>
      </c>
      <c r="H338">
        <v>0.03</v>
      </c>
      <c r="I338">
        <v>0.09390423236178846</v>
      </c>
      <c r="J338" t="s">
        <v>366</v>
      </c>
      <c r="K338" t="s">
        <v>776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-0.097396611462538</v>
      </c>
      <c r="R338" t="s">
        <v>781</v>
      </c>
      <c r="S338" t="s">
        <v>793</v>
      </c>
      <c r="T338">
        <v>2603.855517</v>
      </c>
      <c r="U338" s="2">
        <v>44513</v>
      </c>
      <c r="V338" t="s">
        <v>801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72.08</v>
      </c>
      <c r="D339">
        <v>76</v>
      </c>
      <c r="E339">
        <v>0.9484210526315789</v>
      </c>
      <c r="F339">
        <v>0.02497225305216426</v>
      </c>
      <c r="G339">
        <v>0.01064763223818832</v>
      </c>
      <c r="H339">
        <v>0.06</v>
      </c>
      <c r="I339">
        <v>0.09364041462828188</v>
      </c>
      <c r="J339" t="s">
        <v>366</v>
      </c>
      <c r="K339" t="s">
        <v>366</v>
      </c>
      <c r="L339">
        <v>8.960000000000001</v>
      </c>
      <c r="M339">
        <v>1.8</v>
      </c>
      <c r="N339">
        <v>0.2008928571428571</v>
      </c>
      <c r="O339">
        <v>11</v>
      </c>
      <c r="P339">
        <v>0.06961037572506878</v>
      </c>
      <c r="Q339">
        <v>0.766563028942535</v>
      </c>
      <c r="R339" t="s">
        <v>779</v>
      </c>
      <c r="S339" t="s">
        <v>790</v>
      </c>
      <c r="T339">
        <v>13296.545189</v>
      </c>
      <c r="U339" s="2">
        <v>44505</v>
      </c>
      <c r="V339" t="s">
        <v>801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17.7696</v>
      </c>
      <c r="D340">
        <v>19.6</v>
      </c>
      <c r="E340">
        <v>0.9066122448979591</v>
      </c>
      <c r="F340">
        <v>0.05289933369349901</v>
      </c>
      <c r="G340">
        <v>0.01980158802905008</v>
      </c>
      <c r="H340">
        <v>0.03</v>
      </c>
      <c r="I340">
        <v>0.093448744511889</v>
      </c>
      <c r="J340" t="s">
        <v>366</v>
      </c>
      <c r="K340" t="s">
        <v>776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0.104318063444033</v>
      </c>
      <c r="R340" t="s">
        <v>779</v>
      </c>
      <c r="S340" t="s">
        <v>787</v>
      </c>
      <c r="T340">
        <v>65432.422161</v>
      </c>
      <c r="U340" s="2">
        <v>44497</v>
      </c>
      <c r="V340" t="s">
        <v>805</v>
      </c>
    </row>
    <row r="341" spans="1:22">
      <c r="A341" s="1" t="s">
        <v>361</v>
      </c>
      <c r="B341">
        <f>HYPERLINK("https://www.suredividend.com/sure-analysis-PFE/","Pfizer Inc.")</f>
        <v>0</v>
      </c>
      <c r="C341">
        <v>50.87</v>
      </c>
      <c r="D341">
        <v>56</v>
      </c>
      <c r="E341">
        <v>0.9083928571428571</v>
      </c>
      <c r="F341">
        <v>0.03066640456064478</v>
      </c>
      <c r="G341">
        <v>0.01940147553801075</v>
      </c>
      <c r="H341">
        <v>0.05</v>
      </c>
      <c r="I341">
        <v>0.09343302271260145</v>
      </c>
      <c r="J341" t="s">
        <v>366</v>
      </c>
      <c r="K341" t="s">
        <v>366</v>
      </c>
      <c r="L341">
        <v>4.15</v>
      </c>
      <c r="M341">
        <v>1.56</v>
      </c>
      <c r="N341">
        <v>0.3759036144578313</v>
      </c>
      <c r="O341">
        <v>12</v>
      </c>
      <c r="P341">
        <v>0.01005227214699711</v>
      </c>
      <c r="Q341">
        <v>0.380677199897562</v>
      </c>
      <c r="R341" t="s">
        <v>779</v>
      </c>
      <c r="S341" t="s">
        <v>784</v>
      </c>
      <c r="T341">
        <v>278398.183261</v>
      </c>
      <c r="U341" s="2">
        <v>44504</v>
      </c>
      <c r="V341" t="s">
        <v>798</v>
      </c>
    </row>
    <row r="342" spans="1:22">
      <c r="A342" s="1" t="s">
        <v>362</v>
      </c>
      <c r="B342">
        <f>HYPERLINK("https://www.suredividend.com/sure-analysis-MPLX/","MPLX LP")</f>
        <v>0</v>
      </c>
      <c r="C342">
        <v>30.07</v>
      </c>
      <c r="D342">
        <v>29</v>
      </c>
      <c r="E342">
        <v>1.036896551724138</v>
      </c>
      <c r="F342">
        <v>0.09378117725307615</v>
      </c>
      <c r="G342">
        <v>-0.007220241308869779</v>
      </c>
      <c r="H342">
        <v>0.02</v>
      </c>
      <c r="I342">
        <v>0.09332770282865477</v>
      </c>
      <c r="J342" t="s">
        <v>366</v>
      </c>
      <c r="K342" t="s">
        <v>775</v>
      </c>
      <c r="L342">
        <v>4.1</v>
      </c>
      <c r="M342">
        <v>2.82</v>
      </c>
      <c r="N342">
        <v>0.6878048780487805</v>
      </c>
      <c r="O342">
        <v>9</v>
      </c>
      <c r="P342">
        <v>0.01977005769334617</v>
      </c>
      <c r="Q342">
        <v>0.6665583430824551</v>
      </c>
      <c r="R342" t="s">
        <v>780</v>
      </c>
      <c r="S342" t="s">
        <v>792</v>
      </c>
      <c r="T342">
        <v>31381.204141</v>
      </c>
      <c r="U342" s="2">
        <v>44509</v>
      </c>
      <c r="V342" t="s">
        <v>800</v>
      </c>
    </row>
    <row r="343" spans="1:22">
      <c r="A343" s="1" t="s">
        <v>363</v>
      </c>
      <c r="B343">
        <f>HYPERLINK("https://www.suredividend.com/sure-analysis-POR/","Portland General Electric Co")</f>
        <v>0</v>
      </c>
      <c r="C343">
        <v>49.46</v>
      </c>
      <c r="D343">
        <v>52</v>
      </c>
      <c r="E343">
        <v>0.9511538461538461</v>
      </c>
      <c r="F343">
        <v>0.03477557622321067</v>
      </c>
      <c r="G343">
        <v>0.01006621821953213</v>
      </c>
      <c r="H343">
        <v>0.05</v>
      </c>
      <c r="I343">
        <v>0.09153963670275567</v>
      </c>
      <c r="J343" t="s">
        <v>366</v>
      </c>
      <c r="K343" t="s">
        <v>776</v>
      </c>
      <c r="L343">
        <v>2.78</v>
      </c>
      <c r="M343">
        <v>1.72</v>
      </c>
      <c r="N343">
        <v>0.6187050359712231</v>
      </c>
      <c r="O343">
        <v>14</v>
      </c>
      <c r="P343">
        <v>0.05983895403096029</v>
      </c>
      <c r="Q343">
        <v>0.165325542452663</v>
      </c>
      <c r="R343" t="s">
        <v>779</v>
      </c>
      <c r="S343" t="s">
        <v>791</v>
      </c>
      <c r="T343">
        <v>4411.470305</v>
      </c>
      <c r="U343" s="2">
        <v>44498</v>
      </c>
      <c r="V343" t="s">
        <v>801</v>
      </c>
    </row>
    <row r="344" spans="1:22">
      <c r="A344" s="1" t="s">
        <v>364</v>
      </c>
      <c r="B344">
        <f>HYPERLINK("https://www.suredividend.com/sure-analysis-CC/","Chemours Company")</f>
        <v>0</v>
      </c>
      <c r="C344">
        <v>32.41</v>
      </c>
      <c r="D344">
        <v>39</v>
      </c>
      <c r="E344">
        <v>0.8310256410256409</v>
      </c>
      <c r="F344">
        <v>0.03085467448318421</v>
      </c>
      <c r="G344">
        <v>0.03771266018963404</v>
      </c>
      <c r="H344">
        <v>0.03</v>
      </c>
      <c r="I344">
        <v>0.09150356789406633</v>
      </c>
      <c r="J344" t="s">
        <v>366</v>
      </c>
      <c r="K344" t="s">
        <v>366</v>
      </c>
      <c r="L344">
        <v>3.93</v>
      </c>
      <c r="M344">
        <v>1</v>
      </c>
      <c r="N344">
        <v>0.2544529262086514</v>
      </c>
      <c r="O344">
        <v>0</v>
      </c>
      <c r="P344">
        <v>0</v>
      </c>
      <c r="Q344">
        <v>0.474768298505597</v>
      </c>
      <c r="R344" t="s">
        <v>779</v>
      </c>
      <c r="S344" t="s">
        <v>787</v>
      </c>
      <c r="T344">
        <v>5385.85596</v>
      </c>
      <c r="U344" s="2">
        <v>44505</v>
      </c>
      <c r="V344" t="s">
        <v>795</v>
      </c>
    </row>
    <row r="345" spans="1:22">
      <c r="A345" s="1" t="s">
        <v>365</v>
      </c>
      <c r="B345">
        <f>HYPERLINK("https://www.suredividend.com/sure-analysis-SMG/","Scotts Miracle-Gro Company")</f>
        <v>0</v>
      </c>
      <c r="C345">
        <v>168.75</v>
      </c>
      <c r="D345">
        <v>174</v>
      </c>
      <c r="E345">
        <v>0.9698275862068966</v>
      </c>
      <c r="F345">
        <v>0.01564444444444444</v>
      </c>
      <c r="G345">
        <v>0.00614620477126282</v>
      </c>
      <c r="H345">
        <v>0.07000000000000001</v>
      </c>
      <c r="I345">
        <v>0.09014096429647411</v>
      </c>
      <c r="J345" t="s">
        <v>366</v>
      </c>
      <c r="K345" t="s">
        <v>514</v>
      </c>
      <c r="L345">
        <v>8.699999999999999</v>
      </c>
      <c r="M345">
        <v>2.64</v>
      </c>
      <c r="N345">
        <v>0.303448275862069</v>
      </c>
      <c r="O345">
        <v>12</v>
      </c>
      <c r="P345">
        <v>0.05982499004041508</v>
      </c>
      <c r="Q345">
        <v>0.0355803491961</v>
      </c>
      <c r="R345" t="s">
        <v>779</v>
      </c>
      <c r="S345" t="s">
        <v>787</v>
      </c>
      <c r="T345">
        <v>9576.611897999999</v>
      </c>
      <c r="U345" s="2">
        <v>44503</v>
      </c>
      <c r="V345" t="s">
        <v>794</v>
      </c>
    </row>
    <row r="346" spans="1:22">
      <c r="A346" s="1" t="s">
        <v>366</v>
      </c>
      <c r="B346">
        <f>HYPERLINK("https://www.suredividend.com/sure-analysis-C/","Citigroup Inc")</f>
        <v>0</v>
      </c>
      <c r="C346">
        <v>66.84999999999999</v>
      </c>
      <c r="D346">
        <v>105</v>
      </c>
      <c r="E346">
        <v>0.6366666666666666</v>
      </c>
      <c r="F346">
        <v>0.03051608077786088</v>
      </c>
      <c r="G346">
        <v>0.09450456554239306</v>
      </c>
      <c r="H346">
        <v>-0.03</v>
      </c>
      <c r="I346">
        <v>0.08893771255265448</v>
      </c>
      <c r="J346" t="s">
        <v>366</v>
      </c>
      <c r="K346" t="s">
        <v>366</v>
      </c>
      <c r="L346">
        <v>10.5</v>
      </c>
      <c r="M346">
        <v>2.04</v>
      </c>
      <c r="N346">
        <v>0.1942857142857143</v>
      </c>
      <c r="O346">
        <v>6</v>
      </c>
      <c r="P346">
        <v>0.06000153927394081</v>
      </c>
      <c r="Q346">
        <v>0.385089129074603</v>
      </c>
      <c r="R346" t="s">
        <v>779</v>
      </c>
      <c r="S346" t="s">
        <v>790</v>
      </c>
      <c r="T346">
        <v>137294.428296</v>
      </c>
      <c r="U346" s="2">
        <v>44485</v>
      </c>
      <c r="V346" t="s">
        <v>799</v>
      </c>
    </row>
    <row r="347" spans="1:22">
      <c r="A347" s="1" t="s">
        <v>367</v>
      </c>
      <c r="B347">
        <f>HYPERLINK("https://www.suredividend.com/sure-analysis-GPS/","Gap, Inc.")</f>
        <v>0</v>
      </c>
      <c r="C347">
        <v>23.76</v>
      </c>
      <c r="D347">
        <v>27.88</v>
      </c>
      <c r="E347">
        <v>0.8522238163558107</v>
      </c>
      <c r="F347">
        <v>0.0202020202020202</v>
      </c>
      <c r="G347">
        <v>0.03249811303211136</v>
      </c>
      <c r="H347">
        <v>0.04</v>
      </c>
      <c r="I347">
        <v>0.08858051722497207</v>
      </c>
      <c r="J347" t="s">
        <v>366</v>
      </c>
      <c r="K347" t="s">
        <v>514</v>
      </c>
      <c r="L347">
        <v>2.15</v>
      </c>
      <c r="M347">
        <v>0.48</v>
      </c>
      <c r="N347">
        <v>0.2232558139534884</v>
      </c>
      <c r="O347">
        <v>0</v>
      </c>
      <c r="P347">
        <v>0</v>
      </c>
      <c r="Q347">
        <v>0.05091000587100501</v>
      </c>
      <c r="R347" t="s">
        <v>779</v>
      </c>
      <c r="S347" t="s">
        <v>788</v>
      </c>
      <c r="T347">
        <v>9425.192929000001</v>
      </c>
      <c r="U347" s="2">
        <v>44460</v>
      </c>
      <c r="V347" t="s">
        <v>796</v>
      </c>
    </row>
    <row r="348" spans="1:22">
      <c r="A348" s="1" t="s">
        <v>368</v>
      </c>
      <c r="B348">
        <f>HYPERLINK("https://www.suredividend.com/sure-analysis-FAF/","First American Financial Corp")</f>
        <v>0</v>
      </c>
      <c r="C348">
        <v>76.12</v>
      </c>
      <c r="D348">
        <v>82</v>
      </c>
      <c r="E348">
        <v>0.9282926829268293</v>
      </c>
      <c r="F348">
        <v>0.02548607461902259</v>
      </c>
      <c r="G348">
        <v>0.0149929239252784</v>
      </c>
      <c r="H348">
        <v>0.05</v>
      </c>
      <c r="I348">
        <v>0.08776102121999885</v>
      </c>
      <c r="J348" t="s">
        <v>366</v>
      </c>
      <c r="K348" t="s">
        <v>366</v>
      </c>
      <c r="L348">
        <v>7.48</v>
      </c>
      <c r="M348">
        <v>1.94</v>
      </c>
      <c r="N348">
        <v>0.2593582887700535</v>
      </c>
      <c r="O348">
        <v>10</v>
      </c>
      <c r="P348">
        <v>0.05034020601589084</v>
      </c>
      <c r="Q348">
        <v>0.595300716707978</v>
      </c>
      <c r="R348" t="s">
        <v>779</v>
      </c>
      <c r="S348" t="s">
        <v>790</v>
      </c>
      <c r="T348">
        <v>8329.118898000001</v>
      </c>
      <c r="U348" s="2">
        <v>44494</v>
      </c>
      <c r="V348" t="s">
        <v>801</v>
      </c>
    </row>
    <row r="349" spans="1:22">
      <c r="A349" s="1" t="s">
        <v>369</v>
      </c>
      <c r="B349">
        <f>HYPERLINK("https://www.suredividend.com/sure-analysis-NAVI/","Navient Corp")</f>
        <v>0</v>
      </c>
      <c r="C349">
        <v>20.11</v>
      </c>
      <c r="D349">
        <v>26</v>
      </c>
      <c r="E349">
        <v>0.7734615384615384</v>
      </c>
      <c r="F349">
        <v>0.03182496270512183</v>
      </c>
      <c r="G349">
        <v>0.0527185009147717</v>
      </c>
      <c r="H349">
        <v>0.01</v>
      </c>
      <c r="I349">
        <v>0.08705698094157666</v>
      </c>
      <c r="J349" t="s">
        <v>366</v>
      </c>
      <c r="K349" t="s">
        <v>366</v>
      </c>
      <c r="L349">
        <v>4.35</v>
      </c>
      <c r="M349">
        <v>0.64</v>
      </c>
      <c r="N349">
        <v>0.1471264367816092</v>
      </c>
      <c r="O349">
        <v>0</v>
      </c>
      <c r="P349">
        <v>0</v>
      </c>
      <c r="Q349">
        <v>0.96290647906725</v>
      </c>
      <c r="R349" t="s">
        <v>779</v>
      </c>
      <c r="S349" t="s">
        <v>790</v>
      </c>
      <c r="T349">
        <v>3215.388821</v>
      </c>
      <c r="U349" s="2">
        <v>44505</v>
      </c>
      <c r="V349" t="s">
        <v>797</v>
      </c>
    </row>
    <row r="350" spans="1:22">
      <c r="A350" s="1" t="s">
        <v>370</v>
      </c>
      <c r="B350">
        <f>HYPERLINK("https://www.suredividend.com/sure-analysis-STN/","Stantec Inc")</f>
        <v>0</v>
      </c>
      <c r="C350">
        <v>56.51</v>
      </c>
      <c r="D350">
        <v>49</v>
      </c>
      <c r="E350">
        <v>1.153265306122449</v>
      </c>
      <c r="F350">
        <v>0.009378870996283845</v>
      </c>
      <c r="G350">
        <v>-0.02811662190737163</v>
      </c>
      <c r="H350">
        <v>0.11</v>
      </c>
      <c r="I350">
        <v>0.08694713393088449</v>
      </c>
      <c r="J350" t="s">
        <v>366</v>
      </c>
      <c r="K350" t="s">
        <v>777</v>
      </c>
      <c r="L350">
        <v>1.95</v>
      </c>
      <c r="M350">
        <v>0.53</v>
      </c>
      <c r="N350">
        <v>0.2717948717948718</v>
      </c>
      <c r="O350">
        <v>3</v>
      </c>
      <c r="P350">
        <v>0.06022122873100355</v>
      </c>
      <c r="Q350">
        <v>0.9196146503522631</v>
      </c>
      <c r="R350" t="s">
        <v>779</v>
      </c>
      <c r="S350" t="s">
        <v>786</v>
      </c>
      <c r="T350">
        <v>6281.57113</v>
      </c>
      <c r="U350" s="2">
        <v>44511</v>
      </c>
      <c r="V350" t="s">
        <v>794</v>
      </c>
    </row>
    <row r="351" spans="1:22">
      <c r="A351" s="1" t="s">
        <v>371</v>
      </c>
      <c r="B351">
        <f>HYPERLINK("https://www.suredividend.com/sure-analysis-PFG/","Principal Financial Group Inc")</f>
        <v>0</v>
      </c>
      <c r="C351">
        <v>71.59</v>
      </c>
      <c r="D351">
        <v>72</v>
      </c>
      <c r="E351">
        <v>0.9943055555555556</v>
      </c>
      <c r="F351">
        <v>0.03575918424360944</v>
      </c>
      <c r="G351">
        <v>0.001142796416351732</v>
      </c>
      <c r="H351">
        <v>0.05</v>
      </c>
      <c r="I351">
        <v>0.08409909709454322</v>
      </c>
      <c r="J351" t="s">
        <v>366</v>
      </c>
      <c r="K351" t="s">
        <v>366</v>
      </c>
      <c r="L351">
        <v>6.55</v>
      </c>
      <c r="M351">
        <v>2.56</v>
      </c>
      <c r="N351">
        <v>0.3908396946564885</v>
      </c>
      <c r="O351">
        <v>15</v>
      </c>
      <c r="P351">
        <v>0.06025622492066018</v>
      </c>
      <c r="Q351">
        <v>0.552669316532666</v>
      </c>
      <c r="R351" t="s">
        <v>779</v>
      </c>
      <c r="S351" t="s">
        <v>790</v>
      </c>
      <c r="T351">
        <v>19114.15602</v>
      </c>
      <c r="U351" s="2">
        <v>44505</v>
      </c>
      <c r="V351" t="s">
        <v>797</v>
      </c>
    </row>
    <row r="352" spans="1:22">
      <c r="A352" s="1" t="s">
        <v>372</v>
      </c>
      <c r="B352">
        <f>HYPERLINK("https://www.suredividend.com/sure-analysis-PM/","Philip Morris International Inc")</f>
        <v>0</v>
      </c>
      <c r="C352">
        <v>93.59</v>
      </c>
      <c r="D352">
        <v>97</v>
      </c>
      <c r="E352">
        <v>0.9648453608247423</v>
      </c>
      <c r="F352">
        <v>0.05342451116572283</v>
      </c>
      <c r="G352">
        <v>0.007183163703777584</v>
      </c>
      <c r="H352">
        <v>0.03</v>
      </c>
      <c r="I352">
        <v>0.08356970702297373</v>
      </c>
      <c r="J352" t="s">
        <v>366</v>
      </c>
      <c r="K352" t="s">
        <v>776</v>
      </c>
      <c r="L352">
        <v>6.04</v>
      </c>
      <c r="M352">
        <v>5</v>
      </c>
      <c r="N352">
        <v>0.8278145695364238</v>
      </c>
      <c r="O352">
        <v>14</v>
      </c>
      <c r="P352">
        <v>0.03012896281839894</v>
      </c>
      <c r="Q352">
        <v>0.246865086169939</v>
      </c>
      <c r="R352" t="s">
        <v>779</v>
      </c>
      <c r="S352" t="s">
        <v>789</v>
      </c>
      <c r="T352">
        <v>144893.952178</v>
      </c>
      <c r="U352" s="2">
        <v>44488</v>
      </c>
      <c r="V352" t="s">
        <v>794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63.29</v>
      </c>
      <c r="D353">
        <v>63</v>
      </c>
      <c r="E353">
        <v>1.004603174603174</v>
      </c>
      <c r="F353">
        <v>0.03981671670090062</v>
      </c>
      <c r="G353">
        <v>-0.0009181007664913476</v>
      </c>
      <c r="H353">
        <v>0.05</v>
      </c>
      <c r="I353">
        <v>0.08274633986812407</v>
      </c>
      <c r="J353" t="s">
        <v>366</v>
      </c>
      <c r="K353" t="s">
        <v>776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0.124157102942059</v>
      </c>
      <c r="R353" t="s">
        <v>779</v>
      </c>
      <c r="S353" t="s">
        <v>791</v>
      </c>
      <c r="T353">
        <v>3346.237461</v>
      </c>
      <c r="U353" s="2">
        <v>44513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166.9</v>
      </c>
      <c r="D354">
        <v>197</v>
      </c>
      <c r="E354">
        <v>0.8472081218274112</v>
      </c>
      <c r="F354">
        <v>0.01629718394248053</v>
      </c>
      <c r="G354">
        <v>0.03371776017473893</v>
      </c>
      <c r="H354">
        <v>0.03</v>
      </c>
      <c r="I354">
        <v>0.08123999163820161</v>
      </c>
      <c r="J354" t="s">
        <v>366</v>
      </c>
      <c r="K354" t="s">
        <v>514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0.293384128873613</v>
      </c>
      <c r="R354" t="s">
        <v>779</v>
      </c>
      <c r="S354" t="s">
        <v>786</v>
      </c>
      <c r="T354">
        <v>18358.891098</v>
      </c>
      <c r="U354" s="2">
        <v>44494</v>
      </c>
      <c r="V354" t="s">
        <v>801</v>
      </c>
    </row>
    <row r="355" spans="1:22">
      <c r="A355" s="1" t="s">
        <v>375</v>
      </c>
      <c r="B355">
        <f>HYPERLINK("https://www.suredividend.com/sure-analysis-IVZ/","Invesco Ltd")</f>
        <v>0</v>
      </c>
      <c r="C355">
        <v>24.94</v>
      </c>
      <c r="D355">
        <v>30</v>
      </c>
      <c r="E355">
        <v>0.8313333333333334</v>
      </c>
      <c r="F355">
        <v>0.0272654370489174</v>
      </c>
      <c r="G355">
        <v>0.0376358333689415</v>
      </c>
      <c r="H355">
        <v>0.02</v>
      </c>
      <c r="I355">
        <v>0.08084104588629937</v>
      </c>
      <c r="J355" t="s">
        <v>366</v>
      </c>
      <c r="K355" t="s">
        <v>366</v>
      </c>
      <c r="L355">
        <v>3</v>
      </c>
      <c r="M355">
        <v>0.68</v>
      </c>
      <c r="N355">
        <v>0.2266666666666667</v>
      </c>
      <c r="O355">
        <v>1</v>
      </c>
      <c r="P355">
        <v>0.02517111829582741</v>
      </c>
      <c r="Q355">
        <v>0.649109968481393</v>
      </c>
      <c r="R355" t="s">
        <v>779</v>
      </c>
      <c r="S355" t="s">
        <v>790</v>
      </c>
      <c r="T355">
        <v>11848.395422</v>
      </c>
      <c r="U355" s="2">
        <v>44505</v>
      </c>
      <c r="V355" t="s">
        <v>797</v>
      </c>
    </row>
    <row r="356" spans="1:22">
      <c r="A356" s="1" t="s">
        <v>376</v>
      </c>
      <c r="B356">
        <f>HYPERLINK("https://www.suredividend.com/sure-analysis-SVC/","Service Properties Trust")</f>
        <v>0</v>
      </c>
      <c r="C356">
        <v>10.69</v>
      </c>
      <c r="D356">
        <v>14</v>
      </c>
      <c r="E356">
        <v>0.7635714285714286</v>
      </c>
      <c r="F356">
        <v>0.003741814780168382</v>
      </c>
      <c r="G356">
        <v>0.05543153468985262</v>
      </c>
      <c r="H356">
        <v>0.02</v>
      </c>
      <c r="I356">
        <v>0.07931173086996468</v>
      </c>
      <c r="J356" t="s">
        <v>366</v>
      </c>
      <c r="K356" t="s">
        <v>777</v>
      </c>
      <c r="L356">
        <v>0.3</v>
      </c>
      <c r="M356">
        <v>0.04</v>
      </c>
      <c r="N356">
        <v>0.1333333333333333</v>
      </c>
      <c r="O356">
        <v>0</v>
      </c>
      <c r="P356">
        <v>0</v>
      </c>
      <c r="Q356">
        <v>0.017176040272252</v>
      </c>
      <c r="R356" t="s">
        <v>781</v>
      </c>
      <c r="S356" t="s">
        <v>793</v>
      </c>
      <c r="T356">
        <v>1781.346273</v>
      </c>
      <c r="U356" s="2">
        <v>44512</v>
      </c>
      <c r="V356" t="s">
        <v>797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110.28</v>
      </c>
      <c r="D357">
        <v>116</v>
      </c>
      <c r="E357">
        <v>0.9506896551724138</v>
      </c>
      <c r="F357">
        <v>0.0417120058034095</v>
      </c>
      <c r="G357">
        <v>0.0101648354877526</v>
      </c>
      <c r="H357">
        <v>0.03</v>
      </c>
      <c r="I357">
        <v>0.07780447901133836</v>
      </c>
      <c r="J357" t="s">
        <v>366</v>
      </c>
      <c r="K357" t="s">
        <v>776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0.5491930387235621</v>
      </c>
      <c r="R357" t="s">
        <v>779</v>
      </c>
      <c r="S357" t="s">
        <v>790</v>
      </c>
      <c r="T357">
        <v>42067.62</v>
      </c>
      <c r="U357" s="2">
        <v>44509</v>
      </c>
      <c r="V357" t="s">
        <v>800</v>
      </c>
    </row>
    <row r="358" spans="1:22">
      <c r="A358" s="1" t="s">
        <v>378</v>
      </c>
      <c r="B358">
        <f>HYPERLINK("https://www.suredividend.com/sure-analysis-RCI/","Rogers Communications Inc.")</f>
        <v>0</v>
      </c>
      <c r="C358">
        <v>47.4</v>
      </c>
      <c r="D358">
        <v>47</v>
      </c>
      <c r="E358">
        <v>1.008510638297872</v>
      </c>
      <c r="F358">
        <v>0.03375527426160338</v>
      </c>
      <c r="G358">
        <v>-0.001693489823320404</v>
      </c>
      <c r="H358">
        <v>0.05</v>
      </c>
      <c r="I358">
        <v>0.07711450048655299</v>
      </c>
      <c r="J358" t="s">
        <v>366</v>
      </c>
      <c r="K358" t="s">
        <v>776</v>
      </c>
      <c r="L358">
        <v>3.1</v>
      </c>
      <c r="M358">
        <v>1.6</v>
      </c>
      <c r="N358">
        <v>0.5161290322580645</v>
      </c>
      <c r="O358">
        <v>0</v>
      </c>
      <c r="P358">
        <v>0.02946206823925857</v>
      </c>
      <c r="Q358">
        <v>0.07871406341789301</v>
      </c>
      <c r="R358" t="s">
        <v>779</v>
      </c>
      <c r="S358" t="s">
        <v>783</v>
      </c>
      <c r="T358">
        <v>18944.366446</v>
      </c>
      <c r="U358" s="2">
        <v>44496</v>
      </c>
      <c r="V358" t="s">
        <v>802</v>
      </c>
    </row>
    <row r="359" spans="1:22">
      <c r="A359" s="1" t="s">
        <v>379</v>
      </c>
      <c r="B359">
        <f>HYPERLINK("https://www.suredividend.com/sure-analysis-CPB/","Campbell Soup Co.")</f>
        <v>0</v>
      </c>
      <c r="C359">
        <v>41.59</v>
      </c>
      <c r="D359">
        <v>46</v>
      </c>
      <c r="E359">
        <v>0.9041304347826088</v>
      </c>
      <c r="F359">
        <v>0.03558547727819187</v>
      </c>
      <c r="G359">
        <v>0.02036083908654485</v>
      </c>
      <c r="H359">
        <v>0.025</v>
      </c>
      <c r="I359">
        <v>0.07522963709111385</v>
      </c>
      <c r="J359" t="s">
        <v>366</v>
      </c>
      <c r="K359" t="s">
        <v>776</v>
      </c>
      <c r="L359">
        <v>2.8</v>
      </c>
      <c r="M359">
        <v>1.48</v>
      </c>
      <c r="N359">
        <v>0.5285714285714286</v>
      </c>
      <c r="O359">
        <v>0</v>
      </c>
      <c r="P359">
        <v>0.01444167341264735</v>
      </c>
      <c r="Q359">
        <v>-0.143728608734878</v>
      </c>
      <c r="R359" t="s">
        <v>779</v>
      </c>
      <c r="S359" t="s">
        <v>789</v>
      </c>
      <c r="T359">
        <v>12501.247495</v>
      </c>
      <c r="U359" s="2">
        <v>44453</v>
      </c>
      <c r="V359" t="s">
        <v>801</v>
      </c>
    </row>
    <row r="360" spans="1:22">
      <c r="A360" s="1" t="s">
        <v>380</v>
      </c>
      <c r="B360">
        <f>HYPERLINK("https://www.suredividend.com/sure-analysis-TM/","Toyota Motor Corporation")</f>
        <v>0</v>
      </c>
      <c r="C360">
        <v>186.21</v>
      </c>
      <c r="D360">
        <v>209</v>
      </c>
      <c r="E360">
        <v>0.8909569377990431</v>
      </c>
      <c r="F360">
        <v>0.02631437624187745</v>
      </c>
      <c r="G360">
        <v>0.02336051715595633</v>
      </c>
      <c r="H360">
        <v>0.03</v>
      </c>
      <c r="I360">
        <v>0.0745651459387584</v>
      </c>
      <c r="J360" t="s">
        <v>366</v>
      </c>
      <c r="K360" t="s">
        <v>366</v>
      </c>
      <c r="L360">
        <v>23.25</v>
      </c>
      <c r="M360">
        <v>4.9</v>
      </c>
      <c r="N360">
        <v>0.210752688172043</v>
      </c>
      <c r="O360">
        <v>2</v>
      </c>
      <c r="P360">
        <v>0</v>
      </c>
      <c r="Q360">
        <v>0.321504214881393</v>
      </c>
      <c r="R360" t="s">
        <v>779</v>
      </c>
      <c r="S360" t="s">
        <v>788</v>
      </c>
      <c r="T360">
        <v>305791.809963</v>
      </c>
      <c r="U360" s="2">
        <v>44434</v>
      </c>
      <c r="V360" t="s">
        <v>797</v>
      </c>
    </row>
    <row r="361" spans="1:22">
      <c r="A361" s="1" t="s">
        <v>381</v>
      </c>
      <c r="B361">
        <f>HYPERLINK("https://www.suredividend.com/sure-analysis-ITUB/","Itau Unibanco Holding S.A.")</f>
        <v>0</v>
      </c>
      <c r="C361">
        <v>4.1</v>
      </c>
      <c r="D361">
        <v>5</v>
      </c>
      <c r="E361">
        <v>0.82</v>
      </c>
      <c r="F361">
        <v>0.02195121951219512</v>
      </c>
      <c r="G361">
        <v>0.04048836820440749</v>
      </c>
      <c r="H361">
        <v>0.015</v>
      </c>
      <c r="I361">
        <v>0.07317991566688842</v>
      </c>
      <c r="J361" t="s">
        <v>366</v>
      </c>
      <c r="K361" t="s">
        <v>514</v>
      </c>
      <c r="L361">
        <v>0.5</v>
      </c>
      <c r="M361">
        <v>0.09</v>
      </c>
      <c r="N361">
        <v>0.18</v>
      </c>
      <c r="O361">
        <v>0</v>
      </c>
      <c r="P361">
        <v>0</v>
      </c>
      <c r="Q361">
        <v>-0.06905813265352501</v>
      </c>
      <c r="R361" t="s">
        <v>779</v>
      </c>
      <c r="S361" t="s">
        <v>790</v>
      </c>
      <c r="T361">
        <v>19819.506005</v>
      </c>
      <c r="U361" s="2">
        <v>44425</v>
      </c>
      <c r="V361" t="s">
        <v>796</v>
      </c>
    </row>
    <row r="362" spans="1:22">
      <c r="A362" s="1" t="s">
        <v>382</v>
      </c>
      <c r="B362">
        <f>HYPERLINK("https://www.suredividend.com/sure-analysis-KSS/","Kohl`s Corp.")</f>
        <v>0</v>
      </c>
      <c r="C362">
        <v>56.48</v>
      </c>
      <c r="D362">
        <v>74</v>
      </c>
      <c r="E362">
        <v>0.7632432432432432</v>
      </c>
      <c r="F362">
        <v>0.01770538243626062</v>
      </c>
      <c r="G362">
        <v>0.05552228363203682</v>
      </c>
      <c r="H362">
        <v>0</v>
      </c>
      <c r="I362">
        <v>0.07301304565988231</v>
      </c>
      <c r="J362" t="s">
        <v>366</v>
      </c>
      <c r="K362" t="s">
        <v>514</v>
      </c>
      <c r="L362">
        <v>6.15</v>
      </c>
      <c r="M362">
        <v>1</v>
      </c>
      <c r="N362">
        <v>0.1626016260162602</v>
      </c>
      <c r="O362">
        <v>0</v>
      </c>
      <c r="P362">
        <v>0.08009875865888949</v>
      </c>
      <c r="Q362">
        <v>1.247901752653665</v>
      </c>
      <c r="R362" t="s">
        <v>779</v>
      </c>
      <c r="S362" t="s">
        <v>788</v>
      </c>
      <c r="T362">
        <v>8773.134400000001</v>
      </c>
      <c r="U362" s="2">
        <v>44436</v>
      </c>
      <c r="V362" t="s">
        <v>799</v>
      </c>
    </row>
    <row r="363" spans="1:22">
      <c r="A363" s="1" t="s">
        <v>383</v>
      </c>
      <c r="B363">
        <f>HYPERLINK("https://www.suredividend.com/sure-analysis-ROST/","Ross Stores, Inc.")</f>
        <v>0</v>
      </c>
      <c r="C363">
        <v>116.52</v>
      </c>
      <c r="D363">
        <v>85</v>
      </c>
      <c r="E363">
        <v>1.370823529411765</v>
      </c>
      <c r="F363">
        <v>0.009783728115345005</v>
      </c>
      <c r="G363">
        <v>-0.06113383115212312</v>
      </c>
      <c r="H363">
        <v>0.13</v>
      </c>
      <c r="I363">
        <v>0.07259089061166524</v>
      </c>
      <c r="J363" t="s">
        <v>366</v>
      </c>
      <c r="K363" t="s">
        <v>777</v>
      </c>
      <c r="L363">
        <v>4.5</v>
      </c>
      <c r="M363">
        <v>1.14</v>
      </c>
      <c r="N363">
        <v>0.2533333333333333</v>
      </c>
      <c r="O363">
        <v>0</v>
      </c>
      <c r="P363">
        <v>0.1486983549970351</v>
      </c>
      <c r="Q363">
        <v>0.04516318975591</v>
      </c>
      <c r="R363" t="s">
        <v>779</v>
      </c>
      <c r="S363" t="s">
        <v>788</v>
      </c>
      <c r="T363">
        <v>40874.192834</v>
      </c>
      <c r="U363" s="2">
        <v>44431</v>
      </c>
      <c r="V363" t="s">
        <v>802</v>
      </c>
    </row>
    <row r="364" spans="1:22">
      <c r="A364" s="1" t="s">
        <v>384</v>
      </c>
      <c r="B364">
        <f>HYPERLINK("https://www.suredividend.com/sure-analysis-AEP/","American Electric Power Company Inc.")</f>
        <v>0</v>
      </c>
      <c r="C364">
        <v>83.23999999999999</v>
      </c>
      <c r="D364">
        <v>79.59999999999999</v>
      </c>
      <c r="E364">
        <v>1.04572864321608</v>
      </c>
      <c r="F364">
        <v>0.03748197981739548</v>
      </c>
      <c r="G364">
        <v>-0.008902913993787842</v>
      </c>
      <c r="H364">
        <v>0.049</v>
      </c>
      <c r="I364">
        <v>0.07155305993822392</v>
      </c>
      <c r="J364" t="s">
        <v>366</v>
      </c>
      <c r="K364" t="s">
        <v>776</v>
      </c>
      <c r="L364">
        <v>4.68</v>
      </c>
      <c r="M364">
        <v>3.12</v>
      </c>
      <c r="N364">
        <v>0.6666666666666667</v>
      </c>
      <c r="O364">
        <v>16</v>
      </c>
      <c r="P364">
        <v>0.01853111887485781</v>
      </c>
      <c r="Q364">
        <v>-0.041318744099686</v>
      </c>
      <c r="R364" t="s">
        <v>779</v>
      </c>
      <c r="S364" t="s">
        <v>791</v>
      </c>
      <c r="T364">
        <v>41581.482453</v>
      </c>
      <c r="U364" s="2">
        <v>44503</v>
      </c>
      <c r="V364" t="s">
        <v>804</v>
      </c>
    </row>
    <row r="365" spans="1:22">
      <c r="A365" s="1" t="s">
        <v>385</v>
      </c>
      <c r="B365">
        <f>HYPERLINK("https://www.suredividend.com/sure-analysis-COLD/","Americold Realty Trust")</f>
        <v>0</v>
      </c>
      <c r="C365">
        <v>31.99</v>
      </c>
      <c r="D365">
        <v>30</v>
      </c>
      <c r="E365">
        <v>1.066333333333333</v>
      </c>
      <c r="F365">
        <v>0.02750859643638637</v>
      </c>
      <c r="G365">
        <v>-0.01276304705879605</v>
      </c>
      <c r="H365">
        <v>0.06</v>
      </c>
      <c r="I365">
        <v>0.07151964466885641</v>
      </c>
      <c r="J365" t="s">
        <v>366</v>
      </c>
      <c r="K365" t="s">
        <v>366</v>
      </c>
      <c r="L365">
        <v>1.18</v>
      </c>
      <c r="M365">
        <v>0.88</v>
      </c>
      <c r="N365">
        <v>0.7457627118644068</v>
      </c>
      <c r="O365">
        <v>3</v>
      </c>
      <c r="P365">
        <v>0.04563955259127317</v>
      </c>
      <c r="Q365">
        <v>-0.123595755073043</v>
      </c>
      <c r="R365" t="s">
        <v>781</v>
      </c>
      <c r="S365" t="s">
        <v>793</v>
      </c>
      <c r="T365">
        <v>8424.579705</v>
      </c>
      <c r="U365" s="2">
        <v>44513</v>
      </c>
      <c r="V365" t="s">
        <v>794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33.14</v>
      </c>
      <c r="D366">
        <v>33</v>
      </c>
      <c r="E366">
        <v>1.004242424242424</v>
      </c>
      <c r="F366">
        <v>0.02263126131563066</v>
      </c>
      <c r="G366">
        <v>-0.0008463317654608948</v>
      </c>
      <c r="H366">
        <v>0.05</v>
      </c>
      <c r="I366">
        <v>0.07049677944844568</v>
      </c>
      <c r="J366" t="s">
        <v>366</v>
      </c>
      <c r="K366" t="s">
        <v>514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0.372908379631151</v>
      </c>
      <c r="R366" t="s">
        <v>779</v>
      </c>
      <c r="S366" t="s">
        <v>787</v>
      </c>
      <c r="T366">
        <v>7284.407491</v>
      </c>
      <c r="U366" s="2">
        <v>44503</v>
      </c>
      <c r="V366" t="s">
        <v>794</v>
      </c>
    </row>
    <row r="367" spans="1:22">
      <c r="A367" s="1" t="s">
        <v>387</v>
      </c>
      <c r="B367">
        <f>HYPERLINK("https://www.suredividend.com/sure-analysis-SAXPY/","Sampo Plc")</f>
        <v>0</v>
      </c>
      <c r="C367">
        <v>25.155</v>
      </c>
      <c r="D367">
        <v>26</v>
      </c>
      <c r="E367">
        <v>0.9675</v>
      </c>
      <c r="F367">
        <v>0.04094613396938978</v>
      </c>
      <c r="G367">
        <v>0.006629851624153416</v>
      </c>
      <c r="H367">
        <v>0.025</v>
      </c>
      <c r="I367">
        <v>0.06816366814910535</v>
      </c>
      <c r="J367" t="s">
        <v>366</v>
      </c>
      <c r="K367" t="s">
        <v>776</v>
      </c>
      <c r="L367">
        <v>23.99</v>
      </c>
      <c r="M367">
        <v>1.03</v>
      </c>
      <c r="N367">
        <v>0.0429345560650271</v>
      </c>
      <c r="O367">
        <v>0</v>
      </c>
      <c r="P367">
        <v>0.02581661126327583</v>
      </c>
      <c r="Q367">
        <v>0.155473781048758</v>
      </c>
      <c r="R367" t="s">
        <v>779</v>
      </c>
      <c r="S367" t="s">
        <v>790</v>
      </c>
      <c r="T367">
        <v>27840.588944</v>
      </c>
      <c r="U367" s="2">
        <v>44507</v>
      </c>
      <c r="V367" t="s">
        <v>795</v>
      </c>
    </row>
    <row r="368" spans="1:22">
      <c r="A368" s="1" t="s">
        <v>388</v>
      </c>
      <c r="B368">
        <f>HYPERLINK("https://www.suredividend.com/sure-analysis-APLE/","Apple Hospitality REIT Inc")</f>
        <v>0</v>
      </c>
      <c r="C368">
        <v>15.84</v>
      </c>
      <c r="D368">
        <v>18.3</v>
      </c>
      <c r="E368">
        <v>0.8655737704918033</v>
      </c>
      <c r="F368">
        <v>0.002525252525252525</v>
      </c>
      <c r="G368">
        <v>0.02929338691474248</v>
      </c>
      <c r="H368">
        <v>0.018</v>
      </c>
      <c r="I368">
        <v>0.0675496705805938</v>
      </c>
      <c r="J368" t="s">
        <v>366</v>
      </c>
      <c r="K368" t="s">
        <v>777</v>
      </c>
      <c r="L368">
        <v>0.87</v>
      </c>
      <c r="M368">
        <v>0.04</v>
      </c>
      <c r="N368">
        <v>0.04597701149425287</v>
      </c>
      <c r="O368">
        <v>0</v>
      </c>
      <c r="P368">
        <v>0.888175022589804</v>
      </c>
      <c r="Q368">
        <v>0.226694357050974</v>
      </c>
      <c r="R368" t="s">
        <v>781</v>
      </c>
      <c r="S368" t="s">
        <v>793</v>
      </c>
      <c r="T368">
        <v>3614.847208</v>
      </c>
      <c r="U368" s="2">
        <v>44509</v>
      </c>
      <c r="V368" t="s">
        <v>804</v>
      </c>
    </row>
    <row r="369" spans="1:22">
      <c r="A369" s="1" t="s">
        <v>389</v>
      </c>
      <c r="B369">
        <f>HYPERLINK("https://www.suredividend.com/sure-analysis-SO/","Southern Company")</f>
        <v>0</v>
      </c>
      <c r="C369">
        <v>62.17</v>
      </c>
      <c r="D369">
        <v>56</v>
      </c>
      <c r="E369">
        <v>1.110178571428571</v>
      </c>
      <c r="F369">
        <v>0.0424642110342609</v>
      </c>
      <c r="G369">
        <v>-0.02068719777599692</v>
      </c>
      <c r="H369">
        <v>0.05</v>
      </c>
      <c r="I369">
        <v>0.06681597617953416</v>
      </c>
      <c r="J369" t="s">
        <v>366</v>
      </c>
      <c r="K369" t="s">
        <v>776</v>
      </c>
      <c r="L369">
        <v>3.38</v>
      </c>
      <c r="M369">
        <v>2.64</v>
      </c>
      <c r="N369">
        <v>0.7810650887573966</v>
      </c>
      <c r="O369">
        <v>20</v>
      </c>
      <c r="P369">
        <v>0.02996744995959233</v>
      </c>
      <c r="Q369">
        <v>0.007612348776888001</v>
      </c>
      <c r="R369" t="s">
        <v>779</v>
      </c>
      <c r="S369" t="s">
        <v>791</v>
      </c>
      <c r="T369">
        <v>65707.84372200001</v>
      </c>
      <c r="U369" s="2">
        <v>44512</v>
      </c>
      <c r="V369" t="s">
        <v>802</v>
      </c>
    </row>
    <row r="370" spans="1:22">
      <c r="A370" s="1" t="s">
        <v>390</v>
      </c>
      <c r="B370">
        <f>HYPERLINK("https://www.suredividend.com/sure-analysis-GLOP/","Gaslog Partners LP")</f>
        <v>0</v>
      </c>
      <c r="C370">
        <v>5.04</v>
      </c>
      <c r="D370">
        <v>5.25</v>
      </c>
      <c r="E370">
        <v>0.96</v>
      </c>
      <c r="F370">
        <v>0.007936507936507936</v>
      </c>
      <c r="G370">
        <v>0.008197818497166498</v>
      </c>
      <c r="H370">
        <v>0.05</v>
      </c>
      <c r="I370">
        <v>0.06659940191339375</v>
      </c>
      <c r="J370" t="s">
        <v>366</v>
      </c>
      <c r="K370" t="s">
        <v>514</v>
      </c>
      <c r="L370">
        <v>1.25</v>
      </c>
      <c r="M370">
        <v>0.04</v>
      </c>
      <c r="N370">
        <v>0.032</v>
      </c>
      <c r="O370">
        <v>0</v>
      </c>
      <c r="P370">
        <v>0.08447177119769855</v>
      </c>
      <c r="Q370">
        <v>1.103179512557218</v>
      </c>
      <c r="R370" t="s">
        <v>779</v>
      </c>
      <c r="S370" t="s">
        <v>792</v>
      </c>
      <c r="T370">
        <v>242.340902</v>
      </c>
      <c r="U370" s="2">
        <v>44498</v>
      </c>
      <c r="V370" t="s">
        <v>794</v>
      </c>
    </row>
    <row r="371" spans="1:22">
      <c r="A371" s="1" t="s">
        <v>391</v>
      </c>
      <c r="B371">
        <f>HYPERLINK("https://www.suredividend.com/sure-analysis-UHT/","Universal Health Realty Income Trust")</f>
        <v>0</v>
      </c>
      <c r="C371">
        <v>59.25</v>
      </c>
      <c r="D371">
        <v>58</v>
      </c>
      <c r="E371">
        <v>1.021551724137931</v>
      </c>
      <c r="F371">
        <v>0.04725738396624472</v>
      </c>
      <c r="G371">
        <v>-0.004255473596199821</v>
      </c>
      <c r="H371">
        <v>0.03</v>
      </c>
      <c r="I371">
        <v>0.06609517403600296</v>
      </c>
      <c r="J371" t="s">
        <v>366</v>
      </c>
      <c r="K371" t="s">
        <v>775</v>
      </c>
      <c r="L371">
        <v>3.35</v>
      </c>
      <c r="M371">
        <v>2.8</v>
      </c>
      <c r="N371">
        <v>0.835820895522388</v>
      </c>
      <c r="O371">
        <v>36</v>
      </c>
      <c r="P371">
        <v>0.008428158438618549</v>
      </c>
      <c r="Q371">
        <v>-0.008940164466565001</v>
      </c>
      <c r="R371" t="s">
        <v>781</v>
      </c>
      <c r="S371" t="s">
        <v>793</v>
      </c>
      <c r="T371">
        <v>808.042231</v>
      </c>
      <c r="U371" s="2">
        <v>44411</v>
      </c>
      <c r="V371" t="s">
        <v>804</v>
      </c>
    </row>
    <row r="372" spans="1:22">
      <c r="A372" s="1" t="s">
        <v>392</v>
      </c>
      <c r="B372">
        <f>HYPERLINK("https://www.suredividend.com/sure-analysis-FLO/","Flowers Foods, Inc.")</f>
        <v>0</v>
      </c>
      <c r="C372">
        <v>26.87</v>
      </c>
      <c r="D372">
        <v>25</v>
      </c>
      <c r="E372">
        <v>1.0748</v>
      </c>
      <c r="F372">
        <v>0.03126163007071082</v>
      </c>
      <c r="G372">
        <v>-0.01432335020837294</v>
      </c>
      <c r="H372">
        <v>0.05</v>
      </c>
      <c r="I372">
        <v>0.06493467372637074</v>
      </c>
      <c r="J372" t="s">
        <v>366</v>
      </c>
      <c r="K372" t="s">
        <v>776</v>
      </c>
      <c r="L372">
        <v>1.24</v>
      </c>
      <c r="M372">
        <v>0.84</v>
      </c>
      <c r="N372">
        <v>0.6774193548387096</v>
      </c>
      <c r="O372">
        <v>19</v>
      </c>
      <c r="P372">
        <v>0.05154749679728043</v>
      </c>
      <c r="Q372">
        <v>0.260557462171539</v>
      </c>
      <c r="R372" t="s">
        <v>779</v>
      </c>
      <c r="S372" t="s">
        <v>789</v>
      </c>
      <c r="T372">
        <v>5675.94987</v>
      </c>
      <c r="U372" s="2">
        <v>44513</v>
      </c>
      <c r="V372" t="s">
        <v>800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63.12</v>
      </c>
      <c r="D373">
        <v>65</v>
      </c>
      <c r="E373">
        <v>0.9710769230769231</v>
      </c>
      <c r="F373">
        <v>0.03326996197718631</v>
      </c>
      <c r="G373">
        <v>0.005887180402667225</v>
      </c>
      <c r="H373">
        <v>0.03</v>
      </c>
      <c r="I373">
        <v>0.06491542666413497</v>
      </c>
      <c r="J373" t="s">
        <v>366</v>
      </c>
      <c r="K373" t="s">
        <v>776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0.05994574605871401</v>
      </c>
      <c r="R373" t="s">
        <v>779</v>
      </c>
      <c r="S373" t="s">
        <v>789</v>
      </c>
      <c r="T373">
        <v>38316.104514</v>
      </c>
      <c r="U373" s="2">
        <v>44461</v>
      </c>
      <c r="V373" t="s">
        <v>802</v>
      </c>
    </row>
    <row r="374" spans="1:22">
      <c r="A374" s="1" t="s">
        <v>394</v>
      </c>
      <c r="B374">
        <f>HYPERLINK("https://www.suredividend.com/sure-analysis-PKX/","Posco")</f>
        <v>0</v>
      </c>
      <c r="C374">
        <v>57.82</v>
      </c>
      <c r="D374">
        <v>90</v>
      </c>
      <c r="E374">
        <v>0.6424444444444445</v>
      </c>
      <c r="F374">
        <v>0.03026634382566586</v>
      </c>
      <c r="G374">
        <v>0.09252877547513294</v>
      </c>
      <c r="H374">
        <v>-0.05</v>
      </c>
      <c r="I374">
        <v>0.06276398971156882</v>
      </c>
      <c r="J374" t="s">
        <v>366</v>
      </c>
      <c r="K374" t="s">
        <v>366</v>
      </c>
      <c r="L374">
        <v>9</v>
      </c>
      <c r="M374">
        <v>1.75</v>
      </c>
      <c r="N374">
        <v>0.1944444444444444</v>
      </c>
      <c r="O374">
        <v>0</v>
      </c>
      <c r="P374">
        <v>0</v>
      </c>
      <c r="Q374">
        <v>0.127584245401294</v>
      </c>
      <c r="R374" t="s">
        <v>779</v>
      </c>
      <c r="S374" t="s">
        <v>787</v>
      </c>
      <c r="T374">
        <v>20670.254842</v>
      </c>
      <c r="U374" s="2">
        <v>44509</v>
      </c>
      <c r="V374" t="s">
        <v>794</v>
      </c>
    </row>
    <row r="375" spans="1:22">
      <c r="A375" s="1" t="s">
        <v>395</v>
      </c>
      <c r="B375">
        <f>HYPERLINK("https://www.suredividend.com/sure-analysis-GEO/","Geo Group, Inc.")</f>
        <v>0</v>
      </c>
      <c r="C375">
        <v>9.26</v>
      </c>
      <c r="D375">
        <v>11.61</v>
      </c>
      <c r="E375">
        <v>0.797588285960379</v>
      </c>
      <c r="F375">
        <v>0.02699784017278618</v>
      </c>
      <c r="G375">
        <v>0.04627114135712285</v>
      </c>
      <c r="H375">
        <v>-0.05</v>
      </c>
      <c r="I375">
        <v>0.06239681560625399</v>
      </c>
      <c r="J375" t="s">
        <v>366</v>
      </c>
      <c r="K375" t="s">
        <v>366</v>
      </c>
      <c r="L375">
        <v>2.58</v>
      </c>
      <c r="M375">
        <v>0.25</v>
      </c>
      <c r="N375">
        <v>0.09689922480620154</v>
      </c>
      <c r="O375">
        <v>0</v>
      </c>
      <c r="P375">
        <v>0.3707841442227291</v>
      </c>
      <c r="Q375">
        <v>0.04179192583928101</v>
      </c>
      <c r="R375" t="s">
        <v>781</v>
      </c>
      <c r="S375" t="s">
        <v>793</v>
      </c>
      <c r="T375">
        <v>1167.757797</v>
      </c>
      <c r="U375" s="2">
        <v>44508</v>
      </c>
      <c r="V375" t="s">
        <v>794</v>
      </c>
    </row>
    <row r="376" spans="1:22">
      <c r="A376" s="1" t="s">
        <v>396</v>
      </c>
      <c r="B376">
        <f>HYPERLINK("https://www.suredividend.com/sure-analysis-OKE/","Oneok Inc.")</f>
        <v>0</v>
      </c>
      <c r="C376">
        <v>63.5</v>
      </c>
      <c r="D376">
        <v>57</v>
      </c>
      <c r="E376">
        <v>1.114035087719298</v>
      </c>
      <c r="F376">
        <v>0.05889763779527559</v>
      </c>
      <c r="G376">
        <v>-0.02136616675266434</v>
      </c>
      <c r="H376">
        <v>0.03</v>
      </c>
      <c r="I376">
        <v>0.06237392368931416</v>
      </c>
      <c r="J376" t="s">
        <v>366</v>
      </c>
      <c r="K376" t="s">
        <v>775</v>
      </c>
      <c r="L376">
        <v>5.15</v>
      </c>
      <c r="M376">
        <v>3.74</v>
      </c>
      <c r="N376">
        <v>0.7262135922330097</v>
      </c>
      <c r="O376">
        <v>18</v>
      </c>
      <c r="P376">
        <v>0.02003644710053942</v>
      </c>
      <c r="Q376">
        <v>1.099943478405426</v>
      </c>
      <c r="R376" t="s">
        <v>779</v>
      </c>
      <c r="S376" t="s">
        <v>792</v>
      </c>
      <c r="T376">
        <v>28165.362161</v>
      </c>
      <c r="U376" s="2">
        <v>44506</v>
      </c>
      <c r="V376" t="s">
        <v>797</v>
      </c>
    </row>
    <row r="377" spans="1:22">
      <c r="A377" s="1" t="s">
        <v>397</v>
      </c>
      <c r="B377">
        <f>HYPERLINK("https://www.suredividend.com/sure-analysis-R/","Ryder System, Inc.")</f>
        <v>0</v>
      </c>
      <c r="C377">
        <v>83.89</v>
      </c>
      <c r="D377">
        <v>101</v>
      </c>
      <c r="E377">
        <v>0.8305940594059406</v>
      </c>
      <c r="F377">
        <v>0.02765526284420074</v>
      </c>
      <c r="G377">
        <v>0.03782047811845102</v>
      </c>
      <c r="H377">
        <v>0</v>
      </c>
      <c r="I377">
        <v>0.06130701927724735</v>
      </c>
      <c r="J377" t="s">
        <v>366</v>
      </c>
      <c r="K377" t="s">
        <v>366</v>
      </c>
      <c r="L377">
        <v>8.449999999999999</v>
      </c>
      <c r="M377">
        <v>2.32</v>
      </c>
      <c r="N377">
        <v>0.2745562130177515</v>
      </c>
      <c r="O377">
        <v>17</v>
      </c>
      <c r="P377">
        <v>0.01013720758985226</v>
      </c>
      <c r="Q377">
        <v>0.549743742454439</v>
      </c>
      <c r="R377" t="s">
        <v>779</v>
      </c>
      <c r="S377" t="s">
        <v>786</v>
      </c>
      <c r="T377">
        <v>4638.560991</v>
      </c>
      <c r="U377" s="2">
        <v>44497</v>
      </c>
      <c r="V377" t="s">
        <v>800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49.84</v>
      </c>
      <c r="D378">
        <v>50</v>
      </c>
      <c r="E378">
        <v>0.9968</v>
      </c>
      <c r="F378">
        <v>0.01605136436597111</v>
      </c>
      <c r="G378">
        <v>0.000641231690985844</v>
      </c>
      <c r="H378">
        <v>0.04</v>
      </c>
      <c r="I378">
        <v>0.06108098730305311</v>
      </c>
      <c r="J378" t="s">
        <v>366</v>
      </c>
      <c r="K378" t="s">
        <v>514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1.0504616286454</v>
      </c>
      <c r="R378" t="s">
        <v>779</v>
      </c>
      <c r="S378" t="s">
        <v>790</v>
      </c>
      <c r="T378">
        <v>206839.89754</v>
      </c>
      <c r="U378" s="2">
        <v>44485</v>
      </c>
      <c r="V378" t="s">
        <v>799</v>
      </c>
    </row>
    <row r="379" spans="1:22">
      <c r="A379" s="1" t="s">
        <v>399</v>
      </c>
      <c r="B379">
        <f>HYPERLINK("https://www.suredividend.com/sure-analysis-BK/","Bank Of New York Mellon Corp")</f>
        <v>0</v>
      </c>
      <c r="C379">
        <v>58.05</v>
      </c>
      <c r="D379">
        <v>52</v>
      </c>
      <c r="E379">
        <v>1.116346153846154</v>
      </c>
      <c r="F379">
        <v>0.02342807924203273</v>
      </c>
      <c r="G379">
        <v>-0.02177169736480045</v>
      </c>
      <c r="H379">
        <v>0.06</v>
      </c>
      <c r="I379">
        <v>0.06008241743582632</v>
      </c>
      <c r="J379" t="s">
        <v>366</v>
      </c>
      <c r="K379" t="s">
        <v>514</v>
      </c>
      <c r="L379">
        <v>4.15</v>
      </c>
      <c r="M379">
        <v>1.36</v>
      </c>
      <c r="N379">
        <v>0.327710843373494</v>
      </c>
      <c r="O379">
        <v>11</v>
      </c>
      <c r="P379">
        <v>0.06000153927394081</v>
      </c>
      <c r="Q379">
        <v>0.529819189079444</v>
      </c>
      <c r="R379" t="s">
        <v>779</v>
      </c>
      <c r="S379" t="s">
        <v>790</v>
      </c>
      <c r="T379">
        <v>48847.315876</v>
      </c>
      <c r="U379" s="2">
        <v>44491</v>
      </c>
      <c r="V379" t="s">
        <v>799</v>
      </c>
    </row>
    <row r="380" spans="1:22">
      <c r="A380" s="1" t="s">
        <v>400</v>
      </c>
      <c r="B380">
        <f>HYPERLINK("https://www.suredividend.com/sure-analysis-NLSN/","Nielsen Holdings plc")</f>
        <v>0</v>
      </c>
      <c r="C380">
        <v>21.91</v>
      </c>
      <c r="D380">
        <v>24</v>
      </c>
      <c r="E380">
        <v>0.9129166666666667</v>
      </c>
      <c r="F380">
        <v>0.01095390232770424</v>
      </c>
      <c r="G380">
        <v>0.01838917149902541</v>
      </c>
      <c r="H380">
        <v>0.03</v>
      </c>
      <c r="I380">
        <v>0.05910701751682845</v>
      </c>
      <c r="J380" t="s">
        <v>366</v>
      </c>
      <c r="K380" t="s">
        <v>777</v>
      </c>
      <c r="L380">
        <v>1.68</v>
      </c>
      <c r="M380">
        <v>0.24</v>
      </c>
      <c r="N380">
        <v>0.1428571428571428</v>
      </c>
      <c r="O380">
        <v>0</v>
      </c>
      <c r="P380">
        <v>0.04563955259127317</v>
      </c>
      <c r="Q380">
        <v>0.3244147157190631</v>
      </c>
      <c r="R380" t="s">
        <v>779</v>
      </c>
      <c r="S380" t="s">
        <v>786</v>
      </c>
      <c r="T380">
        <v>7817.439687</v>
      </c>
      <c r="U380" s="2">
        <v>44504</v>
      </c>
      <c r="V380" t="s">
        <v>797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53.72</v>
      </c>
      <c r="D381">
        <v>42</v>
      </c>
      <c r="E381">
        <v>1.279047619047619</v>
      </c>
      <c r="F381">
        <v>0.03201787043931496</v>
      </c>
      <c r="G381">
        <v>-0.04803132645692643</v>
      </c>
      <c r="H381">
        <v>0.075</v>
      </c>
      <c r="I381">
        <v>0.05796402500218156</v>
      </c>
      <c r="J381" t="s">
        <v>366</v>
      </c>
      <c r="K381" t="s">
        <v>366</v>
      </c>
      <c r="L381">
        <v>2.1</v>
      </c>
      <c r="M381">
        <v>1.72</v>
      </c>
      <c r="N381">
        <v>0.819047619047619</v>
      </c>
      <c r="O381">
        <v>12</v>
      </c>
      <c r="P381">
        <v>0.08023542380212056</v>
      </c>
      <c r="Q381">
        <v>0.625401625401625</v>
      </c>
      <c r="R381" t="s">
        <v>781</v>
      </c>
      <c r="S381" t="s">
        <v>793</v>
      </c>
      <c r="T381">
        <v>10839.19475</v>
      </c>
      <c r="U381" s="2">
        <v>44507</v>
      </c>
      <c r="V381" t="s">
        <v>794</v>
      </c>
    </row>
    <row r="382" spans="1:22">
      <c r="A382" s="1" t="s">
        <v>402</v>
      </c>
      <c r="B382">
        <f>HYPERLINK("https://www.suredividend.com/sure-analysis-DDAIF/","Daimler AG")</f>
        <v>0</v>
      </c>
      <c r="C382">
        <v>101.0125</v>
      </c>
      <c r="D382">
        <v>113</v>
      </c>
      <c r="E382">
        <v>0.8939159292035398</v>
      </c>
      <c r="F382">
        <v>0.0157406261601287</v>
      </c>
      <c r="G382">
        <v>0.0226821239745929</v>
      </c>
      <c r="H382">
        <v>0.02</v>
      </c>
      <c r="I382">
        <v>0.05708769249046619</v>
      </c>
      <c r="J382" t="s">
        <v>366</v>
      </c>
      <c r="K382" t="s">
        <v>514</v>
      </c>
      <c r="L382">
        <v>14.1</v>
      </c>
      <c r="M382">
        <v>1.59</v>
      </c>
      <c r="N382">
        <v>0.1127659574468085</v>
      </c>
      <c r="O382">
        <v>1</v>
      </c>
      <c r="P382">
        <v>0.02512087219852699</v>
      </c>
      <c r="Q382">
        <v>0.5806370626078771</v>
      </c>
      <c r="R382" t="s">
        <v>779</v>
      </c>
      <c r="S382" t="s">
        <v>788</v>
      </c>
      <c r="T382">
        <v>107769.005386</v>
      </c>
      <c r="U382" s="2">
        <v>44498</v>
      </c>
      <c r="V382" t="s">
        <v>797</v>
      </c>
    </row>
    <row r="383" spans="1:22">
      <c r="A383" s="1" t="s">
        <v>403</v>
      </c>
      <c r="B383">
        <f>HYPERLINK("https://www.suredividend.com/sure-analysis-KLAC/","KLA Corp.")</f>
        <v>0</v>
      </c>
      <c r="C383">
        <v>419.84</v>
      </c>
      <c r="D383">
        <v>357</v>
      </c>
      <c r="E383">
        <v>1.176022408963585</v>
      </c>
      <c r="F383">
        <v>0.01000381097560976</v>
      </c>
      <c r="G383">
        <v>-0.03190744432260273</v>
      </c>
      <c r="H383">
        <v>0.08</v>
      </c>
      <c r="I383">
        <v>0.05654536553603751</v>
      </c>
      <c r="J383" t="s">
        <v>366</v>
      </c>
      <c r="K383" t="s">
        <v>514</v>
      </c>
      <c r="L383">
        <v>21</v>
      </c>
      <c r="M383">
        <v>4.2</v>
      </c>
      <c r="N383">
        <v>0.2</v>
      </c>
      <c r="O383">
        <v>12</v>
      </c>
      <c r="P383">
        <v>0.09986525071768737</v>
      </c>
      <c r="Q383">
        <v>0.7706216547195721</v>
      </c>
      <c r="R383" t="s">
        <v>779</v>
      </c>
      <c r="S383" t="s">
        <v>785</v>
      </c>
      <c r="T383">
        <v>64166.500228</v>
      </c>
      <c r="U383" s="2">
        <v>44508</v>
      </c>
      <c r="V383" t="s">
        <v>797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71.97</v>
      </c>
      <c r="D384">
        <v>64</v>
      </c>
      <c r="E384">
        <v>1.12453125</v>
      </c>
      <c r="F384">
        <v>0.03932193969709601</v>
      </c>
      <c r="G384">
        <v>-0.02319990256064552</v>
      </c>
      <c r="H384">
        <v>0.04</v>
      </c>
      <c r="I384">
        <v>0.05389290087230103</v>
      </c>
      <c r="J384" t="s">
        <v>366</v>
      </c>
      <c r="K384" t="s">
        <v>776</v>
      </c>
      <c r="L384">
        <v>3.58</v>
      </c>
      <c r="M384">
        <v>2.83</v>
      </c>
      <c r="N384">
        <v>0.7905027932960894</v>
      </c>
      <c r="O384">
        <v>26</v>
      </c>
      <c r="P384">
        <v>0.03492902808124509</v>
      </c>
      <c r="Q384">
        <v>0.156105861153968</v>
      </c>
      <c r="R384" t="s">
        <v>781</v>
      </c>
      <c r="S384" t="s">
        <v>793</v>
      </c>
      <c r="T384">
        <v>28864.842046</v>
      </c>
      <c r="U384" s="2">
        <v>44507</v>
      </c>
      <c r="V384" t="s">
        <v>797</v>
      </c>
    </row>
    <row r="385" spans="1:22">
      <c r="A385" s="1" t="s">
        <v>405</v>
      </c>
      <c r="B385">
        <f>HYPERLINK("https://www.suredividend.com/sure-analysis-AON/","Aon plc.")</f>
        <v>0</v>
      </c>
      <c r="C385">
        <v>299.81</v>
      </c>
      <c r="D385">
        <v>233</v>
      </c>
      <c r="E385">
        <v>1.286738197424893</v>
      </c>
      <c r="F385">
        <v>0.006804309395950769</v>
      </c>
      <c r="G385">
        <v>-0.04917200226184837</v>
      </c>
      <c r="H385">
        <v>0.1</v>
      </c>
      <c r="I385">
        <v>0.05366003319350976</v>
      </c>
      <c r="J385" t="s">
        <v>366</v>
      </c>
      <c r="K385" t="s">
        <v>777</v>
      </c>
      <c r="L385">
        <v>11.65</v>
      </c>
      <c r="M385">
        <v>2.04</v>
      </c>
      <c r="N385">
        <v>0.1751072961373391</v>
      </c>
      <c r="O385">
        <v>10</v>
      </c>
      <c r="P385">
        <v>0.1101602038533911</v>
      </c>
      <c r="Q385">
        <v>0.4674738548078801</v>
      </c>
      <c r="R385" t="s">
        <v>779</v>
      </c>
      <c r="S385" t="s">
        <v>790</v>
      </c>
      <c r="T385">
        <v>66734.279129</v>
      </c>
      <c r="U385" s="2">
        <v>44421</v>
      </c>
      <c r="V385" t="s">
        <v>799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35.39</v>
      </c>
      <c r="D386">
        <v>35</v>
      </c>
      <c r="E386">
        <v>1.011142857142857</v>
      </c>
      <c r="F386">
        <v>0.02175755863238203</v>
      </c>
      <c r="G386">
        <v>-0.002213792512423818</v>
      </c>
      <c r="H386">
        <v>0.03</v>
      </c>
      <c r="I386">
        <v>0.05267257425760774</v>
      </c>
      <c r="J386" t="s">
        <v>366</v>
      </c>
      <c r="K386" t="s">
        <v>514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0.225548207448659</v>
      </c>
      <c r="R386" t="s">
        <v>779</v>
      </c>
      <c r="S386" t="s">
        <v>788</v>
      </c>
      <c r="T386">
        <v>63588.752553</v>
      </c>
      <c r="U386" s="2">
        <v>44439</v>
      </c>
      <c r="V386" t="s">
        <v>802</v>
      </c>
    </row>
    <row r="387" spans="1:22">
      <c r="A387" s="1" t="s">
        <v>407</v>
      </c>
      <c r="B387">
        <f>HYPERLINK("https://www.suredividend.com/sure-analysis-VIAC/","ViacomCBS Inc")</f>
        <v>0</v>
      </c>
      <c r="C387">
        <v>35.08</v>
      </c>
      <c r="D387">
        <v>36</v>
      </c>
      <c r="E387">
        <v>0.9744444444444444</v>
      </c>
      <c r="F387">
        <v>0.02736602052451539</v>
      </c>
      <c r="G387">
        <v>0.005190980886603747</v>
      </c>
      <c r="H387">
        <v>0.02</v>
      </c>
      <c r="I387">
        <v>0.05260530543762076</v>
      </c>
      <c r="J387" t="s">
        <v>366</v>
      </c>
      <c r="K387" t="s">
        <v>514</v>
      </c>
      <c r="L387">
        <v>3.64</v>
      </c>
      <c r="M387">
        <v>0.96</v>
      </c>
      <c r="N387">
        <v>0.2637362637362637</v>
      </c>
      <c r="O387">
        <v>1</v>
      </c>
      <c r="P387">
        <v>0.05081623913789235</v>
      </c>
      <c r="Q387">
        <v>0.125484294451026</v>
      </c>
      <c r="R387" t="s">
        <v>779</v>
      </c>
      <c r="S387" t="s">
        <v>783</v>
      </c>
      <c r="T387">
        <v>22884.41829</v>
      </c>
      <c r="U387" s="2">
        <v>44513</v>
      </c>
      <c r="V387" t="s">
        <v>796</v>
      </c>
    </row>
    <row r="388" spans="1:22">
      <c r="A388" s="1" t="s">
        <v>408</v>
      </c>
      <c r="B388">
        <f>HYPERLINK("https://www.suredividend.com/sure-analysis-JPM/","JPMorgan Chase &amp; Co.")</f>
        <v>0</v>
      </c>
      <c r="C388">
        <v>164.47</v>
      </c>
      <c r="D388">
        <v>188</v>
      </c>
      <c r="E388">
        <v>0.8748404255319149</v>
      </c>
      <c r="F388">
        <v>0.02432054478020308</v>
      </c>
      <c r="G388">
        <v>0.0271035525660539</v>
      </c>
      <c r="H388">
        <v>0</v>
      </c>
      <c r="I388">
        <v>0.05241676063051925</v>
      </c>
      <c r="J388" t="s">
        <v>366</v>
      </c>
      <c r="K388" t="s">
        <v>514</v>
      </c>
      <c r="L388">
        <v>15</v>
      </c>
      <c r="M388">
        <v>4</v>
      </c>
      <c r="N388">
        <v>0.2666666666666667</v>
      </c>
      <c r="O388">
        <v>11</v>
      </c>
      <c r="P388">
        <v>0.06615002518126989</v>
      </c>
      <c r="Q388">
        <v>0.44511979305493</v>
      </c>
      <c r="R388" t="s">
        <v>779</v>
      </c>
      <c r="S388" t="s">
        <v>790</v>
      </c>
      <c r="T388">
        <v>488682.795847</v>
      </c>
      <c r="U388" s="2">
        <v>44485</v>
      </c>
      <c r="V388" t="s">
        <v>799</v>
      </c>
    </row>
    <row r="389" spans="1:22">
      <c r="A389" s="1" t="s">
        <v>409</v>
      </c>
      <c r="B389">
        <f>HYPERLINK("https://www.suredividend.com/sure-analysis-HAL/","Halliburton Co.")</f>
        <v>0</v>
      </c>
      <c r="C389">
        <v>22.97</v>
      </c>
      <c r="D389">
        <v>14</v>
      </c>
      <c r="E389">
        <v>1.640714285714286</v>
      </c>
      <c r="F389">
        <v>0.00783630822812364</v>
      </c>
      <c r="G389">
        <v>-0.09428114658584719</v>
      </c>
      <c r="H389">
        <v>0.149</v>
      </c>
      <c r="I389">
        <v>0.05237494706219392</v>
      </c>
      <c r="J389" t="s">
        <v>366</v>
      </c>
      <c r="K389" t="s">
        <v>777</v>
      </c>
      <c r="L389">
        <v>1.1</v>
      </c>
      <c r="M389">
        <v>0.18</v>
      </c>
      <c r="N389">
        <v>0.1636363636363636</v>
      </c>
      <c r="O389">
        <v>0</v>
      </c>
      <c r="P389">
        <v>0.2011244339814313</v>
      </c>
      <c r="Q389">
        <v>0.537629926798134</v>
      </c>
      <c r="R389" t="s">
        <v>779</v>
      </c>
      <c r="S389" t="s">
        <v>792</v>
      </c>
      <c r="T389">
        <v>21024.689937</v>
      </c>
      <c r="U389" s="2">
        <v>44491</v>
      </c>
      <c r="V389" t="s">
        <v>802</v>
      </c>
    </row>
    <row r="390" spans="1:22">
      <c r="A390" s="1" t="s">
        <v>410</v>
      </c>
      <c r="B390">
        <f>HYPERLINK("https://www.suredividend.com/sure-analysis-MA/","Mastercard Incorporated")</f>
        <v>0</v>
      </c>
      <c r="C390">
        <v>359.17</v>
      </c>
      <c r="D390">
        <v>222</v>
      </c>
      <c r="E390">
        <v>1.617882882882883</v>
      </c>
      <c r="F390">
        <v>0.004900186541192193</v>
      </c>
      <c r="G390">
        <v>-0.09173917227536832</v>
      </c>
      <c r="H390">
        <v>0.15</v>
      </c>
      <c r="I390">
        <v>0.0508077178016364</v>
      </c>
      <c r="J390" t="s">
        <v>366</v>
      </c>
      <c r="K390" t="s">
        <v>777</v>
      </c>
      <c r="L390">
        <v>8.24</v>
      </c>
      <c r="M390">
        <v>1.76</v>
      </c>
      <c r="N390">
        <v>0.2135922330097087</v>
      </c>
      <c r="O390">
        <v>10</v>
      </c>
      <c r="P390">
        <v>0.1500007374307972</v>
      </c>
      <c r="Q390">
        <v>0.105785716465722</v>
      </c>
      <c r="R390" t="s">
        <v>779</v>
      </c>
      <c r="S390" t="s">
        <v>790</v>
      </c>
      <c r="T390">
        <v>360213.495366</v>
      </c>
      <c r="U390" s="2">
        <v>44499</v>
      </c>
      <c r="V390" t="s">
        <v>795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202.46</v>
      </c>
      <c r="D391">
        <v>180</v>
      </c>
      <c r="E391">
        <v>1.124777777777778</v>
      </c>
      <c r="F391">
        <v>0.02469623629358885</v>
      </c>
      <c r="G391">
        <v>-0.02324272514781844</v>
      </c>
      <c r="H391">
        <v>0.05</v>
      </c>
      <c r="I391">
        <v>0.05032213802807095</v>
      </c>
      <c r="J391" t="s">
        <v>366</v>
      </c>
      <c r="K391" t="s">
        <v>514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0.671070711341295</v>
      </c>
      <c r="R391" t="s">
        <v>779</v>
      </c>
      <c r="S391" t="s">
        <v>790</v>
      </c>
      <c r="T391">
        <v>86865.365063</v>
      </c>
      <c r="U391" s="2">
        <v>44490</v>
      </c>
      <c r="V391" t="s">
        <v>802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23.71</v>
      </c>
      <c r="D392">
        <v>26</v>
      </c>
      <c r="E392">
        <v>0.9119230769230769</v>
      </c>
      <c r="F392">
        <v>0.03121045972163644</v>
      </c>
      <c r="G392">
        <v>0.01861099291322543</v>
      </c>
      <c r="H392">
        <v>0</v>
      </c>
      <c r="I392">
        <v>0.05014045500041586</v>
      </c>
      <c r="J392" t="s">
        <v>366</v>
      </c>
      <c r="K392" t="s">
        <v>366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0.571771199526891</v>
      </c>
      <c r="R392" t="s">
        <v>779</v>
      </c>
      <c r="S392" t="s">
        <v>790</v>
      </c>
      <c r="T392">
        <v>22270.914177</v>
      </c>
      <c r="U392" s="2">
        <v>44490</v>
      </c>
      <c r="V392" t="s">
        <v>800</v>
      </c>
    </row>
    <row r="393" spans="1:22">
      <c r="A393" s="1" t="s">
        <v>413</v>
      </c>
      <c r="B393">
        <f>HYPERLINK("https://www.suredividend.com/sure-analysis-CFG/","Citizens Financial Group Inc")</f>
        <v>0</v>
      </c>
      <c r="C393">
        <v>50.05</v>
      </c>
      <c r="D393">
        <v>59</v>
      </c>
      <c r="E393">
        <v>0.8483050847457627</v>
      </c>
      <c r="F393">
        <v>0.03116883116883117</v>
      </c>
      <c r="G393">
        <v>0.03345027691626146</v>
      </c>
      <c r="H393">
        <v>-0.02</v>
      </c>
      <c r="I393">
        <v>0.04974809684290027</v>
      </c>
      <c r="J393" t="s">
        <v>366</v>
      </c>
      <c r="K393" t="s">
        <v>366</v>
      </c>
      <c r="L393">
        <v>5.15</v>
      </c>
      <c r="M393">
        <v>1.56</v>
      </c>
      <c r="N393">
        <v>0.3029126213592233</v>
      </c>
      <c r="O393">
        <v>6</v>
      </c>
      <c r="P393">
        <v>0.09979014724923641</v>
      </c>
      <c r="Q393">
        <v>0.576172242797062</v>
      </c>
      <c r="R393" t="s">
        <v>779</v>
      </c>
      <c r="S393" t="s">
        <v>790</v>
      </c>
      <c r="T393">
        <v>21403.742707</v>
      </c>
      <c r="U393" s="2">
        <v>44492</v>
      </c>
      <c r="V393" t="s">
        <v>799</v>
      </c>
    </row>
    <row r="394" spans="1:22">
      <c r="A394" s="1" t="s">
        <v>414</v>
      </c>
      <c r="B394">
        <f>HYPERLINK("https://www.suredividend.com/sure-analysis-PSB/","PS Business Parks, Inc.")</f>
        <v>0</v>
      </c>
      <c r="C394">
        <v>177.75</v>
      </c>
      <c r="D394">
        <v>161</v>
      </c>
      <c r="E394">
        <v>1.104037267080745</v>
      </c>
      <c r="F394">
        <v>0.02362869198312237</v>
      </c>
      <c r="G394">
        <v>-0.01960011118872429</v>
      </c>
      <c r="H394">
        <v>0.045</v>
      </c>
      <c r="I394">
        <v>0.04895286950365141</v>
      </c>
      <c r="J394" t="s">
        <v>366</v>
      </c>
      <c r="K394" t="s">
        <v>366</v>
      </c>
      <c r="L394">
        <v>6.98</v>
      </c>
      <c r="M394">
        <v>4.2</v>
      </c>
      <c r="N394">
        <v>0.6017191977077364</v>
      </c>
      <c r="O394">
        <v>0</v>
      </c>
      <c r="P394">
        <v>0.05997935097636264</v>
      </c>
      <c r="Q394">
        <v>0.287694632415741</v>
      </c>
      <c r="R394" t="s">
        <v>781</v>
      </c>
      <c r="S394" t="s">
        <v>793</v>
      </c>
      <c r="T394">
        <v>4859.924958</v>
      </c>
      <c r="U394" s="2">
        <v>44513</v>
      </c>
      <c r="V394" t="s">
        <v>794</v>
      </c>
    </row>
    <row r="395" spans="1:22">
      <c r="A395" s="1" t="s">
        <v>415</v>
      </c>
      <c r="B395">
        <f>HYPERLINK("https://www.suredividend.com/sure-analysis-WEC/","WEC Energy Group Inc")</f>
        <v>0</v>
      </c>
      <c r="C395">
        <v>90.8</v>
      </c>
      <c r="D395">
        <v>77</v>
      </c>
      <c r="E395">
        <v>1.179220779220779</v>
      </c>
      <c r="F395">
        <v>0.02984581497797357</v>
      </c>
      <c r="G395">
        <v>-0.03243316150703657</v>
      </c>
      <c r="H395">
        <v>0.052</v>
      </c>
      <c r="I395">
        <v>0.04843327055538249</v>
      </c>
      <c r="J395" t="s">
        <v>366</v>
      </c>
      <c r="K395" t="s">
        <v>776</v>
      </c>
      <c r="L395">
        <v>4.06</v>
      </c>
      <c r="M395">
        <v>2.71</v>
      </c>
      <c r="N395">
        <v>0.6674876847290641</v>
      </c>
      <c r="O395">
        <v>18</v>
      </c>
      <c r="P395">
        <v>0.05189218178383381</v>
      </c>
      <c r="Q395">
        <v>-0.107199442296723</v>
      </c>
      <c r="R395" t="s">
        <v>779</v>
      </c>
      <c r="S395" t="s">
        <v>791</v>
      </c>
      <c r="T395">
        <v>28439.577315</v>
      </c>
      <c r="U395" s="2">
        <v>44502</v>
      </c>
      <c r="V395" t="s">
        <v>795</v>
      </c>
    </row>
    <row r="396" spans="1:22">
      <c r="A396" s="1" t="s">
        <v>416</v>
      </c>
      <c r="B396">
        <f>HYPERLINK("https://www.suredividend.com/sure-analysis-GE/","General Electric Co.")</f>
        <v>0</v>
      </c>
      <c r="C396">
        <v>101.99</v>
      </c>
      <c r="D396">
        <v>72</v>
      </c>
      <c r="E396">
        <v>1.416527777777778</v>
      </c>
      <c r="F396">
        <v>0.003137562506128052</v>
      </c>
      <c r="G396">
        <v>-0.06727207155918669</v>
      </c>
      <c r="H396">
        <v>0.12</v>
      </c>
      <c r="I396">
        <v>0.04727660472377515</v>
      </c>
      <c r="J396" t="s">
        <v>366</v>
      </c>
      <c r="K396" t="s">
        <v>777</v>
      </c>
      <c r="L396">
        <v>2</v>
      </c>
      <c r="M396">
        <v>0.32</v>
      </c>
      <c r="N396">
        <v>0.16</v>
      </c>
      <c r="O396">
        <v>0</v>
      </c>
      <c r="P396">
        <v>0</v>
      </c>
      <c r="Q396">
        <v>0.354241192518456</v>
      </c>
      <c r="R396" t="s">
        <v>779</v>
      </c>
      <c r="S396" t="s">
        <v>786</v>
      </c>
      <c r="T396">
        <v>113492.472179</v>
      </c>
      <c r="U396" s="2">
        <v>44500</v>
      </c>
      <c r="V396" t="s">
        <v>794</v>
      </c>
    </row>
    <row r="397" spans="1:22">
      <c r="A397" s="1" t="s">
        <v>417</v>
      </c>
      <c r="B397">
        <f>HYPERLINK("https://www.suredividend.com/sure-analysis-BUD/","Anheuser-Busch In Bev SA/NV")</f>
        <v>0</v>
      </c>
      <c r="C397">
        <v>59.48</v>
      </c>
      <c r="D397">
        <v>62</v>
      </c>
      <c r="E397">
        <v>0.9593548387096774</v>
      </c>
      <c r="F397">
        <v>0.009583053127101546</v>
      </c>
      <c r="G397">
        <v>0.008333383624899771</v>
      </c>
      <c r="H397">
        <v>0.03</v>
      </c>
      <c r="I397">
        <v>0.04669219127933544</v>
      </c>
      <c r="J397" t="s">
        <v>366</v>
      </c>
      <c r="K397" t="s">
        <v>777</v>
      </c>
      <c r="L397">
        <v>3.08</v>
      </c>
      <c r="M397">
        <v>0.57</v>
      </c>
      <c r="N397">
        <v>0.185064935064935</v>
      </c>
      <c r="O397">
        <v>0</v>
      </c>
      <c r="P397">
        <v>0</v>
      </c>
      <c r="Q397">
        <v>-0.110535072915956</v>
      </c>
      <c r="R397" t="s">
        <v>779</v>
      </c>
      <c r="S397" t="s">
        <v>789</v>
      </c>
      <c r="T397">
        <v>121114.133541</v>
      </c>
      <c r="U397" s="2">
        <v>44439</v>
      </c>
      <c r="V397" t="s">
        <v>798</v>
      </c>
    </row>
    <row r="398" spans="1:22">
      <c r="A398" s="1" t="s">
        <v>418</v>
      </c>
      <c r="B398">
        <f>HYPERLINK("https://www.suredividend.com/sure-analysis-WY/","Weyerhaeuser Co.")</f>
        <v>0</v>
      </c>
      <c r="C398">
        <v>38.52</v>
      </c>
      <c r="D398">
        <v>55.8</v>
      </c>
      <c r="E398">
        <v>0.6903225806451614</v>
      </c>
      <c r="F398">
        <v>0.01765316718587747</v>
      </c>
      <c r="G398">
        <v>0.07693522935536956</v>
      </c>
      <c r="H398">
        <v>-0.053</v>
      </c>
      <c r="I398">
        <v>0.04390756594195322</v>
      </c>
      <c r="J398" t="s">
        <v>366</v>
      </c>
      <c r="K398" t="s">
        <v>514</v>
      </c>
      <c r="L398">
        <v>3.28</v>
      </c>
      <c r="M398">
        <v>0.68</v>
      </c>
      <c r="N398">
        <v>0.2073170731707317</v>
      </c>
      <c r="O398">
        <v>0</v>
      </c>
      <c r="P398">
        <v>0.1486983549970351</v>
      </c>
      <c r="Q398">
        <v>0.352084875400937</v>
      </c>
      <c r="R398" t="s">
        <v>781</v>
      </c>
      <c r="S398" t="s">
        <v>793</v>
      </c>
      <c r="T398">
        <v>28733.3662</v>
      </c>
      <c r="U398" s="2">
        <v>44506</v>
      </c>
      <c r="V398" t="s">
        <v>804</v>
      </c>
    </row>
    <row r="399" spans="1:22">
      <c r="A399" s="1" t="s">
        <v>419</v>
      </c>
      <c r="B399">
        <f>HYPERLINK("https://www.suredividend.com/sure-analysis-PDCO/","Patterson Companies Inc.")</f>
        <v>0</v>
      </c>
      <c r="C399">
        <v>33.7</v>
      </c>
      <c r="D399">
        <v>30</v>
      </c>
      <c r="E399">
        <v>1.123333333333334</v>
      </c>
      <c r="F399">
        <v>0.03086053412462908</v>
      </c>
      <c r="G399">
        <v>-0.02299166048768853</v>
      </c>
      <c r="H399">
        <v>0.04</v>
      </c>
      <c r="I399">
        <v>0.04351902346467451</v>
      </c>
      <c r="J399" t="s">
        <v>366</v>
      </c>
      <c r="K399" t="s">
        <v>776</v>
      </c>
      <c r="L399">
        <v>2</v>
      </c>
      <c r="M399">
        <v>1.04</v>
      </c>
      <c r="N399">
        <v>0.52</v>
      </c>
      <c r="O399">
        <v>0</v>
      </c>
      <c r="P399">
        <v>0</v>
      </c>
      <c r="Q399">
        <v>0.253184578345236</v>
      </c>
      <c r="R399" t="s">
        <v>779</v>
      </c>
      <c r="S399" t="s">
        <v>784</v>
      </c>
      <c r="T399">
        <v>3307.97478</v>
      </c>
      <c r="U399" s="2">
        <v>44446</v>
      </c>
      <c r="V399" t="s">
        <v>798</v>
      </c>
    </row>
    <row r="400" spans="1:22">
      <c r="A400" s="1" t="s">
        <v>420</v>
      </c>
      <c r="B400">
        <f>HYPERLINK("https://www.suredividend.com/sure-analysis-ASML/","ASML Holding NV")</f>
        <v>0</v>
      </c>
      <c r="C400">
        <v>859.46</v>
      </c>
      <c r="D400">
        <v>583</v>
      </c>
      <c r="E400">
        <v>1.474202401372213</v>
      </c>
      <c r="F400">
        <v>0.004863518953761664</v>
      </c>
      <c r="G400">
        <v>-0.07468718451891287</v>
      </c>
      <c r="H400">
        <v>0.12</v>
      </c>
      <c r="I400">
        <v>0.04280894519962519</v>
      </c>
      <c r="J400" t="s">
        <v>366</v>
      </c>
      <c r="K400" t="s">
        <v>777</v>
      </c>
      <c r="L400">
        <v>15.75</v>
      </c>
      <c r="M400">
        <v>4.18</v>
      </c>
      <c r="N400">
        <v>0.2653968253968254</v>
      </c>
      <c r="O400">
        <v>6</v>
      </c>
      <c r="P400">
        <v>0.1500691206588143</v>
      </c>
      <c r="Q400">
        <v>1.028805238704949</v>
      </c>
      <c r="R400" t="s">
        <v>779</v>
      </c>
      <c r="S400" t="s">
        <v>785</v>
      </c>
      <c r="T400">
        <v>355690.436176</v>
      </c>
      <c r="U400" s="2">
        <v>44494</v>
      </c>
      <c r="V400" t="s">
        <v>799</v>
      </c>
    </row>
    <row r="401" spans="1:22">
      <c r="A401" s="1" t="s">
        <v>421</v>
      </c>
      <c r="B401">
        <f>HYPERLINK("https://www.suredividend.com/sure-analysis-WPC/","W. P. Carey Inc")</f>
        <v>0</v>
      </c>
      <c r="C401">
        <v>77.95999999999999</v>
      </c>
      <c r="D401">
        <v>62</v>
      </c>
      <c r="E401">
        <v>1.25741935483871</v>
      </c>
      <c r="F401">
        <v>0.05400205233453053</v>
      </c>
      <c r="G401">
        <v>-0.04477875762029415</v>
      </c>
      <c r="H401">
        <v>0.035</v>
      </c>
      <c r="I401">
        <v>0.04248539789520112</v>
      </c>
      <c r="J401" t="s">
        <v>366</v>
      </c>
      <c r="K401" t="s">
        <v>775</v>
      </c>
      <c r="L401">
        <v>4.98</v>
      </c>
      <c r="M401">
        <v>4.21</v>
      </c>
      <c r="N401">
        <v>0.8453815261044176</v>
      </c>
      <c r="O401">
        <v>23</v>
      </c>
      <c r="P401">
        <v>0.02007985595231565</v>
      </c>
      <c r="Q401">
        <v>0.157305212303049</v>
      </c>
      <c r="R401" t="s">
        <v>781</v>
      </c>
      <c r="S401" t="s">
        <v>793</v>
      </c>
      <c r="T401">
        <v>14601.014773</v>
      </c>
      <c r="U401" s="2">
        <v>44440</v>
      </c>
      <c r="V401" t="s">
        <v>797</v>
      </c>
    </row>
    <row r="402" spans="1:22">
      <c r="A402" s="1" t="s">
        <v>422</v>
      </c>
      <c r="B402">
        <f>HYPERLINK("https://www.suredividend.com/sure-analysis-MGA/","Magna International Inc.")</f>
        <v>0</v>
      </c>
      <c r="C402">
        <v>87.42</v>
      </c>
      <c r="D402">
        <v>69</v>
      </c>
      <c r="E402">
        <v>1.266956521739131</v>
      </c>
      <c r="F402">
        <v>0.01967513154884466</v>
      </c>
      <c r="G402">
        <v>-0.04622121594775563</v>
      </c>
      <c r="H402">
        <v>0.07000000000000001</v>
      </c>
      <c r="I402">
        <v>0.04225472005918496</v>
      </c>
      <c r="J402" t="s">
        <v>366</v>
      </c>
      <c r="K402" t="s">
        <v>514</v>
      </c>
      <c r="L402">
        <v>6.87</v>
      </c>
      <c r="M402">
        <v>1.72</v>
      </c>
      <c r="N402">
        <v>0.2503639010189229</v>
      </c>
      <c r="O402">
        <v>11</v>
      </c>
      <c r="P402">
        <v>0.0750624704770988</v>
      </c>
      <c r="Q402">
        <v>0.481068892855704</v>
      </c>
      <c r="R402" t="s">
        <v>779</v>
      </c>
      <c r="S402" t="s">
        <v>788</v>
      </c>
      <c r="T402">
        <v>26550.472721</v>
      </c>
      <c r="U402" s="2">
        <v>44428</v>
      </c>
      <c r="V402" t="s">
        <v>803</v>
      </c>
    </row>
    <row r="403" spans="1:22">
      <c r="A403" s="1" t="s">
        <v>423</v>
      </c>
      <c r="B403">
        <f>HYPERLINK("https://www.suredividend.com/sure-analysis-ESRT/","Empire State Realty Trust Inc")</f>
        <v>0</v>
      </c>
      <c r="C403">
        <v>10.04</v>
      </c>
      <c r="D403">
        <v>9.75</v>
      </c>
      <c r="E403">
        <v>1.02974358974359</v>
      </c>
      <c r="F403">
        <v>0.01394422310756972</v>
      </c>
      <c r="G403">
        <v>-0.005844818051912948</v>
      </c>
      <c r="H403">
        <v>0.02</v>
      </c>
      <c r="I403">
        <v>0.03663609988846339</v>
      </c>
      <c r="J403" t="s">
        <v>366</v>
      </c>
      <c r="K403" t="s">
        <v>777</v>
      </c>
      <c r="L403">
        <v>0.64</v>
      </c>
      <c r="M403">
        <v>0.14</v>
      </c>
      <c r="N403">
        <v>0.21875</v>
      </c>
      <c r="O403">
        <v>0</v>
      </c>
      <c r="P403">
        <v>0.2011244339814311</v>
      </c>
      <c r="Q403">
        <v>0.242695375960815</v>
      </c>
      <c r="R403" t="s">
        <v>781</v>
      </c>
      <c r="S403" t="s">
        <v>793</v>
      </c>
      <c r="T403">
        <v>1767.213744</v>
      </c>
      <c r="U403" s="2">
        <v>44500</v>
      </c>
      <c r="V403" t="s">
        <v>794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98.98999999999999</v>
      </c>
      <c r="D404">
        <v>78.3</v>
      </c>
      <c r="E404">
        <v>1.264240102171137</v>
      </c>
      <c r="F404">
        <v>0.03980200020204061</v>
      </c>
      <c r="G404">
        <v>-0.04581169888484593</v>
      </c>
      <c r="H404">
        <v>0.043</v>
      </c>
      <c r="I404">
        <v>0.03575079198451525</v>
      </c>
      <c r="J404" t="s">
        <v>366</v>
      </c>
      <c r="K404" t="s">
        <v>776</v>
      </c>
      <c r="L404">
        <v>5.22</v>
      </c>
      <c r="M404">
        <v>3.94</v>
      </c>
      <c r="N404">
        <v>0.7547892720306514</v>
      </c>
      <c r="O404">
        <v>10</v>
      </c>
      <c r="P404">
        <v>0.02693571566003095</v>
      </c>
      <c r="Q404">
        <v>0.084176904230675</v>
      </c>
      <c r="R404" t="s">
        <v>779</v>
      </c>
      <c r="S404" t="s">
        <v>791</v>
      </c>
      <c r="T404">
        <v>76225.96921</v>
      </c>
      <c r="U404" s="2">
        <v>44509</v>
      </c>
      <c r="V404" t="s">
        <v>804</v>
      </c>
    </row>
    <row r="405" spans="1:22">
      <c r="A405" s="1" t="s">
        <v>425</v>
      </c>
      <c r="B405">
        <f>HYPERLINK("https://www.suredividend.com/sure-analysis-BWA/","BorgWarner Inc")</f>
        <v>0</v>
      </c>
      <c r="C405">
        <v>47.97</v>
      </c>
      <c r="D405">
        <v>42</v>
      </c>
      <c r="E405">
        <v>1.142142857142857</v>
      </c>
      <c r="F405">
        <v>0.01417552637064832</v>
      </c>
      <c r="G405">
        <v>-0.02623106782661466</v>
      </c>
      <c r="H405">
        <v>0.05</v>
      </c>
      <c r="I405">
        <v>0.03511084050558444</v>
      </c>
      <c r="J405" t="s">
        <v>366</v>
      </c>
      <c r="K405" t="s">
        <v>514</v>
      </c>
      <c r="L405">
        <v>3.8</v>
      </c>
      <c r="M405">
        <v>0.68</v>
      </c>
      <c r="N405">
        <v>0.1789473684210527</v>
      </c>
      <c r="O405">
        <v>0</v>
      </c>
      <c r="P405">
        <v>0</v>
      </c>
      <c r="Q405">
        <v>0.268699556741539</v>
      </c>
      <c r="R405" t="s">
        <v>779</v>
      </c>
      <c r="S405" t="s">
        <v>786</v>
      </c>
      <c r="T405">
        <v>11604.92971</v>
      </c>
      <c r="U405" s="2">
        <v>44506</v>
      </c>
      <c r="V405" t="s">
        <v>795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127.27</v>
      </c>
      <c r="D406">
        <v>94</v>
      </c>
      <c r="E406">
        <v>1.353936170212766</v>
      </c>
      <c r="F406">
        <v>0.02765773552290406</v>
      </c>
      <c r="G406">
        <v>-0.05880337345980491</v>
      </c>
      <c r="H406">
        <v>0.065</v>
      </c>
      <c r="I406">
        <v>0.03490171876903103</v>
      </c>
      <c r="J406" t="s">
        <v>366</v>
      </c>
      <c r="K406" t="s">
        <v>366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0.9240349610152251</v>
      </c>
      <c r="R406" t="s">
        <v>779</v>
      </c>
      <c r="S406" t="s">
        <v>790</v>
      </c>
      <c r="T406">
        <v>1333.761769</v>
      </c>
      <c r="U406" s="2">
        <v>44513</v>
      </c>
      <c r="V406" t="s">
        <v>801</v>
      </c>
    </row>
    <row r="407" spans="1:22">
      <c r="A407" s="1" t="s">
        <v>427</v>
      </c>
      <c r="B407">
        <f>HYPERLINK("https://www.suredividend.com/sure-analysis-HOG/","Harley-Davidson, Inc.")</f>
        <v>0</v>
      </c>
      <c r="C407">
        <v>37.98</v>
      </c>
      <c r="D407">
        <v>47</v>
      </c>
      <c r="E407">
        <v>0.8080851063829787</v>
      </c>
      <c r="F407">
        <v>0.01579778830963665</v>
      </c>
      <c r="G407">
        <v>0.04353874767970289</v>
      </c>
      <c r="H407">
        <v>-0.036</v>
      </c>
      <c r="I407">
        <v>0.03220448969529155</v>
      </c>
      <c r="J407" t="s">
        <v>366</v>
      </c>
      <c r="K407" t="s">
        <v>514</v>
      </c>
      <c r="L407">
        <v>3.6</v>
      </c>
      <c r="M407">
        <v>0.6</v>
      </c>
      <c r="N407">
        <v>0.1666666666666667</v>
      </c>
      <c r="O407">
        <v>0</v>
      </c>
      <c r="P407">
        <v>0.2011244339814313</v>
      </c>
      <c r="Q407">
        <v>0.08959791193213701</v>
      </c>
      <c r="R407" t="s">
        <v>779</v>
      </c>
      <c r="S407" t="s">
        <v>788</v>
      </c>
      <c r="T407">
        <v>5959.993769</v>
      </c>
      <c r="U407" s="2">
        <v>44503</v>
      </c>
      <c r="V407" t="s">
        <v>804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167.79</v>
      </c>
      <c r="D408">
        <v>135</v>
      </c>
      <c r="E408">
        <v>1.242888888888889</v>
      </c>
      <c r="F408">
        <v>0.0127540377853269</v>
      </c>
      <c r="G408">
        <v>-0.04255565391769189</v>
      </c>
      <c r="H408">
        <v>0.062</v>
      </c>
      <c r="I408">
        <v>0.03066975959158302</v>
      </c>
      <c r="J408" t="s">
        <v>366</v>
      </c>
      <c r="K408" t="s">
        <v>777</v>
      </c>
      <c r="L408">
        <v>6.15</v>
      </c>
      <c r="M408">
        <v>2.14</v>
      </c>
      <c r="N408">
        <v>0.3479674796747967</v>
      </c>
      <c r="O408">
        <v>12</v>
      </c>
      <c r="P408">
        <v>0.05971834352437777</v>
      </c>
      <c r="Q408">
        <v>0.479573788651626</v>
      </c>
      <c r="R408" t="s">
        <v>779</v>
      </c>
      <c r="S408" t="s">
        <v>790</v>
      </c>
      <c r="T408">
        <v>85105.16306200001</v>
      </c>
      <c r="U408" s="2">
        <v>44505</v>
      </c>
      <c r="V408" t="s">
        <v>801</v>
      </c>
    </row>
    <row r="409" spans="1:22">
      <c r="A409" s="1" t="s">
        <v>429</v>
      </c>
      <c r="B409">
        <f>HYPERLINK("https://www.suredividend.com/sure-analysis-NNN/","National Retail Properties Inc")</f>
        <v>0</v>
      </c>
      <c r="C409">
        <v>46.32</v>
      </c>
      <c r="D409">
        <v>39.1</v>
      </c>
      <c r="E409">
        <v>1.1846547314578</v>
      </c>
      <c r="F409">
        <v>0.0457685664939551</v>
      </c>
      <c r="G409">
        <v>-0.03332243079822095</v>
      </c>
      <c r="H409">
        <v>0.015</v>
      </c>
      <c r="I409">
        <v>0.02830014509029311</v>
      </c>
      <c r="J409" t="s">
        <v>366</v>
      </c>
      <c r="K409" t="s">
        <v>776</v>
      </c>
      <c r="L409">
        <v>2.79</v>
      </c>
      <c r="M409">
        <v>2.12</v>
      </c>
      <c r="N409">
        <v>0.7598566308243728</v>
      </c>
      <c r="O409">
        <v>21</v>
      </c>
      <c r="P409">
        <v>0.01643215369887963</v>
      </c>
      <c r="Q409">
        <v>0.151833248867234</v>
      </c>
      <c r="R409" t="s">
        <v>781</v>
      </c>
      <c r="S409" t="s">
        <v>793</v>
      </c>
      <c r="T409">
        <v>8062.571512</v>
      </c>
      <c r="U409" s="2">
        <v>44506</v>
      </c>
      <c r="V409" t="s">
        <v>804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46.51</v>
      </c>
      <c r="D410">
        <v>39</v>
      </c>
      <c r="E410">
        <v>1.192564102564103</v>
      </c>
      <c r="F410">
        <v>0.01806063212212428</v>
      </c>
      <c r="G410">
        <v>-0.03460809355677319</v>
      </c>
      <c r="H410">
        <v>0.04</v>
      </c>
      <c r="I410">
        <v>0.02679064874824655</v>
      </c>
      <c r="J410" t="s">
        <v>366</v>
      </c>
      <c r="K410" t="s">
        <v>514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0.7423549918766581</v>
      </c>
      <c r="R410" t="s">
        <v>779</v>
      </c>
      <c r="S410" t="s">
        <v>790</v>
      </c>
      <c r="T410">
        <v>385306.676227</v>
      </c>
      <c r="U410" s="2">
        <v>44485</v>
      </c>
      <c r="V410" t="s">
        <v>799</v>
      </c>
    </row>
    <row r="411" spans="1:22">
      <c r="A411" s="1" t="s">
        <v>431</v>
      </c>
      <c r="B411">
        <f>HYPERLINK("https://www.suredividend.com/sure-analysis-GS/","Goldman Sachs Group, Inc.")</f>
        <v>0</v>
      </c>
      <c r="C411">
        <v>391.55</v>
      </c>
      <c r="D411">
        <v>671</v>
      </c>
      <c r="E411">
        <v>0.5835320417287631</v>
      </c>
      <c r="F411">
        <v>0.02043161792874473</v>
      </c>
      <c r="G411">
        <v>0.1137483108346433</v>
      </c>
      <c r="H411">
        <v>-0.1</v>
      </c>
      <c r="I411">
        <v>0.02419842865747923</v>
      </c>
      <c r="J411" t="s">
        <v>366</v>
      </c>
      <c r="K411" t="s">
        <v>514</v>
      </c>
      <c r="L411">
        <v>61</v>
      </c>
      <c r="M411">
        <v>8</v>
      </c>
      <c r="N411">
        <v>0.1311475409836066</v>
      </c>
      <c r="O411">
        <v>10</v>
      </c>
      <c r="P411">
        <v>0.03993111034207586</v>
      </c>
      <c r="Q411">
        <v>0.8447565236254591</v>
      </c>
      <c r="R411" t="s">
        <v>779</v>
      </c>
      <c r="S411" t="s">
        <v>790</v>
      </c>
      <c r="T411">
        <v>134951.702308</v>
      </c>
      <c r="U411" s="2">
        <v>44485</v>
      </c>
      <c r="V411" t="s">
        <v>799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44.2</v>
      </c>
      <c r="D412">
        <v>36</v>
      </c>
      <c r="E412">
        <v>1.227777777777778</v>
      </c>
      <c r="F412">
        <v>0.02714932126696832</v>
      </c>
      <c r="G412">
        <v>-0.04021038552451373</v>
      </c>
      <c r="H412">
        <v>0.03</v>
      </c>
      <c r="I412">
        <v>0.01786889719442475</v>
      </c>
      <c r="J412" t="s">
        <v>366</v>
      </c>
      <c r="K412" t="s">
        <v>366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0.7618461852866381</v>
      </c>
      <c r="R412" t="s">
        <v>779</v>
      </c>
      <c r="S412" t="s">
        <v>790</v>
      </c>
      <c r="T412">
        <v>30652.839131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HYPERLINK("https://www.suredividend.com/sure-analysis-GOLD/","Barrick Gold Corp.")</f>
        <v>0</v>
      </c>
      <c r="C413">
        <v>20.99</v>
      </c>
      <c r="D413">
        <v>23</v>
      </c>
      <c r="E413">
        <v>0.9126086956521738</v>
      </c>
      <c r="F413">
        <v>0.01715102429728442</v>
      </c>
      <c r="G413">
        <v>0.01845789580999346</v>
      </c>
      <c r="H413">
        <v>-0.02</v>
      </c>
      <c r="I413">
        <v>0.01689229284212379</v>
      </c>
      <c r="J413" t="s">
        <v>366</v>
      </c>
      <c r="K413" t="s">
        <v>514</v>
      </c>
      <c r="L413">
        <v>1.25</v>
      </c>
      <c r="M413">
        <v>0.36</v>
      </c>
      <c r="N413">
        <v>0.288</v>
      </c>
      <c r="O413">
        <v>5</v>
      </c>
      <c r="P413">
        <v>0.04095039696925684</v>
      </c>
      <c r="Q413">
        <v>-0.191164056272993</v>
      </c>
      <c r="R413" t="s">
        <v>779</v>
      </c>
      <c r="S413" t="s">
        <v>787</v>
      </c>
      <c r="T413">
        <v>36635.989619</v>
      </c>
      <c r="U413" s="2">
        <v>44428</v>
      </c>
      <c r="V413" t="s">
        <v>799</v>
      </c>
    </row>
    <row r="414" spans="1:22">
      <c r="A414" s="1" t="s">
        <v>434</v>
      </c>
      <c r="B414">
        <f>HYPERLINK("https://www.suredividend.com/sure-analysis-STZ/","Constellation Brands Inc")</f>
        <v>0</v>
      </c>
      <c r="C414">
        <v>234.02</v>
      </c>
      <c r="D414">
        <v>185</v>
      </c>
      <c r="E414">
        <v>1.264972972972973</v>
      </c>
      <c r="F414">
        <v>0.01299034270575164</v>
      </c>
      <c r="G414">
        <v>-0.04592228762841521</v>
      </c>
      <c r="H414">
        <v>0.05</v>
      </c>
      <c r="I414">
        <v>0.01632049272880498</v>
      </c>
      <c r="J414" t="s">
        <v>366</v>
      </c>
      <c r="K414" t="s">
        <v>777</v>
      </c>
      <c r="L414">
        <v>10.3</v>
      </c>
      <c r="M414">
        <v>3.04</v>
      </c>
      <c r="N414">
        <v>0.2951456310679612</v>
      </c>
      <c r="O414">
        <v>6</v>
      </c>
      <c r="P414">
        <v>0.05000563166277994</v>
      </c>
      <c r="Q414">
        <v>0.136565921610242</v>
      </c>
      <c r="R414" t="s">
        <v>779</v>
      </c>
      <c r="S414" t="s">
        <v>789</v>
      </c>
      <c r="T414">
        <v>43217.929814</v>
      </c>
      <c r="U414" s="2">
        <v>44475</v>
      </c>
      <c r="V414" t="s">
        <v>800</v>
      </c>
    </row>
    <row r="415" spans="1:22">
      <c r="A415" s="1" t="s">
        <v>435</v>
      </c>
      <c r="B415">
        <f>HYPERLINK("https://www.suredividend.com/sure-analysis-OSK/","Oshkosh Corp")</f>
        <v>0</v>
      </c>
      <c r="C415">
        <v>113.04</v>
      </c>
      <c r="D415">
        <v>84</v>
      </c>
      <c r="E415">
        <v>1.345714285714286</v>
      </c>
      <c r="F415">
        <v>0.01309271054493984</v>
      </c>
      <c r="G415">
        <v>-0.05765609169548602</v>
      </c>
      <c r="H415">
        <v>0.06</v>
      </c>
      <c r="I415">
        <v>0.01553919994952846</v>
      </c>
      <c r="J415" t="s">
        <v>366</v>
      </c>
      <c r="K415" t="s">
        <v>514</v>
      </c>
      <c r="L415">
        <v>6</v>
      </c>
      <c r="M415">
        <v>1.48</v>
      </c>
      <c r="N415">
        <v>0.2466666666666667</v>
      </c>
      <c r="O415">
        <v>9</v>
      </c>
      <c r="P415">
        <v>0.09122612129561491</v>
      </c>
      <c r="Q415">
        <v>0.47793564230541</v>
      </c>
      <c r="R415" t="s">
        <v>779</v>
      </c>
      <c r="S415" t="s">
        <v>786</v>
      </c>
      <c r="T415">
        <v>7897.927605</v>
      </c>
      <c r="U415" s="2">
        <v>44502</v>
      </c>
      <c r="V415" t="s">
        <v>800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37.61</v>
      </c>
      <c r="D416">
        <v>26</v>
      </c>
      <c r="E416">
        <v>1.446538461538462</v>
      </c>
      <c r="F416">
        <v>0.01276256314809891</v>
      </c>
      <c r="G416">
        <v>-0.071174771864568</v>
      </c>
      <c r="H416">
        <v>0.075</v>
      </c>
      <c r="I416">
        <v>0.0137665521086292</v>
      </c>
      <c r="J416" t="s">
        <v>366</v>
      </c>
      <c r="K416" t="s">
        <v>777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0.161710467431058</v>
      </c>
      <c r="R416" t="s">
        <v>779</v>
      </c>
      <c r="S416" t="s">
        <v>786</v>
      </c>
      <c r="T416">
        <v>8902.615849</v>
      </c>
      <c r="U416" s="2">
        <v>44493</v>
      </c>
      <c r="V416" t="s">
        <v>801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48.24</v>
      </c>
      <c r="D417">
        <v>50</v>
      </c>
      <c r="E417">
        <v>0.9648</v>
      </c>
      <c r="F417">
        <v>0.02072968490878939</v>
      </c>
      <c r="G417">
        <v>0.00719263422612415</v>
      </c>
      <c r="H417">
        <v>-0.02</v>
      </c>
      <c r="I417">
        <v>0.01122294557561543</v>
      </c>
      <c r="J417" t="s">
        <v>366</v>
      </c>
      <c r="K417" t="s">
        <v>514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0.9786503385492591</v>
      </c>
      <c r="R417" t="s">
        <v>779</v>
      </c>
      <c r="S417" t="s">
        <v>790</v>
      </c>
      <c r="T417">
        <v>5729.216743</v>
      </c>
      <c r="U417" s="2">
        <v>44493</v>
      </c>
      <c r="V417" t="s">
        <v>799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79.59999999999999</v>
      </c>
      <c r="D418">
        <v>67</v>
      </c>
      <c r="E418">
        <v>1.188059701492537</v>
      </c>
      <c r="F418">
        <v>0.01180904522613065</v>
      </c>
      <c r="G418">
        <v>-0.03387716521583783</v>
      </c>
      <c r="H418">
        <v>0.03</v>
      </c>
      <c r="I418">
        <v>0.01075537085317424</v>
      </c>
      <c r="J418" t="s">
        <v>366</v>
      </c>
      <c r="K418" t="s">
        <v>514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-0.02909074079938</v>
      </c>
      <c r="R418" t="s">
        <v>779</v>
      </c>
      <c r="S418" t="s">
        <v>785</v>
      </c>
      <c r="T418">
        <v>13800.059746</v>
      </c>
      <c r="U418" s="2">
        <v>44495</v>
      </c>
      <c r="V418" t="s">
        <v>795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89.11</v>
      </c>
      <c r="D419">
        <v>83</v>
      </c>
      <c r="E419">
        <v>1.073614457831325</v>
      </c>
      <c r="F419">
        <v>0.03052407137246101</v>
      </c>
      <c r="G419">
        <v>-0.01410575898440558</v>
      </c>
      <c r="H419">
        <v>-0.01</v>
      </c>
      <c r="I419">
        <v>0.01030486533263364</v>
      </c>
      <c r="J419" t="s">
        <v>366</v>
      </c>
      <c r="K419" t="s">
        <v>366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0.7933901276775681</v>
      </c>
      <c r="R419" t="s">
        <v>779</v>
      </c>
      <c r="S419" t="s">
        <v>790</v>
      </c>
      <c r="T419">
        <v>11791.57638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125.85</v>
      </c>
      <c r="D420">
        <v>86</v>
      </c>
      <c r="E420">
        <v>1.463372093023256</v>
      </c>
      <c r="F420">
        <v>0.02097735399284863</v>
      </c>
      <c r="G420">
        <v>-0.07332158692488477</v>
      </c>
      <c r="H420">
        <v>0.06</v>
      </c>
      <c r="I420">
        <v>0.00713802843747402</v>
      </c>
      <c r="J420" t="s">
        <v>366</v>
      </c>
      <c r="K420" t="s">
        <v>514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0.376415903244731</v>
      </c>
      <c r="R420" t="s">
        <v>779</v>
      </c>
      <c r="S420" t="s">
        <v>786</v>
      </c>
      <c r="T420">
        <v>45091.871662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HYPERLINK("https://www.suredividend.com/sure-analysis-PSA/","Public Storage")</f>
        <v>0</v>
      </c>
      <c r="C421">
        <v>333.54</v>
      </c>
      <c r="D421">
        <v>242</v>
      </c>
      <c r="E421">
        <v>1.378264462809917</v>
      </c>
      <c r="F421">
        <v>0.02398512921988367</v>
      </c>
      <c r="G421">
        <v>-0.06214977203823824</v>
      </c>
      <c r="H421">
        <v>0.04</v>
      </c>
      <c r="I421">
        <v>0.003539416889163149</v>
      </c>
      <c r="J421" t="s">
        <v>366</v>
      </c>
      <c r="K421" t="s">
        <v>514</v>
      </c>
      <c r="L421">
        <v>12.1</v>
      </c>
      <c r="M421">
        <v>8</v>
      </c>
      <c r="N421">
        <v>0.6611570247933884</v>
      </c>
      <c r="O421">
        <v>0</v>
      </c>
      <c r="P421">
        <v>0.03993111034207586</v>
      </c>
      <c r="Q421">
        <v>0.44771987868762</v>
      </c>
      <c r="R421" t="s">
        <v>781</v>
      </c>
      <c r="S421" t="s">
        <v>793</v>
      </c>
      <c r="T421">
        <v>57547.859501</v>
      </c>
      <c r="U421" s="2">
        <v>44502</v>
      </c>
      <c r="V421" t="s">
        <v>795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12.77</v>
      </c>
      <c r="D422">
        <v>10</v>
      </c>
      <c r="E422">
        <v>1.277</v>
      </c>
      <c r="F422">
        <v>0.003132341425215348</v>
      </c>
      <c r="G422">
        <v>-0.04772623324475733</v>
      </c>
      <c r="H422">
        <v>0.05</v>
      </c>
      <c r="I422">
        <v>0.003451793719711382</v>
      </c>
      <c r="J422" t="s">
        <v>366</v>
      </c>
      <c r="K422" t="s">
        <v>777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0.61442332407192</v>
      </c>
      <c r="R422" t="s">
        <v>779</v>
      </c>
      <c r="S422" t="s">
        <v>786</v>
      </c>
      <c r="T422">
        <v>3471.900924</v>
      </c>
      <c r="U422" s="2">
        <v>44513</v>
      </c>
      <c r="V422" t="s">
        <v>801</v>
      </c>
    </row>
    <row r="423" spans="1:22">
      <c r="A423" s="1" t="s">
        <v>443</v>
      </c>
      <c r="B423">
        <f>HYPERLINK("https://www.suredividend.com/sure-analysis-DLR/","Digital Realty Trust Inc")</f>
        <v>0</v>
      </c>
      <c r="C423">
        <v>164.11</v>
      </c>
      <c r="D423">
        <v>104</v>
      </c>
      <c r="E423">
        <v>1.577980769230769</v>
      </c>
      <c r="F423">
        <v>0.02827371884711474</v>
      </c>
      <c r="G423">
        <v>-0.08719153527038714</v>
      </c>
      <c r="H423">
        <v>0.06</v>
      </c>
      <c r="I423">
        <v>0.003380516435319336</v>
      </c>
      <c r="J423" t="s">
        <v>366</v>
      </c>
      <c r="K423" t="s">
        <v>366</v>
      </c>
      <c r="L423">
        <v>6.52</v>
      </c>
      <c r="M423">
        <v>4.64</v>
      </c>
      <c r="N423">
        <v>0.7116564417177914</v>
      </c>
      <c r="O423">
        <v>17</v>
      </c>
      <c r="P423">
        <v>0.06002162190703619</v>
      </c>
      <c r="Q423">
        <v>0.175807636096589</v>
      </c>
      <c r="R423" t="s">
        <v>781</v>
      </c>
      <c r="S423" t="s">
        <v>793</v>
      </c>
      <c r="T423">
        <v>45891.26951</v>
      </c>
      <c r="U423" s="2">
        <v>44497</v>
      </c>
      <c r="V423" t="s">
        <v>800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35.65</v>
      </c>
      <c r="D424">
        <v>21</v>
      </c>
      <c r="E424">
        <v>1.697619047619048</v>
      </c>
      <c r="F424">
        <v>0.02384291725105189</v>
      </c>
      <c r="G424">
        <v>-0.1004362377943007</v>
      </c>
      <c r="H424">
        <v>0.08</v>
      </c>
      <c r="I424">
        <v>-0.0005833284590351928</v>
      </c>
      <c r="J424" t="s">
        <v>366</v>
      </c>
      <c r="K424" t="s">
        <v>366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0.3237690079652421</v>
      </c>
      <c r="R424" t="s">
        <v>779</v>
      </c>
      <c r="S424" t="s">
        <v>786</v>
      </c>
      <c r="T424">
        <v>72065.50406599999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73.64</v>
      </c>
      <c r="D425">
        <v>29</v>
      </c>
      <c r="E425">
        <v>2.539310344827586</v>
      </c>
      <c r="F425">
        <v>0.003259098316132537</v>
      </c>
      <c r="G425">
        <v>-0.1700406084864399</v>
      </c>
      <c r="H425">
        <v>0.2</v>
      </c>
      <c r="I425">
        <v>-0.0007581285488683642</v>
      </c>
      <c r="J425" t="s">
        <v>366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0.556225005428446</v>
      </c>
      <c r="R425" t="s">
        <v>779</v>
      </c>
      <c r="S425" t="s">
        <v>785</v>
      </c>
      <c r="T425">
        <v>60795.420881</v>
      </c>
      <c r="U425" s="2">
        <v>44461</v>
      </c>
      <c r="V425" t="s">
        <v>796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133.07</v>
      </c>
      <c r="D426">
        <v>90</v>
      </c>
      <c r="E426">
        <v>1.478555555555555</v>
      </c>
      <c r="F426">
        <v>0.02254452543773954</v>
      </c>
      <c r="G426">
        <v>-0.07523268738559075</v>
      </c>
      <c r="H426">
        <v>0.05</v>
      </c>
      <c r="I426">
        <v>-0.002360220196556795</v>
      </c>
      <c r="J426" t="s">
        <v>366</v>
      </c>
      <c r="K426" t="s">
        <v>366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0.152583586626139</v>
      </c>
      <c r="R426" t="s">
        <v>779</v>
      </c>
      <c r="S426" t="s">
        <v>789</v>
      </c>
      <c r="T426">
        <v>373606.8</v>
      </c>
      <c r="U426" s="2">
        <v>44516</v>
      </c>
      <c r="V426" t="s">
        <v>802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209.67</v>
      </c>
      <c r="D427">
        <v>123</v>
      </c>
      <c r="E427">
        <v>1.704634146341463</v>
      </c>
      <c r="F427">
        <v>0.01917298612104736</v>
      </c>
      <c r="G427">
        <v>-0.1011778564284325</v>
      </c>
      <c r="H427">
        <v>0.08</v>
      </c>
      <c r="I427">
        <v>-0.00541999655706249</v>
      </c>
      <c r="J427" t="s">
        <v>366</v>
      </c>
      <c r="K427" t="s">
        <v>514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0.316273152321618</v>
      </c>
      <c r="R427" t="s">
        <v>779</v>
      </c>
      <c r="S427" t="s">
        <v>789</v>
      </c>
      <c r="T427">
        <v>120435.197702</v>
      </c>
      <c r="U427" s="2">
        <v>44422</v>
      </c>
      <c r="V427" t="s">
        <v>795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61.68</v>
      </c>
      <c r="D428">
        <v>48</v>
      </c>
      <c r="E428">
        <v>1.285</v>
      </c>
      <c r="F428">
        <v>0.01102464332036317</v>
      </c>
      <c r="G428">
        <v>-0.04891490759161821</v>
      </c>
      <c r="H428">
        <v>0.03</v>
      </c>
      <c r="I428">
        <v>-0.007998486817559769</v>
      </c>
      <c r="J428" t="s">
        <v>366</v>
      </c>
      <c r="K428" t="s">
        <v>514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1.233533846846431</v>
      </c>
      <c r="R428" t="s">
        <v>779</v>
      </c>
      <c r="S428" t="s">
        <v>785</v>
      </c>
      <c r="T428">
        <v>3904.635752</v>
      </c>
      <c r="U428" s="2">
        <v>44419</v>
      </c>
      <c r="V428" t="s">
        <v>795</v>
      </c>
    </row>
    <row r="429" spans="1:22">
      <c r="A429" s="1" t="s">
        <v>449</v>
      </c>
      <c r="B429">
        <f>HYPERLINK("https://www.suredividend.com/sure-analysis-M/","Macy`s Inc")</f>
        <v>0</v>
      </c>
      <c r="C429">
        <v>30.84</v>
      </c>
      <c r="D429">
        <v>25</v>
      </c>
      <c r="E429">
        <v>1.2336</v>
      </c>
      <c r="F429">
        <v>0.01945525291828794</v>
      </c>
      <c r="G429">
        <v>-0.04111808462869349</v>
      </c>
      <c r="H429">
        <v>0.01</v>
      </c>
      <c r="I429">
        <v>-0.0103599732817421</v>
      </c>
      <c r="J429" t="s">
        <v>366</v>
      </c>
      <c r="K429" t="s">
        <v>514</v>
      </c>
      <c r="L429">
        <v>3.6</v>
      </c>
      <c r="M429">
        <v>0.6</v>
      </c>
      <c r="N429">
        <v>0.1666666666666667</v>
      </c>
      <c r="O429">
        <v>0</v>
      </c>
      <c r="P429">
        <v>0</v>
      </c>
      <c r="Q429">
        <v>3.055004395328393</v>
      </c>
      <c r="R429" t="s">
        <v>779</v>
      </c>
      <c r="S429" t="s">
        <v>788</v>
      </c>
      <c r="T429">
        <v>10000.369445</v>
      </c>
      <c r="U429" s="2">
        <v>44433</v>
      </c>
      <c r="V429" t="s">
        <v>797</v>
      </c>
    </row>
    <row r="430" spans="1:22">
      <c r="A430" s="1" t="s">
        <v>450</v>
      </c>
      <c r="B430">
        <f>HYPERLINK("https://www.suredividend.com/sure-analysis-OXY/","Occidental Petroleum Corp.")</f>
        <v>0</v>
      </c>
      <c r="C430">
        <v>30.76</v>
      </c>
      <c r="D430">
        <v>28</v>
      </c>
      <c r="E430">
        <v>1.098571428571429</v>
      </c>
      <c r="F430">
        <v>0.001300390117035111</v>
      </c>
      <c r="G430">
        <v>-0.01862646953802005</v>
      </c>
      <c r="H430">
        <v>0</v>
      </c>
      <c r="I430">
        <v>-0.01346269927187593</v>
      </c>
      <c r="J430" t="s">
        <v>366</v>
      </c>
      <c r="K430" t="s">
        <v>777</v>
      </c>
      <c r="L430">
        <v>1.95</v>
      </c>
      <c r="M430">
        <v>0.04</v>
      </c>
      <c r="N430">
        <v>0.02051282051282051</v>
      </c>
      <c r="O430">
        <v>0</v>
      </c>
      <c r="P430">
        <v>0.4757731615945522</v>
      </c>
      <c r="Q430">
        <v>1.511100420356948</v>
      </c>
      <c r="R430" t="s">
        <v>779</v>
      </c>
      <c r="S430" t="s">
        <v>792</v>
      </c>
      <c r="T430">
        <v>29737.954435</v>
      </c>
      <c r="U430" s="2">
        <v>44515</v>
      </c>
      <c r="V430" t="s">
        <v>802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243.9</v>
      </c>
      <c r="D431">
        <v>147</v>
      </c>
      <c r="E431">
        <v>1.659183673469388</v>
      </c>
      <c r="F431">
        <v>0.02607626076260763</v>
      </c>
      <c r="G431">
        <v>-0.09630660748177822</v>
      </c>
      <c r="H431">
        <v>0.054</v>
      </c>
      <c r="I431">
        <v>-0.01608109934196467</v>
      </c>
      <c r="J431" t="s">
        <v>366</v>
      </c>
      <c r="K431" t="s">
        <v>366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0.4427817074676431</v>
      </c>
      <c r="R431" t="s">
        <v>781</v>
      </c>
      <c r="S431" t="s">
        <v>793</v>
      </c>
      <c r="T431">
        <v>33801.931623</v>
      </c>
      <c r="U431" s="2">
        <v>44503</v>
      </c>
      <c r="V431" t="s">
        <v>804</v>
      </c>
    </row>
    <row r="432" spans="1:22">
      <c r="A432" s="1" t="s">
        <v>452</v>
      </c>
      <c r="B432">
        <f>HYPERLINK("https://www.suredividend.com/sure-analysis-FAST/","Fastenal Co.")</f>
        <v>0</v>
      </c>
      <c r="C432">
        <v>61.23</v>
      </c>
      <c r="D432">
        <v>37</v>
      </c>
      <c r="E432">
        <v>1.654864864864865</v>
      </c>
      <c r="F432">
        <v>0.018291687081496</v>
      </c>
      <c r="G432">
        <v>-0.09583541360830827</v>
      </c>
      <c r="H432">
        <v>0.06</v>
      </c>
      <c r="I432">
        <v>-0.01696297291784588</v>
      </c>
      <c r="J432" t="s">
        <v>366</v>
      </c>
      <c r="K432" t="s">
        <v>514</v>
      </c>
      <c r="L432">
        <v>1.55</v>
      </c>
      <c r="M432">
        <v>1.12</v>
      </c>
      <c r="N432">
        <v>0.7225806451612904</v>
      </c>
      <c r="O432">
        <v>22</v>
      </c>
      <c r="P432">
        <v>0.06016789231717423</v>
      </c>
      <c r="Q432">
        <v>0.300187557618336</v>
      </c>
      <c r="R432" t="s">
        <v>779</v>
      </c>
      <c r="S432" t="s">
        <v>786</v>
      </c>
      <c r="T432">
        <v>35286.271768</v>
      </c>
      <c r="U432" s="2">
        <v>44482</v>
      </c>
      <c r="V432" t="s">
        <v>800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30.14</v>
      </c>
      <c r="D433">
        <v>25</v>
      </c>
      <c r="E433">
        <v>1.2056</v>
      </c>
      <c r="F433">
        <v>0.0099535500995355</v>
      </c>
      <c r="G433">
        <v>-0.036704897835797</v>
      </c>
      <c r="H433">
        <v>0</v>
      </c>
      <c r="I433">
        <v>-0.01947298506662831</v>
      </c>
      <c r="J433" t="s">
        <v>366</v>
      </c>
      <c r="K433" t="s">
        <v>514</v>
      </c>
      <c r="L433">
        <v>12.8</v>
      </c>
      <c r="M433">
        <v>0.3</v>
      </c>
      <c r="N433">
        <v>0.0234375</v>
      </c>
      <c r="O433">
        <v>0</v>
      </c>
      <c r="P433">
        <v>0.1486983549970351</v>
      </c>
      <c r="Q433">
        <v>0.8408877868827671</v>
      </c>
      <c r="R433" t="s">
        <v>779</v>
      </c>
      <c r="S433" t="s">
        <v>787</v>
      </c>
      <c r="T433">
        <v>29916.72946</v>
      </c>
      <c r="U433" s="2">
        <v>44516</v>
      </c>
      <c r="V433" t="s">
        <v>802</v>
      </c>
    </row>
    <row r="434" spans="1:22">
      <c r="A434" s="1" t="s">
        <v>454</v>
      </c>
      <c r="B434">
        <f>HYPERLINK("https://www.suredividend.com/sure-analysis-FCX/","Freeport-McMoRan Inc")</f>
        <v>0</v>
      </c>
      <c r="C434">
        <v>38.87</v>
      </c>
      <c r="D434">
        <v>40</v>
      </c>
      <c r="E434">
        <v>0.9717499999999999</v>
      </c>
      <c r="F434">
        <v>0.007718034473887317</v>
      </c>
      <c r="G434">
        <v>0.005747797412124944</v>
      </c>
      <c r="H434">
        <v>-0.04</v>
      </c>
      <c r="I434">
        <v>-0.02411777430626161</v>
      </c>
      <c r="J434" t="s">
        <v>366</v>
      </c>
      <c r="K434" t="s">
        <v>777</v>
      </c>
      <c r="L434">
        <v>3.05</v>
      </c>
      <c r="M434">
        <v>0.3</v>
      </c>
      <c r="N434">
        <v>0.09836065573770492</v>
      </c>
      <c r="O434">
        <v>1</v>
      </c>
      <c r="P434">
        <v>0.05922384104881218</v>
      </c>
      <c r="Q434">
        <v>0.8978696891998751</v>
      </c>
      <c r="R434" t="s">
        <v>779</v>
      </c>
      <c r="S434" t="s">
        <v>787</v>
      </c>
      <c r="T434">
        <v>58151.551234</v>
      </c>
      <c r="U434" s="2">
        <v>44498</v>
      </c>
      <c r="V434" t="s">
        <v>799</v>
      </c>
    </row>
    <row r="435" spans="1:22">
      <c r="A435" s="1" t="s">
        <v>455</v>
      </c>
      <c r="B435">
        <f>HYPERLINK("https://www.suredividend.com/sure-analysis-HNI/","HNI Corp.")</f>
        <v>0</v>
      </c>
      <c r="C435">
        <v>41.99</v>
      </c>
      <c r="D435">
        <v>23</v>
      </c>
      <c r="E435">
        <v>1.825652173913044</v>
      </c>
      <c r="F435">
        <v>0.02953084067635151</v>
      </c>
      <c r="G435">
        <v>-0.1134231391443278</v>
      </c>
      <c r="H435">
        <v>0.055</v>
      </c>
      <c r="I435">
        <v>-0.02457826214602055</v>
      </c>
      <c r="J435" t="s">
        <v>366</v>
      </c>
      <c r="K435" t="s">
        <v>366</v>
      </c>
      <c r="L435">
        <v>1.66</v>
      </c>
      <c r="M435">
        <v>1.24</v>
      </c>
      <c r="N435">
        <v>0.746987951807229</v>
      </c>
      <c r="O435">
        <v>10</v>
      </c>
      <c r="P435">
        <v>0.04156021015686417</v>
      </c>
      <c r="Q435">
        <v>0.104527227663337</v>
      </c>
      <c r="R435" t="s">
        <v>779</v>
      </c>
      <c r="S435" t="s">
        <v>786</v>
      </c>
      <c r="T435">
        <v>1803.357463</v>
      </c>
      <c r="U435" s="2">
        <v>44494</v>
      </c>
      <c r="V435" t="s">
        <v>795</v>
      </c>
    </row>
    <row r="436" spans="1:22">
      <c r="A436" s="1" t="s">
        <v>456</v>
      </c>
      <c r="B436">
        <f>HYPERLINK("https://www.suredividend.com/sure-analysis-STLD/","Steel Dynamics Inc.")</f>
        <v>0</v>
      </c>
      <c r="C436">
        <v>62.96</v>
      </c>
      <c r="D436">
        <v>49</v>
      </c>
      <c r="E436">
        <v>1.284897959183674</v>
      </c>
      <c r="F436">
        <v>0.01651842439644218</v>
      </c>
      <c r="G436">
        <v>-0.04889980189146748</v>
      </c>
      <c r="H436">
        <v>0</v>
      </c>
      <c r="I436">
        <v>-0.02662400013560318</v>
      </c>
      <c r="J436" t="s">
        <v>366</v>
      </c>
      <c r="K436" t="s">
        <v>514</v>
      </c>
      <c r="L436">
        <v>4.4</v>
      </c>
      <c r="M436">
        <v>1.04</v>
      </c>
      <c r="N436">
        <v>0.2363636363636364</v>
      </c>
      <c r="O436">
        <v>9</v>
      </c>
      <c r="P436">
        <v>0.0488372867840543</v>
      </c>
      <c r="Q436">
        <v>0.8080071258053181</v>
      </c>
      <c r="R436" t="s">
        <v>779</v>
      </c>
      <c r="S436" t="s">
        <v>787</v>
      </c>
      <c r="T436">
        <v>12970.772131</v>
      </c>
      <c r="U436" s="2">
        <v>44494</v>
      </c>
      <c r="V436" t="s">
        <v>802</v>
      </c>
    </row>
    <row r="437" spans="1:22">
      <c r="A437" s="1" t="s">
        <v>457</v>
      </c>
      <c r="B437">
        <f>HYPERLINK("https://www.suredividend.com/sure-analysis-TER/","Teradyne, Inc.")</f>
        <v>0</v>
      </c>
      <c r="C437">
        <v>151.61</v>
      </c>
      <c r="D437">
        <v>87</v>
      </c>
      <c r="E437">
        <v>1.74264367816092</v>
      </c>
      <c r="F437">
        <v>0.002638348393905415</v>
      </c>
      <c r="G437">
        <v>-0.1051334366824365</v>
      </c>
      <c r="H437">
        <v>0.08</v>
      </c>
      <c r="I437">
        <v>-0.02953266580534131</v>
      </c>
      <c r="J437" t="s">
        <v>366</v>
      </c>
      <c r="K437" t="s">
        <v>777</v>
      </c>
      <c r="L437">
        <v>4.82</v>
      </c>
      <c r="M437">
        <v>0.4</v>
      </c>
      <c r="N437">
        <v>0.08298755186721991</v>
      </c>
      <c r="O437">
        <v>0</v>
      </c>
      <c r="P437">
        <v>0.09856054330611763</v>
      </c>
      <c r="Q437">
        <v>0.415659492893621</v>
      </c>
      <c r="R437" t="s">
        <v>779</v>
      </c>
      <c r="S437" t="s">
        <v>785</v>
      </c>
      <c r="T437">
        <v>24652.776382</v>
      </c>
      <c r="U437" s="2">
        <v>44502</v>
      </c>
      <c r="V437" t="s">
        <v>805</v>
      </c>
    </row>
    <row r="438" spans="1:22">
      <c r="A438" s="1" t="s">
        <v>458</v>
      </c>
      <c r="B438">
        <f>HYPERLINK("https://www.suredividend.com/sure-analysis-AUY/","Yamana Gold Inc.")</f>
        <v>0</v>
      </c>
      <c r="C438">
        <v>4.54</v>
      </c>
      <c r="D438">
        <v>3.29</v>
      </c>
      <c r="E438">
        <v>1.379939209726444</v>
      </c>
      <c r="F438">
        <v>0.02422907488986784</v>
      </c>
      <c r="G438">
        <v>-0.06237752479837588</v>
      </c>
      <c r="H438">
        <v>0.02</v>
      </c>
      <c r="I438">
        <v>-0.02983256769913234</v>
      </c>
      <c r="J438" t="s">
        <v>366</v>
      </c>
      <c r="K438" t="s">
        <v>366</v>
      </c>
      <c r="L438">
        <v>4.7</v>
      </c>
      <c r="M438">
        <v>0.11</v>
      </c>
      <c r="N438">
        <v>0.02340425531914894</v>
      </c>
      <c r="O438">
        <v>0</v>
      </c>
      <c r="P438">
        <v>-0.2288378350232393</v>
      </c>
      <c r="Q438">
        <v>-0.168698736422079</v>
      </c>
      <c r="R438" t="s">
        <v>779</v>
      </c>
      <c r="S438" t="s">
        <v>787</v>
      </c>
      <c r="T438">
        <v>4334.005175</v>
      </c>
      <c r="U438" s="2">
        <v>44443</v>
      </c>
      <c r="V438" t="s">
        <v>796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23.74</v>
      </c>
      <c r="D439">
        <v>13</v>
      </c>
      <c r="E439">
        <v>1.826153846153846</v>
      </c>
      <c r="F439">
        <v>0.01684919966301601</v>
      </c>
      <c r="G439">
        <v>-0.1134718557279352</v>
      </c>
      <c r="H439">
        <v>0.06</v>
      </c>
      <c r="I439">
        <v>-0.03430969073095602</v>
      </c>
      <c r="J439" t="s">
        <v>366</v>
      </c>
      <c r="K439" t="s">
        <v>514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0.5843398913444801</v>
      </c>
      <c r="R439" t="s">
        <v>779</v>
      </c>
      <c r="S439" t="s">
        <v>785</v>
      </c>
      <c r="T439">
        <v>102398.360465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304.24</v>
      </c>
      <c r="D440">
        <v>164</v>
      </c>
      <c r="E440">
        <v>1.855121951219512</v>
      </c>
      <c r="F440">
        <v>0.00709965816460689</v>
      </c>
      <c r="G440">
        <v>-0.1162579761504802</v>
      </c>
      <c r="H440">
        <v>0.08</v>
      </c>
      <c r="I440">
        <v>-0.034655916285664</v>
      </c>
      <c r="J440" t="s">
        <v>366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0.6612268988395991</v>
      </c>
      <c r="R440" t="s">
        <v>779</v>
      </c>
      <c r="S440" t="s">
        <v>786</v>
      </c>
      <c r="T440">
        <v>28219.403075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266.28</v>
      </c>
      <c r="D441">
        <v>146</v>
      </c>
      <c r="E441">
        <v>1.823835616438356</v>
      </c>
      <c r="F441">
        <v>0.003905663211656903</v>
      </c>
      <c r="G441">
        <v>-0.1132466016805603</v>
      </c>
      <c r="H441">
        <v>0.075</v>
      </c>
      <c r="I441">
        <v>-0.04091269724166935</v>
      </c>
      <c r="J441" t="s">
        <v>366</v>
      </c>
      <c r="K441" t="s">
        <v>777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0.247934344204187</v>
      </c>
      <c r="R441" t="s">
        <v>779</v>
      </c>
      <c r="S441" t="s">
        <v>788</v>
      </c>
      <c r="T441">
        <v>47644.633352</v>
      </c>
      <c r="U441" s="2">
        <v>44502</v>
      </c>
      <c r="V441" t="s">
        <v>795</v>
      </c>
    </row>
    <row r="442" spans="1:22">
      <c r="A442" s="1" t="s">
        <v>462</v>
      </c>
      <c r="B442">
        <f>HYPERLINK("https://www.suredividend.com/sure-analysis-APA/","APA Corporation")</f>
        <v>0</v>
      </c>
      <c r="C442">
        <v>27.66</v>
      </c>
      <c r="D442">
        <v>16</v>
      </c>
      <c r="E442">
        <v>1.72875</v>
      </c>
      <c r="F442">
        <v>0.0180766449746927</v>
      </c>
      <c r="G442">
        <v>-0.103699659567758</v>
      </c>
      <c r="H442">
        <v>0.04</v>
      </c>
      <c r="I442">
        <v>-0.04154219235279466</v>
      </c>
      <c r="J442" t="s">
        <v>366</v>
      </c>
      <c r="K442" t="s">
        <v>514</v>
      </c>
      <c r="L442">
        <v>3.5</v>
      </c>
      <c r="M442">
        <v>0.5</v>
      </c>
      <c r="N442">
        <v>0.1428571428571428</v>
      </c>
      <c r="O442">
        <v>1</v>
      </c>
      <c r="P442">
        <v>0.05061112176150684</v>
      </c>
      <c r="Q442">
        <v>0.5268592165696701</v>
      </c>
      <c r="R442" t="s">
        <v>779</v>
      </c>
      <c r="S442" t="s">
        <v>792</v>
      </c>
      <c r="T442">
        <v>10760.183552</v>
      </c>
      <c r="U442" s="2">
        <v>44508</v>
      </c>
      <c r="V442" t="s">
        <v>802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78.5</v>
      </c>
      <c r="D443">
        <v>36</v>
      </c>
      <c r="E443">
        <v>2.180555555555555</v>
      </c>
      <c r="F443">
        <v>0.007388535031847133</v>
      </c>
      <c r="G443">
        <v>-0.1443688859617179</v>
      </c>
      <c r="H443">
        <v>0.1</v>
      </c>
      <c r="I443">
        <v>-0.04911049313009674</v>
      </c>
      <c r="J443" t="s">
        <v>366</v>
      </c>
      <c r="K443" t="s">
        <v>777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1.090372355935785</v>
      </c>
      <c r="R443" t="s">
        <v>779</v>
      </c>
      <c r="S443" t="s">
        <v>790</v>
      </c>
      <c r="T443">
        <v>45712.621076</v>
      </c>
      <c r="U443" s="2">
        <v>44507</v>
      </c>
      <c r="V443" t="s">
        <v>805</v>
      </c>
    </row>
    <row r="444" spans="1:22">
      <c r="A444" s="1" t="s">
        <v>464</v>
      </c>
      <c r="B444">
        <f>HYPERLINK("https://www.suredividend.com/sure-analysis-SONY/","Sony Group Corporation")</f>
        <v>0</v>
      </c>
      <c r="C444">
        <v>124.23</v>
      </c>
      <c r="D444">
        <v>86</v>
      </c>
      <c r="E444">
        <v>1.44453488372093</v>
      </c>
      <c r="F444">
        <v>0.004427271995492232</v>
      </c>
      <c r="G444">
        <v>-0.0709172575559065</v>
      </c>
      <c r="H444">
        <v>0.017</v>
      </c>
      <c r="I444">
        <v>-0.0493402426467251</v>
      </c>
      <c r="J444" t="s">
        <v>366</v>
      </c>
      <c r="K444" t="s">
        <v>777</v>
      </c>
      <c r="L444">
        <v>6.58</v>
      </c>
      <c r="M444">
        <v>0.55</v>
      </c>
      <c r="N444">
        <v>0.08358662613981764</v>
      </c>
      <c r="O444">
        <v>6</v>
      </c>
      <c r="P444">
        <v>0.01755457717558762</v>
      </c>
      <c r="Q444">
        <v>0.386722366164328</v>
      </c>
      <c r="R444" t="s">
        <v>779</v>
      </c>
      <c r="S444" t="s">
        <v>785</v>
      </c>
      <c r="T444">
        <v>157733.232327</v>
      </c>
      <c r="U444" s="2">
        <v>44501</v>
      </c>
      <c r="V444" t="s">
        <v>795</v>
      </c>
    </row>
    <row r="445" spans="1:22">
      <c r="A445" s="1" t="s">
        <v>465</v>
      </c>
      <c r="B445">
        <f>HYPERLINK("https://www.suredividend.com/sure-analysis-TRI/","Thomson-Reuters Corp")</f>
        <v>0</v>
      </c>
      <c r="C445">
        <v>120.48</v>
      </c>
      <c r="D445">
        <v>66</v>
      </c>
      <c r="E445">
        <v>1.825454545454545</v>
      </c>
      <c r="F445">
        <v>0.01344621513944223</v>
      </c>
      <c r="G445">
        <v>-0.1134039433520598</v>
      </c>
      <c r="H445">
        <v>0.05</v>
      </c>
      <c r="I445">
        <v>-0.05133273694822327</v>
      </c>
      <c r="J445" t="s">
        <v>366</v>
      </c>
      <c r="K445" t="s">
        <v>514</v>
      </c>
      <c r="L445">
        <v>2.05</v>
      </c>
      <c r="M445">
        <v>1.62</v>
      </c>
      <c r="N445">
        <v>0.7902439024390245</v>
      </c>
      <c r="O445">
        <v>28</v>
      </c>
      <c r="P445">
        <v>0.009687038902979728</v>
      </c>
      <c r="Q445">
        <v>0.5020171705339991</v>
      </c>
      <c r="R445" t="s">
        <v>779</v>
      </c>
      <c r="S445" t="s">
        <v>786</v>
      </c>
      <c r="T445">
        <v>58780.659411</v>
      </c>
      <c r="U445" s="2">
        <v>44502</v>
      </c>
      <c r="V445" t="s">
        <v>801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292.61</v>
      </c>
      <c r="D446">
        <v>104</v>
      </c>
      <c r="E446">
        <v>2.813557692307692</v>
      </c>
      <c r="F446">
        <v>0.000546802911725505</v>
      </c>
      <c r="G446">
        <v>-0.1868908747501044</v>
      </c>
      <c r="H446">
        <v>0.15</v>
      </c>
      <c r="I446">
        <v>-0.06421037023929566</v>
      </c>
      <c r="J446" t="s">
        <v>366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1.237073664999644</v>
      </c>
      <c r="R446" t="s">
        <v>779</v>
      </c>
      <c r="S446" t="s">
        <v>785</v>
      </c>
      <c r="T446">
        <v>752658.76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202.03</v>
      </c>
      <c r="D447">
        <v>97</v>
      </c>
      <c r="E447">
        <v>2.082783505154639</v>
      </c>
      <c r="F447">
        <v>0.007325644706231748</v>
      </c>
      <c r="G447">
        <v>-0.1364824389506024</v>
      </c>
      <c r="H447">
        <v>0.05</v>
      </c>
      <c r="I447">
        <v>-0.08105954485578015</v>
      </c>
      <c r="J447" t="s">
        <v>366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0.4461287642457391</v>
      </c>
      <c r="R447" t="s">
        <v>779</v>
      </c>
      <c r="S447" t="s">
        <v>787</v>
      </c>
      <c r="T447">
        <v>26932.485433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3.37</v>
      </c>
      <c r="D448">
        <v>1.98</v>
      </c>
      <c r="E448">
        <v>1.702020202020202</v>
      </c>
      <c r="F448">
        <v>0.01186943620178042</v>
      </c>
      <c r="G448">
        <v>-0.1009019455964887</v>
      </c>
      <c r="H448">
        <v>-0.01</v>
      </c>
      <c r="I448">
        <v>-0.09173993698611216</v>
      </c>
      <c r="J448" t="s">
        <v>366</v>
      </c>
      <c r="K448" t="s">
        <v>514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-0.191227193796236</v>
      </c>
      <c r="R448" t="s">
        <v>781</v>
      </c>
      <c r="S448" t="s">
        <v>793</v>
      </c>
      <c r="T448">
        <v>812.58264</v>
      </c>
      <c r="U448" s="2">
        <v>44453</v>
      </c>
      <c r="V448" t="s">
        <v>798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62.44</v>
      </c>
      <c r="D449">
        <v>29</v>
      </c>
      <c r="E449">
        <v>2.153103448275862</v>
      </c>
      <c r="F449">
        <v>0.0128122998078155</v>
      </c>
      <c r="G449">
        <v>-0.1421980667163125</v>
      </c>
      <c r="H449">
        <v>0.03</v>
      </c>
      <c r="I449">
        <v>-0.09637393256408922</v>
      </c>
      <c r="J449" t="s">
        <v>366</v>
      </c>
      <c r="K449" t="s">
        <v>514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2.026627444987775</v>
      </c>
      <c r="R449" t="s">
        <v>779</v>
      </c>
      <c r="S449" t="s">
        <v>787</v>
      </c>
      <c r="T449">
        <v>10170.084412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9.82</v>
      </c>
      <c r="D450">
        <v>2.11</v>
      </c>
      <c r="E450">
        <v>4.654028436018958</v>
      </c>
      <c r="F450">
        <v>0.01221995926680244</v>
      </c>
      <c r="G450">
        <v>-0.2647514215513034</v>
      </c>
      <c r="H450">
        <v>0.1</v>
      </c>
      <c r="I450">
        <v>-0.1608748071795639</v>
      </c>
      <c r="J450" t="s">
        <v>366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3.545865749954768</v>
      </c>
      <c r="R450" t="s">
        <v>779</v>
      </c>
      <c r="S450" t="s">
        <v>792</v>
      </c>
      <c r="T450">
        <v>2560.495283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12.4</v>
      </c>
      <c r="D451">
        <v>19</v>
      </c>
      <c r="E451">
        <v>0.6526315789473685</v>
      </c>
      <c r="F451">
        <v>0.09677419354838709</v>
      </c>
      <c r="G451">
        <v>0.08909655214529599</v>
      </c>
      <c r="H451">
        <v>0.04</v>
      </c>
      <c r="I451">
        <v>0.1861598338874273</v>
      </c>
      <c r="J451" t="s">
        <v>514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0.487263959512043</v>
      </c>
      <c r="R451" t="s">
        <v>780</v>
      </c>
      <c r="S451" t="s">
        <v>792</v>
      </c>
      <c r="T451">
        <v>4900.387631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10.04</v>
      </c>
      <c r="D452">
        <v>18</v>
      </c>
      <c r="E452">
        <v>0.5577777777777777</v>
      </c>
      <c r="F452">
        <v>0.0906374501992032</v>
      </c>
      <c r="G452">
        <v>0.123848469449751</v>
      </c>
      <c r="H452">
        <v>0.01</v>
      </c>
      <c r="I452">
        <v>0.1850840223891144</v>
      </c>
      <c r="J452" t="s">
        <v>514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0.275693635168976</v>
      </c>
      <c r="R452" t="s">
        <v>779</v>
      </c>
      <c r="S452" t="s">
        <v>792</v>
      </c>
      <c r="T452">
        <v>66020.392261</v>
      </c>
      <c r="U452" s="2">
        <v>44454</v>
      </c>
      <c r="V452" t="s">
        <v>798</v>
      </c>
    </row>
    <row r="453" spans="1:22">
      <c r="A453" s="1" t="s">
        <v>473</v>
      </c>
      <c r="B453">
        <f>HYPERLINK("https://www.suredividend.com/sure-analysis-ARLP/","Alliance Resource Partners, LP")</f>
        <v>0</v>
      </c>
      <c r="C453">
        <v>10.28</v>
      </c>
      <c r="D453">
        <v>11.02</v>
      </c>
      <c r="E453">
        <v>0.9328493647912885</v>
      </c>
      <c r="F453">
        <v>0.07782101167315177</v>
      </c>
      <c r="G453">
        <v>0.01399939522072668</v>
      </c>
      <c r="H453">
        <v>0.08</v>
      </c>
      <c r="I453">
        <v>0.1565580219709333</v>
      </c>
      <c r="J453" t="s">
        <v>514</v>
      </c>
      <c r="K453" t="s">
        <v>776</v>
      </c>
      <c r="L453">
        <v>1.5</v>
      </c>
      <c r="M453">
        <v>0.8</v>
      </c>
      <c r="N453">
        <v>0.5333333333333333</v>
      </c>
      <c r="O453">
        <v>1</v>
      </c>
      <c r="P453">
        <v>0.08083252207959757</v>
      </c>
      <c r="Q453">
        <v>1.95357464028777</v>
      </c>
      <c r="R453" t="s">
        <v>780</v>
      </c>
      <c r="S453" t="s">
        <v>792</v>
      </c>
      <c r="T453">
        <v>1336.821752</v>
      </c>
      <c r="U453" s="2">
        <v>44497</v>
      </c>
      <c r="V453" t="s">
        <v>794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17.15</v>
      </c>
      <c r="D454">
        <v>25</v>
      </c>
      <c r="E454">
        <v>0.6859999999999999</v>
      </c>
      <c r="F454">
        <v>0.0816326530612245</v>
      </c>
      <c r="G454">
        <v>0.07828900500335867</v>
      </c>
      <c r="H454">
        <v>0.02</v>
      </c>
      <c r="I454">
        <v>0.1564871305527988</v>
      </c>
      <c r="J454" t="s">
        <v>514</v>
      </c>
      <c r="K454" t="s">
        <v>776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0.497122920300986</v>
      </c>
      <c r="R454" t="s">
        <v>780</v>
      </c>
      <c r="S454" t="s">
        <v>792</v>
      </c>
      <c r="T454">
        <v>1818.843467</v>
      </c>
      <c r="U454" s="2">
        <v>44504</v>
      </c>
      <c r="V454" t="s">
        <v>802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15.08</v>
      </c>
      <c r="D455">
        <v>21</v>
      </c>
      <c r="E455">
        <v>0.7180952380952381</v>
      </c>
      <c r="F455">
        <v>0.08620689655172414</v>
      </c>
      <c r="G455">
        <v>0.06847309470914498</v>
      </c>
      <c r="H455">
        <v>0.01</v>
      </c>
      <c r="I455">
        <v>0.1506424887431868</v>
      </c>
      <c r="J455" t="s">
        <v>514</v>
      </c>
      <c r="K455" t="s">
        <v>776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-0.021340834021469</v>
      </c>
      <c r="R455" t="s">
        <v>780</v>
      </c>
      <c r="S455" t="s">
        <v>791</v>
      </c>
      <c r="T455">
        <v>948.698229</v>
      </c>
      <c r="U455" s="2">
        <v>44429</v>
      </c>
      <c r="V455" t="s">
        <v>799</v>
      </c>
    </row>
    <row r="456" spans="1:22">
      <c r="A456" s="1" t="s">
        <v>476</v>
      </c>
      <c r="B456">
        <f>HYPERLINK("https://www.suredividend.com/sure-analysis-EOG/","EOG Resources, Inc.")</f>
        <v>0</v>
      </c>
      <c r="C456">
        <v>90.08</v>
      </c>
      <c r="D456">
        <v>135</v>
      </c>
      <c r="E456">
        <v>0.6672592592592592</v>
      </c>
      <c r="F456">
        <v>0.03330373001776199</v>
      </c>
      <c r="G456">
        <v>0.08427907897316422</v>
      </c>
      <c r="H456">
        <v>0.03</v>
      </c>
      <c r="I456">
        <v>0.1427133610381723</v>
      </c>
      <c r="J456" t="s">
        <v>514</v>
      </c>
      <c r="K456" t="s">
        <v>366</v>
      </c>
      <c r="L456">
        <v>7.5</v>
      </c>
      <c r="M456">
        <v>3</v>
      </c>
      <c r="N456">
        <v>0.4</v>
      </c>
      <c r="O456">
        <v>4</v>
      </c>
      <c r="P456">
        <v>0.08009875865888949</v>
      </c>
      <c r="Q456">
        <v>1.070640614297559</v>
      </c>
      <c r="R456" t="s">
        <v>779</v>
      </c>
      <c r="S456" t="s">
        <v>792</v>
      </c>
      <c r="T456">
        <v>53769.769254</v>
      </c>
      <c r="U456" s="2">
        <v>44513</v>
      </c>
      <c r="V456" t="s">
        <v>805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10.41</v>
      </c>
      <c r="D457">
        <v>12.1</v>
      </c>
      <c r="E457">
        <v>0.8603305785123967</v>
      </c>
      <c r="F457">
        <v>0.06916426512968299</v>
      </c>
      <c r="G457">
        <v>0.03054492320166746</v>
      </c>
      <c r="H457">
        <v>0.05</v>
      </c>
      <c r="I457">
        <v>0.1380625745863833</v>
      </c>
      <c r="J457" t="s">
        <v>514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0.402270594610311</v>
      </c>
      <c r="R457" t="s">
        <v>780</v>
      </c>
      <c r="S457" t="s">
        <v>792</v>
      </c>
      <c r="T457">
        <v>7545.003168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90.73</v>
      </c>
      <c r="D458">
        <v>96</v>
      </c>
      <c r="E458">
        <v>0.9451041666666667</v>
      </c>
      <c r="F458">
        <v>0.05400639259340902</v>
      </c>
      <c r="G458">
        <v>0.01135602123203361</v>
      </c>
      <c r="H458">
        <v>0.08</v>
      </c>
      <c r="I458">
        <v>0.1365987507453457</v>
      </c>
      <c r="J458" t="s">
        <v>514</v>
      </c>
      <c r="K458" t="s">
        <v>366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0.027844198614359</v>
      </c>
      <c r="R458" t="s">
        <v>779</v>
      </c>
      <c r="S458" t="s">
        <v>790</v>
      </c>
      <c r="T458">
        <v>54925.774429</v>
      </c>
      <c r="U458" s="2">
        <v>44494</v>
      </c>
      <c r="V458" t="s">
        <v>794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52.32</v>
      </c>
      <c r="D459">
        <v>105</v>
      </c>
      <c r="E459">
        <v>0.4982857142857143</v>
      </c>
      <c r="F459">
        <v>0.06880733944954129</v>
      </c>
      <c r="G459">
        <v>0.1494876583222731</v>
      </c>
      <c r="H459">
        <v>-0.05</v>
      </c>
      <c r="I459">
        <v>0.1338004396869066</v>
      </c>
      <c r="J459" t="s">
        <v>514</v>
      </c>
      <c r="K459" t="s">
        <v>776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0.09572306503284601</v>
      </c>
      <c r="R459" t="s">
        <v>779</v>
      </c>
      <c r="S459" t="s">
        <v>787</v>
      </c>
      <c r="T459">
        <v>77798.12926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5.42</v>
      </c>
      <c r="D460">
        <v>7.5</v>
      </c>
      <c r="E460">
        <v>0.7226666666666667</v>
      </c>
      <c r="F460">
        <v>0.04612546125461255</v>
      </c>
      <c r="G460">
        <v>0.06711787661204505</v>
      </c>
      <c r="H460">
        <v>0.03</v>
      </c>
      <c r="I460">
        <v>0.1317189140024757</v>
      </c>
      <c r="J460" t="s">
        <v>514</v>
      </c>
      <c r="K460" t="s">
        <v>776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0.12655751209968</v>
      </c>
      <c r="R460" t="s">
        <v>779</v>
      </c>
      <c r="S460" t="s">
        <v>790</v>
      </c>
      <c r="T460">
        <v>1955.475606</v>
      </c>
      <c r="U460" s="2">
        <v>44464</v>
      </c>
      <c r="V460" t="s">
        <v>796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10.97</v>
      </c>
      <c r="D461">
        <v>12</v>
      </c>
      <c r="E461">
        <v>0.9141666666666667</v>
      </c>
      <c r="F461">
        <v>0.02096627164995442</v>
      </c>
      <c r="G461">
        <v>0.01811051699592103</v>
      </c>
      <c r="H461">
        <v>0.09</v>
      </c>
      <c r="I461">
        <v>0.1285936604398674</v>
      </c>
      <c r="J461" t="s">
        <v>514</v>
      </c>
      <c r="K461" t="s">
        <v>514</v>
      </c>
      <c r="L461">
        <v>0.75</v>
      </c>
      <c r="M461">
        <v>0.23</v>
      </c>
      <c r="N461">
        <v>0.3066666666666667</v>
      </c>
      <c r="O461">
        <v>2</v>
      </c>
      <c r="P461">
        <v>0.1170340997937203</v>
      </c>
      <c r="Q461">
        <v>-0.08307183588082401</v>
      </c>
      <c r="R461" t="s">
        <v>779</v>
      </c>
      <c r="S461" t="s">
        <v>785</v>
      </c>
      <c r="T461">
        <v>33396.941824</v>
      </c>
      <c r="U461" s="2">
        <v>44494</v>
      </c>
      <c r="V461" t="s">
        <v>802</v>
      </c>
    </row>
    <row r="462" spans="1:22">
      <c r="A462" s="1" t="s">
        <v>482</v>
      </c>
      <c r="B462">
        <f>HYPERLINK("https://www.suredividend.com/sure-analysis-MS/","Morgan Stanley")</f>
        <v>0</v>
      </c>
      <c r="C462">
        <v>97.68000000000001</v>
      </c>
      <c r="D462">
        <v>98</v>
      </c>
      <c r="E462">
        <v>0.9967346938775511</v>
      </c>
      <c r="F462">
        <v>0.02866502866502866</v>
      </c>
      <c r="G462">
        <v>0.0006543437631614246</v>
      </c>
      <c r="H462">
        <v>0.1</v>
      </c>
      <c r="I462">
        <v>0.1244073525408818</v>
      </c>
      <c r="J462" t="s">
        <v>514</v>
      </c>
      <c r="K462" t="s">
        <v>514</v>
      </c>
      <c r="L462">
        <v>7.51</v>
      </c>
      <c r="M462">
        <v>2.8</v>
      </c>
      <c r="N462">
        <v>0.3728362183754993</v>
      </c>
      <c r="O462">
        <v>8</v>
      </c>
      <c r="P462">
        <v>0.07978367728709435</v>
      </c>
      <c r="Q462">
        <v>0.7740855592360271</v>
      </c>
      <c r="R462" t="s">
        <v>779</v>
      </c>
      <c r="S462" t="s">
        <v>790</v>
      </c>
      <c r="T462">
        <v>180679.339648</v>
      </c>
      <c r="U462" s="2">
        <v>44483</v>
      </c>
      <c r="V462" t="s">
        <v>794</v>
      </c>
    </row>
    <row r="463" spans="1:22">
      <c r="A463" s="1" t="s">
        <v>483</v>
      </c>
      <c r="B463">
        <f>HYPERLINK("https://www.suredividend.com/sure-analysis-VALE/","Vale S.A.")</f>
        <v>0</v>
      </c>
      <c r="C463">
        <v>11.81</v>
      </c>
      <c r="D463">
        <v>21</v>
      </c>
      <c r="E463">
        <v>0.5623809523809524</v>
      </c>
      <c r="F463">
        <v>0.1922099915325995</v>
      </c>
      <c r="G463">
        <v>0.1220026416425193</v>
      </c>
      <c r="H463">
        <v>-0.07000000000000001</v>
      </c>
      <c r="I463">
        <v>0.1231791156508</v>
      </c>
      <c r="J463" t="s">
        <v>514</v>
      </c>
      <c r="K463" t="s">
        <v>776</v>
      </c>
      <c r="L463">
        <v>4.2</v>
      </c>
      <c r="M463">
        <v>2.27</v>
      </c>
      <c r="N463">
        <v>0.5404761904761904</v>
      </c>
      <c r="O463">
        <v>1</v>
      </c>
      <c r="P463">
        <v>-0.1803080202371039</v>
      </c>
      <c r="Q463">
        <v>0.171077952596002</v>
      </c>
      <c r="R463" t="s">
        <v>779</v>
      </c>
      <c r="S463" t="s">
        <v>787</v>
      </c>
      <c r="T463">
        <v>62154.0712</v>
      </c>
      <c r="U463" s="2">
        <v>44503</v>
      </c>
      <c r="V463" t="s">
        <v>797</v>
      </c>
    </row>
    <row r="464" spans="1:22">
      <c r="A464" s="1" t="s">
        <v>484</v>
      </c>
      <c r="B464">
        <f>HYPERLINK("https://www.suredividend.com/sure-analysis-PSX/","Phillips 66")</f>
        <v>0</v>
      </c>
      <c r="C464">
        <v>74.68000000000001</v>
      </c>
      <c r="D464">
        <v>84</v>
      </c>
      <c r="E464">
        <v>0.8890476190476191</v>
      </c>
      <c r="F464">
        <v>0.04927691483663631</v>
      </c>
      <c r="G464">
        <v>0.02379969387628256</v>
      </c>
      <c r="H464">
        <v>0.06</v>
      </c>
      <c r="I464">
        <v>0.1207497694138249</v>
      </c>
      <c r="J464" t="s">
        <v>514</v>
      </c>
      <c r="K464" t="s">
        <v>776</v>
      </c>
      <c r="L464">
        <v>4</v>
      </c>
      <c r="M464">
        <v>3.68</v>
      </c>
      <c r="N464">
        <v>0.92</v>
      </c>
      <c r="O464">
        <v>9</v>
      </c>
      <c r="P464">
        <v>0.02185013726867213</v>
      </c>
      <c r="Q464">
        <v>0.287705829716417</v>
      </c>
      <c r="R464" t="s">
        <v>779</v>
      </c>
      <c r="S464" t="s">
        <v>792</v>
      </c>
      <c r="T464">
        <v>33729.340018</v>
      </c>
      <c r="U464" s="2">
        <v>44501</v>
      </c>
      <c r="V464" t="s">
        <v>802</v>
      </c>
    </row>
    <row r="465" spans="1:22">
      <c r="A465" s="1" t="s">
        <v>485</v>
      </c>
      <c r="B465">
        <f>HYPERLINK("https://www.suredividend.com/sure-analysis-AZN/","Astrazeneca plc")</f>
        <v>0</v>
      </c>
      <c r="C465">
        <v>57.73</v>
      </c>
      <c r="D465">
        <v>78</v>
      </c>
      <c r="E465">
        <v>0.7401282051282051</v>
      </c>
      <c r="F465">
        <v>0.02425082279577343</v>
      </c>
      <c r="G465">
        <v>0.06203446108233179</v>
      </c>
      <c r="H465">
        <v>0.04</v>
      </c>
      <c r="I465">
        <v>0.1203497205197752</v>
      </c>
      <c r="J465" t="s">
        <v>514</v>
      </c>
      <c r="K465" t="s">
        <v>514</v>
      </c>
      <c r="L465">
        <v>5.23</v>
      </c>
      <c r="M465">
        <v>1.4</v>
      </c>
      <c r="N465">
        <v>0.2676864244741873</v>
      </c>
      <c r="O465">
        <v>0</v>
      </c>
      <c r="P465">
        <v>0</v>
      </c>
      <c r="Q465">
        <v>0.051955234860003</v>
      </c>
      <c r="R465" t="s">
        <v>779</v>
      </c>
      <c r="S465" t="s">
        <v>784</v>
      </c>
      <c r="T465">
        <v>178551.125029</v>
      </c>
      <c r="U465" s="2">
        <v>44514</v>
      </c>
      <c r="V465" t="s">
        <v>795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70.38</v>
      </c>
      <c r="D466">
        <v>75</v>
      </c>
      <c r="E466">
        <v>0.9383999999999999</v>
      </c>
      <c r="F466">
        <v>0.02955385052571754</v>
      </c>
      <c r="G466">
        <v>0.01279698583147093</v>
      </c>
      <c r="H466">
        <v>0.07000000000000001</v>
      </c>
      <c r="I466">
        <v>0.1200125611733298</v>
      </c>
      <c r="J466" t="s">
        <v>514</v>
      </c>
      <c r="K466" t="s">
        <v>514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0.16377179394219</v>
      </c>
      <c r="R466" t="s">
        <v>781</v>
      </c>
      <c r="S466" t="s">
        <v>793</v>
      </c>
      <c r="T466">
        <v>8224.524052999999</v>
      </c>
      <c r="U466" s="2">
        <v>44498</v>
      </c>
      <c r="V466" t="s">
        <v>796</v>
      </c>
    </row>
    <row r="467" spans="1:22">
      <c r="A467" s="1" t="s">
        <v>487</v>
      </c>
      <c r="B467">
        <f>HYPERLINK("https://www.suredividend.com/sure-analysis-ET/","Energy Transfer LP")</f>
        <v>0</v>
      </c>
      <c r="C467">
        <v>8.98</v>
      </c>
      <c r="D467">
        <v>11.1</v>
      </c>
      <c r="E467">
        <v>0.8090090090090091</v>
      </c>
      <c r="F467">
        <v>0.06792873051224944</v>
      </c>
      <c r="G467">
        <v>0.04330029077719177</v>
      </c>
      <c r="H467">
        <v>0.02</v>
      </c>
      <c r="I467">
        <v>0.1196143091457271</v>
      </c>
      <c r="J467" t="s">
        <v>514</v>
      </c>
      <c r="K467" t="s">
        <v>776</v>
      </c>
      <c r="L467">
        <v>2.1</v>
      </c>
      <c r="M467">
        <v>0.61</v>
      </c>
      <c r="N467">
        <v>0.2904761904761904</v>
      </c>
      <c r="O467">
        <v>0</v>
      </c>
      <c r="P467">
        <v>0.05039574430966676</v>
      </c>
      <c r="Q467">
        <v>0.8233843117908231</v>
      </c>
      <c r="R467" t="s">
        <v>780</v>
      </c>
      <c r="S467" t="s">
        <v>792</v>
      </c>
      <c r="T467">
        <v>24992.997802</v>
      </c>
      <c r="U467" s="2">
        <v>44509</v>
      </c>
      <c r="V467" t="s">
        <v>802</v>
      </c>
    </row>
    <row r="468" spans="1:22">
      <c r="A468" s="1" t="s">
        <v>488</v>
      </c>
      <c r="B468">
        <f>HYPERLINK("https://www.suredividend.com/sure-analysis-TPR/","Tapestry Inc")</f>
        <v>0</v>
      </c>
      <c r="C468">
        <v>45.19</v>
      </c>
      <c r="D468">
        <v>53</v>
      </c>
      <c r="E468">
        <v>0.8526415094339622</v>
      </c>
      <c r="F468">
        <v>0.02212878955521133</v>
      </c>
      <c r="G468">
        <v>0.03239693291291723</v>
      </c>
      <c r="H468">
        <v>0.07000000000000001</v>
      </c>
      <c r="I468">
        <v>0.1191408842597679</v>
      </c>
      <c r="J468" t="s">
        <v>514</v>
      </c>
      <c r="K468" t="s">
        <v>514</v>
      </c>
      <c r="L468">
        <v>3.33</v>
      </c>
      <c r="M468">
        <v>1</v>
      </c>
      <c r="N468">
        <v>0.3003003003003003</v>
      </c>
      <c r="O468">
        <v>0</v>
      </c>
      <c r="P468">
        <v>0</v>
      </c>
      <c r="Q468">
        <v>0.680923235749576</v>
      </c>
      <c r="R468" t="s">
        <v>779</v>
      </c>
      <c r="S468" t="s">
        <v>788</v>
      </c>
      <c r="T468">
        <v>12543.753733</v>
      </c>
      <c r="U468" s="2">
        <v>44513</v>
      </c>
      <c r="V468" t="s">
        <v>796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74.55</v>
      </c>
      <c r="D469">
        <v>86</v>
      </c>
      <c r="E469">
        <v>0.866860465116279</v>
      </c>
      <c r="F469">
        <v>0.04882629107981221</v>
      </c>
      <c r="G469">
        <v>0.02898764606134185</v>
      </c>
      <c r="H469">
        <v>0.05</v>
      </c>
      <c r="I469">
        <v>0.1179466073591668</v>
      </c>
      <c r="J469" t="s">
        <v>514</v>
      </c>
      <c r="K469" t="s">
        <v>366</v>
      </c>
      <c r="L469">
        <v>6.6</v>
      </c>
      <c r="M469">
        <v>3.64</v>
      </c>
      <c r="N469">
        <v>0.5515151515151515</v>
      </c>
      <c r="O469">
        <v>10</v>
      </c>
      <c r="P469">
        <v>0.0386524708023015</v>
      </c>
      <c r="Q469">
        <v>0.38779919998971</v>
      </c>
      <c r="R469" t="s">
        <v>781</v>
      </c>
      <c r="S469" t="s">
        <v>793</v>
      </c>
      <c r="T469">
        <v>5039.865838</v>
      </c>
      <c r="U469" s="2">
        <v>44494</v>
      </c>
      <c r="V469" t="s">
        <v>802</v>
      </c>
    </row>
    <row r="470" spans="1:22">
      <c r="A470" s="1" t="s">
        <v>490</v>
      </c>
      <c r="B470">
        <f>HYPERLINK("https://www.suredividend.com/sure-analysis-PTR/","PetroChina Co. Ltd.")</f>
        <v>0</v>
      </c>
      <c r="C470">
        <v>46.2</v>
      </c>
      <c r="D470">
        <v>90</v>
      </c>
      <c r="E470">
        <v>0.5133333333333334</v>
      </c>
      <c r="F470">
        <v>0.07294372294372294</v>
      </c>
      <c r="G470">
        <v>0.1426681091483701</v>
      </c>
      <c r="H470">
        <v>-0.06</v>
      </c>
      <c r="I470">
        <v>0.1163154534473878</v>
      </c>
      <c r="J470" t="s">
        <v>514</v>
      </c>
      <c r="K470" t="s">
        <v>776</v>
      </c>
      <c r="L470">
        <v>7.5</v>
      </c>
      <c r="M470">
        <v>3.37</v>
      </c>
      <c r="N470">
        <v>0.4493333333333334</v>
      </c>
      <c r="O470">
        <v>0</v>
      </c>
      <c r="P470">
        <v>-0.06024767149116905</v>
      </c>
      <c r="Q470">
        <v>0.5457150281974871</v>
      </c>
      <c r="R470" t="s">
        <v>779</v>
      </c>
      <c r="S470" t="s">
        <v>792</v>
      </c>
      <c r="T470">
        <v>9663.296200000001</v>
      </c>
      <c r="U470" s="2">
        <v>44442</v>
      </c>
      <c r="V470" t="s">
        <v>802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16.88</v>
      </c>
      <c r="D471">
        <v>18.5</v>
      </c>
      <c r="E471">
        <v>0.9124324324324323</v>
      </c>
      <c r="F471">
        <v>0.06812796208530805</v>
      </c>
      <c r="G471">
        <v>0.01849724180242851</v>
      </c>
      <c r="H471">
        <v>0.04</v>
      </c>
      <c r="I471">
        <v>0.1142186489456871</v>
      </c>
      <c r="J471" t="s">
        <v>514</v>
      </c>
      <c r="K471" t="s">
        <v>776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0.5320207780885611</v>
      </c>
      <c r="R471" t="s">
        <v>780</v>
      </c>
      <c r="S471" t="s">
        <v>792</v>
      </c>
      <c r="T471">
        <v>1466.867318</v>
      </c>
      <c r="U471" s="2">
        <v>44515</v>
      </c>
      <c r="V471" t="s">
        <v>794</v>
      </c>
    </row>
    <row r="472" spans="1:22">
      <c r="A472" s="1" t="s">
        <v>492</v>
      </c>
      <c r="B472">
        <f>HYPERLINK("https://www.suredividend.com/sure-analysis-HSBC/","HSBC Holdings plc")</f>
        <v>0</v>
      </c>
      <c r="C472">
        <v>29.55</v>
      </c>
      <c r="D472">
        <v>39</v>
      </c>
      <c r="E472">
        <v>0.7576923076923077</v>
      </c>
      <c r="F472">
        <v>0.03722504230118444</v>
      </c>
      <c r="G472">
        <v>0.05706434531919413</v>
      </c>
      <c r="H472">
        <v>0.03</v>
      </c>
      <c r="I472">
        <v>0.1140639416245466</v>
      </c>
      <c r="J472" t="s">
        <v>514</v>
      </c>
      <c r="K472" t="s">
        <v>366</v>
      </c>
      <c r="L472">
        <v>3.23</v>
      </c>
      <c r="M472">
        <v>1.1</v>
      </c>
      <c r="N472">
        <v>0.3405572755417957</v>
      </c>
      <c r="O472">
        <v>0</v>
      </c>
      <c r="P472">
        <v>0</v>
      </c>
      <c r="Q472">
        <v>0.201129036856617</v>
      </c>
      <c r="R472" t="s">
        <v>779</v>
      </c>
      <c r="S472" t="s">
        <v>790</v>
      </c>
      <c r="T472">
        <v>120302.01541</v>
      </c>
      <c r="U472" s="2">
        <v>44495</v>
      </c>
      <c r="V472" t="s">
        <v>796</v>
      </c>
    </row>
    <row r="473" spans="1:22">
      <c r="A473" s="1" t="s">
        <v>493</v>
      </c>
      <c r="B473">
        <f>HYPERLINK("https://www.suredividend.com/sure-analysis-HAS/","Hasbro, Inc.")</f>
        <v>0</v>
      </c>
      <c r="C473">
        <v>100.71</v>
      </c>
      <c r="D473">
        <v>102</v>
      </c>
      <c r="E473">
        <v>0.9873529411764705</v>
      </c>
      <c r="F473">
        <v>0.02700824148545328</v>
      </c>
      <c r="G473">
        <v>0.002548785369572037</v>
      </c>
      <c r="H473">
        <v>0.09</v>
      </c>
      <c r="I473">
        <v>0.1139157068773402</v>
      </c>
      <c r="J473" t="s">
        <v>514</v>
      </c>
      <c r="K473" t="s">
        <v>514</v>
      </c>
      <c r="L473">
        <v>4.85</v>
      </c>
      <c r="M473">
        <v>2.72</v>
      </c>
      <c r="N473">
        <v>0.5608247422680414</v>
      </c>
      <c r="O473">
        <v>0</v>
      </c>
      <c r="P473">
        <v>0.04991010133745877</v>
      </c>
      <c r="Q473">
        <v>0.124927867479831</v>
      </c>
      <c r="R473" t="s">
        <v>779</v>
      </c>
      <c r="S473" t="s">
        <v>788</v>
      </c>
      <c r="T473">
        <v>13714.681395</v>
      </c>
      <c r="U473" s="2">
        <v>44512</v>
      </c>
      <c r="V473" t="s">
        <v>799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12.48</v>
      </c>
      <c r="D474">
        <v>14</v>
      </c>
      <c r="E474">
        <v>0.8914285714285715</v>
      </c>
      <c r="F474">
        <v>0.05448717948717949</v>
      </c>
      <c r="G474">
        <v>0.02325220709575815</v>
      </c>
      <c r="H474">
        <v>0.05</v>
      </c>
      <c r="I474">
        <v>0.1125055234486438</v>
      </c>
      <c r="J474" t="s">
        <v>514</v>
      </c>
      <c r="K474" t="s">
        <v>366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0.4657788861962681</v>
      </c>
      <c r="R474" t="s">
        <v>779</v>
      </c>
      <c r="S474" t="s">
        <v>790</v>
      </c>
      <c r="T474">
        <v>5794.159156</v>
      </c>
      <c r="U474" s="2">
        <v>44512</v>
      </c>
      <c r="V474" t="s">
        <v>799</v>
      </c>
    </row>
    <row r="475" spans="1:22">
      <c r="A475" s="1" t="s">
        <v>495</v>
      </c>
      <c r="B475">
        <f>HYPERLINK("https://www.suredividend.com/sure-analysis-PHG/","Koninklijke Philips N.V.")</f>
        <v>0</v>
      </c>
      <c r="C475">
        <v>41.31</v>
      </c>
      <c r="D475">
        <v>40</v>
      </c>
      <c r="E475">
        <v>1.03275</v>
      </c>
      <c r="F475">
        <v>0.02493343016218833</v>
      </c>
      <c r="G475">
        <v>-0.006424304804157011</v>
      </c>
      <c r="H475">
        <v>0.1</v>
      </c>
      <c r="I475">
        <v>0.1123675237955537</v>
      </c>
      <c r="J475" t="s">
        <v>514</v>
      </c>
      <c r="K475" t="s">
        <v>514</v>
      </c>
      <c r="L475">
        <v>2.2</v>
      </c>
      <c r="M475">
        <v>1.03</v>
      </c>
      <c r="N475">
        <v>0.4681818181818181</v>
      </c>
      <c r="O475">
        <v>1</v>
      </c>
      <c r="P475">
        <v>0.04766208135176786</v>
      </c>
      <c r="Q475">
        <v>-0.201141062729693</v>
      </c>
      <c r="R475" t="s">
        <v>779</v>
      </c>
      <c r="S475" t="s">
        <v>784</v>
      </c>
      <c r="T475">
        <v>38228.015038</v>
      </c>
      <c r="U475" s="2">
        <v>44491</v>
      </c>
      <c r="V475" t="s">
        <v>802</v>
      </c>
    </row>
    <row r="476" spans="1:22">
      <c r="A476" s="1" t="s">
        <v>496</v>
      </c>
      <c r="B476">
        <f>HYPERLINK("https://www.suredividend.com/sure-analysis-UNIT/","Uniti Group Inc")</f>
        <v>0</v>
      </c>
      <c r="C476">
        <v>14.07</v>
      </c>
      <c r="D476">
        <v>16.3</v>
      </c>
      <c r="E476">
        <v>0.8631901840490798</v>
      </c>
      <c r="F476">
        <v>0.04264392324093817</v>
      </c>
      <c r="G476">
        <v>0.029861211800017</v>
      </c>
      <c r="H476">
        <v>0.042</v>
      </c>
      <c r="I476">
        <v>0.1115460983661625</v>
      </c>
      <c r="J476" t="s">
        <v>514</v>
      </c>
      <c r="K476" t="s">
        <v>366</v>
      </c>
      <c r="L476">
        <v>1.63</v>
      </c>
      <c r="M476">
        <v>0.6</v>
      </c>
      <c r="N476">
        <v>0.3680981595092024</v>
      </c>
      <c r="O476">
        <v>0</v>
      </c>
      <c r="P476">
        <v>0.08447177119769855</v>
      </c>
      <c r="Q476">
        <v>0.526067592350013</v>
      </c>
      <c r="R476" t="s">
        <v>781</v>
      </c>
      <c r="S476" t="s">
        <v>793</v>
      </c>
      <c r="T476">
        <v>3300.272147</v>
      </c>
      <c r="U476" s="2">
        <v>44509</v>
      </c>
      <c r="V476" t="s">
        <v>804</v>
      </c>
    </row>
    <row r="477" spans="1:22">
      <c r="A477" s="1" t="s">
        <v>497</v>
      </c>
      <c r="B477">
        <f>HYPERLINK("https://www.suredividend.com/sure-analysis-LUMN/","Lumen Technologies Inc")</f>
        <v>0</v>
      </c>
      <c r="C477">
        <v>13.76</v>
      </c>
      <c r="D477">
        <v>17</v>
      </c>
      <c r="E477">
        <v>0.8094117647058824</v>
      </c>
      <c r="F477">
        <v>0.07267441860465117</v>
      </c>
      <c r="G477">
        <v>0.04319644281919888</v>
      </c>
      <c r="H477">
        <v>0.013</v>
      </c>
      <c r="I477">
        <v>0.1094988519166558</v>
      </c>
      <c r="J477" t="s">
        <v>514</v>
      </c>
      <c r="K477" t="s">
        <v>776</v>
      </c>
      <c r="L477">
        <v>1.92</v>
      </c>
      <c r="M477">
        <v>1</v>
      </c>
      <c r="N477">
        <v>0.5208333333333334</v>
      </c>
      <c r="O477">
        <v>0</v>
      </c>
      <c r="P477">
        <v>0</v>
      </c>
      <c r="Q477">
        <v>0.4702016006057481</v>
      </c>
      <c r="R477" t="s">
        <v>779</v>
      </c>
      <c r="S477" t="s">
        <v>783</v>
      </c>
      <c r="T477">
        <v>14314.040441</v>
      </c>
      <c r="U477" s="2">
        <v>44508</v>
      </c>
      <c r="V477" t="s">
        <v>801</v>
      </c>
    </row>
    <row r="478" spans="1:22">
      <c r="A478" s="1" t="s">
        <v>498</v>
      </c>
      <c r="B478">
        <f>HYPERLINK("https://www.suredividend.com/sure-analysis-TFC/","Truist Financial Corporation")</f>
        <v>0</v>
      </c>
      <c r="C478">
        <v>62.43</v>
      </c>
      <c r="D478">
        <v>70</v>
      </c>
      <c r="E478">
        <v>0.8918571428571429</v>
      </c>
      <c r="F478">
        <v>0.03075444497837578</v>
      </c>
      <c r="G478">
        <v>0.02315384583208346</v>
      </c>
      <c r="H478">
        <v>0.06</v>
      </c>
      <c r="I478">
        <v>0.1091884267354406</v>
      </c>
      <c r="J478" t="s">
        <v>514</v>
      </c>
      <c r="K478" t="s">
        <v>366</v>
      </c>
      <c r="L478">
        <v>5.38</v>
      </c>
      <c r="M478">
        <v>1.92</v>
      </c>
      <c r="N478">
        <v>0.3568773234200743</v>
      </c>
      <c r="O478">
        <v>10</v>
      </c>
      <c r="P478">
        <v>0.04996052445273014</v>
      </c>
      <c r="Q478">
        <v>0.350455393533964</v>
      </c>
      <c r="R478" t="s">
        <v>779</v>
      </c>
      <c r="S478" t="s">
        <v>790</v>
      </c>
      <c r="T478">
        <v>84832.35647699999</v>
      </c>
      <c r="U478" s="2">
        <v>44493</v>
      </c>
      <c r="V478" t="s">
        <v>801</v>
      </c>
    </row>
    <row r="479" spans="1:22">
      <c r="A479" s="1" t="s">
        <v>499</v>
      </c>
      <c r="B479">
        <f>HYPERLINK("https://www.suredividend.com/sure-analysis-DRI/","Darden Restaurants, Inc.")</f>
        <v>0</v>
      </c>
      <c r="C479">
        <v>147</v>
      </c>
      <c r="D479">
        <v>148</v>
      </c>
      <c r="E479">
        <v>0.9932432432432432</v>
      </c>
      <c r="F479">
        <v>0.02993197278911565</v>
      </c>
      <c r="G479">
        <v>0.001356857095825781</v>
      </c>
      <c r="H479">
        <v>0.08</v>
      </c>
      <c r="I479">
        <v>0.1078845263704205</v>
      </c>
      <c r="J479" t="s">
        <v>514</v>
      </c>
      <c r="K479" t="s">
        <v>514</v>
      </c>
      <c r="L479">
        <v>7.42</v>
      </c>
      <c r="M479">
        <v>4.4</v>
      </c>
      <c r="N479">
        <v>0.5929919137466307</v>
      </c>
      <c r="O479">
        <v>1</v>
      </c>
      <c r="P479">
        <v>0.08016554685867416</v>
      </c>
      <c r="Q479">
        <v>0.353608221725126</v>
      </c>
      <c r="R479" t="s">
        <v>779</v>
      </c>
      <c r="S479" t="s">
        <v>788</v>
      </c>
      <c r="T479">
        <v>19029.07714</v>
      </c>
      <c r="U479" s="2">
        <v>44464</v>
      </c>
      <c r="V479" t="s">
        <v>796</v>
      </c>
    </row>
    <row r="480" spans="1:22">
      <c r="A480" s="1" t="s">
        <v>500</v>
      </c>
      <c r="B480">
        <f>HYPERLINK("https://www.suredividend.com/sure-analysis-BAYRY/","Bayer AG")</f>
        <v>0</v>
      </c>
      <c r="C480">
        <v>14.155</v>
      </c>
      <c r="D480">
        <v>17</v>
      </c>
      <c r="E480">
        <v>0.8326470588235294</v>
      </c>
      <c r="F480">
        <v>0.04238784881667255</v>
      </c>
      <c r="G480">
        <v>0.03730819640648519</v>
      </c>
      <c r="H480">
        <v>0.035</v>
      </c>
      <c r="I480">
        <v>0.1073673027104787</v>
      </c>
      <c r="J480" t="s">
        <v>514</v>
      </c>
      <c r="K480" t="s">
        <v>776</v>
      </c>
      <c r="L480">
        <v>1.92</v>
      </c>
      <c r="M480">
        <v>0.6</v>
      </c>
      <c r="N480">
        <v>0.3125</v>
      </c>
      <c r="O480">
        <v>0</v>
      </c>
      <c r="P480">
        <v>0.04000235313991807</v>
      </c>
      <c r="Q480">
        <v>0.002956081081081</v>
      </c>
      <c r="R480" t="s">
        <v>779</v>
      </c>
      <c r="S480" t="s">
        <v>784</v>
      </c>
      <c r="T480">
        <v>55998.172674</v>
      </c>
      <c r="U480" s="2">
        <v>44434</v>
      </c>
      <c r="V480" t="s">
        <v>797</v>
      </c>
    </row>
    <row r="481" spans="1:22">
      <c r="A481" s="1" t="s">
        <v>501</v>
      </c>
      <c r="B481">
        <f>HYPERLINK("https://www.suredividend.com/sure-analysis-MGP/","MGM Growth Properties LLC")</f>
        <v>0</v>
      </c>
      <c r="C481">
        <v>39.13</v>
      </c>
      <c r="D481">
        <v>38</v>
      </c>
      <c r="E481">
        <v>1.029736842105263</v>
      </c>
      <c r="F481">
        <v>0.05213391259902887</v>
      </c>
      <c r="G481">
        <v>-0.005843515159416279</v>
      </c>
      <c r="H481">
        <v>0.07000000000000001</v>
      </c>
      <c r="I481">
        <v>0.1060881108376965</v>
      </c>
      <c r="J481" t="s">
        <v>514</v>
      </c>
      <c r="K481" t="s">
        <v>776</v>
      </c>
      <c r="L481">
        <v>2.54</v>
      </c>
      <c r="M481">
        <v>2.04</v>
      </c>
      <c r="N481">
        <v>0.8031496062992126</v>
      </c>
      <c r="O481">
        <v>46</v>
      </c>
      <c r="P481">
        <v>0.0398346919425614</v>
      </c>
      <c r="Q481">
        <v>0.356445699137589</v>
      </c>
      <c r="R481" t="s">
        <v>781</v>
      </c>
      <c r="S481" t="s">
        <v>793</v>
      </c>
      <c r="T481">
        <v>6172.43686</v>
      </c>
      <c r="U481" s="2">
        <v>44507</v>
      </c>
      <c r="V481" t="s">
        <v>796</v>
      </c>
    </row>
    <row r="482" spans="1:22">
      <c r="A482" s="1" t="s">
        <v>502</v>
      </c>
      <c r="B482">
        <f>HYPERLINK("https://www.suredividend.com/sure-analysis-WEN/","Wendy`s Co")</f>
        <v>0</v>
      </c>
      <c r="C482">
        <v>22.13</v>
      </c>
      <c r="D482">
        <v>24</v>
      </c>
      <c r="E482">
        <v>0.9220833333333333</v>
      </c>
      <c r="F482">
        <v>0.02169001355625847</v>
      </c>
      <c r="G482">
        <v>0.01635625792420781</v>
      </c>
      <c r="H482">
        <v>0.07000000000000001</v>
      </c>
      <c r="I482">
        <v>0.1058953744184585</v>
      </c>
      <c r="J482" t="s">
        <v>514</v>
      </c>
      <c r="K482" t="s">
        <v>777</v>
      </c>
      <c r="L482">
        <v>0.8</v>
      </c>
      <c r="M482">
        <v>0.48</v>
      </c>
      <c r="N482">
        <v>0.6</v>
      </c>
      <c r="O482">
        <v>1</v>
      </c>
      <c r="P482">
        <v>0.06897294358221773</v>
      </c>
      <c r="Q482">
        <v>-0.04448669702412</v>
      </c>
      <c r="R482" t="s">
        <v>779</v>
      </c>
      <c r="S482" t="s">
        <v>788</v>
      </c>
      <c r="T482">
        <v>4801.00524</v>
      </c>
      <c r="U482" s="2">
        <v>44513</v>
      </c>
      <c r="V482" t="s">
        <v>801</v>
      </c>
    </row>
    <row r="483" spans="1:22">
      <c r="A483" s="1" t="s">
        <v>503</v>
      </c>
      <c r="B483">
        <f>HYPERLINK("https://www.suredividend.com/sure-analysis-BP/","BP plc")</f>
        <v>0</v>
      </c>
      <c r="C483">
        <v>27.43</v>
      </c>
      <c r="D483">
        <v>42</v>
      </c>
      <c r="E483">
        <v>0.6530952380952381</v>
      </c>
      <c r="F483">
        <v>0.04775792927451696</v>
      </c>
      <c r="G483">
        <v>0.08894186933322579</v>
      </c>
      <c r="H483">
        <v>-0.02</v>
      </c>
      <c r="I483">
        <v>0.1047197487781841</v>
      </c>
      <c r="J483" t="s">
        <v>514</v>
      </c>
      <c r="K483" t="s">
        <v>776</v>
      </c>
      <c r="L483">
        <v>3.5</v>
      </c>
      <c r="M483">
        <v>1.31</v>
      </c>
      <c r="N483">
        <v>0.3742857142857143</v>
      </c>
      <c r="O483">
        <v>0</v>
      </c>
      <c r="P483">
        <v>0.03018318869451253</v>
      </c>
      <c r="Q483">
        <v>0.471526728924248</v>
      </c>
      <c r="R483" t="s">
        <v>779</v>
      </c>
      <c r="S483" t="s">
        <v>792</v>
      </c>
      <c r="T483">
        <v>91733.088252</v>
      </c>
      <c r="U483" s="2">
        <v>44512</v>
      </c>
      <c r="V483" t="s">
        <v>802</v>
      </c>
    </row>
    <row r="484" spans="1:22">
      <c r="A484" s="1" t="s">
        <v>504</v>
      </c>
      <c r="B484">
        <f>HYPERLINK("https://www.suredividend.com/sure-analysis-SAFE/","Safehold Inc")</f>
        <v>0</v>
      </c>
      <c r="C484">
        <v>72.19</v>
      </c>
      <c r="D484">
        <v>65</v>
      </c>
      <c r="E484">
        <v>1.110615384615385</v>
      </c>
      <c r="F484">
        <v>0.009419587200443275</v>
      </c>
      <c r="G484">
        <v>-0.02076424408148358</v>
      </c>
      <c r="H484">
        <v>0.12</v>
      </c>
      <c r="I484">
        <v>0.1043644811127793</v>
      </c>
      <c r="J484" t="s">
        <v>514</v>
      </c>
      <c r="K484" t="s">
        <v>777</v>
      </c>
      <c r="L484">
        <v>1.48</v>
      </c>
      <c r="M484">
        <v>0.68</v>
      </c>
      <c r="N484">
        <v>0.4594594594594595</v>
      </c>
      <c r="O484">
        <v>3</v>
      </c>
      <c r="P484">
        <v>0.0576615571948691</v>
      </c>
      <c r="Q484">
        <v>0.07226872367197301</v>
      </c>
      <c r="R484" t="s">
        <v>781</v>
      </c>
      <c r="S484" t="s">
        <v>793</v>
      </c>
      <c r="T484">
        <v>4101.721845</v>
      </c>
      <c r="U484" s="2">
        <v>44492</v>
      </c>
      <c r="V484" t="s">
        <v>804</v>
      </c>
    </row>
    <row r="485" spans="1:22">
      <c r="A485" s="1" t="s">
        <v>505</v>
      </c>
      <c r="B485">
        <f>HYPERLINK("https://www.suredividend.com/sure-analysis-TAP/","Molson Coors Beverage Company")</f>
        <v>0</v>
      </c>
      <c r="C485">
        <v>47.72</v>
      </c>
      <c r="D485">
        <v>58</v>
      </c>
      <c r="E485">
        <v>0.8227586206896551</v>
      </c>
      <c r="F485">
        <v>0.02849958088851635</v>
      </c>
      <c r="G485">
        <v>0.03978970155555728</v>
      </c>
      <c r="H485">
        <v>0.04</v>
      </c>
      <c r="I485">
        <v>0.1038656367050579</v>
      </c>
      <c r="J485" t="s">
        <v>514</v>
      </c>
      <c r="K485" t="s">
        <v>514</v>
      </c>
      <c r="L485">
        <v>4.15</v>
      </c>
      <c r="M485">
        <v>1.36</v>
      </c>
      <c r="N485">
        <v>0.327710843373494</v>
      </c>
      <c r="O485">
        <v>0</v>
      </c>
      <c r="P485">
        <v>0.03941506521508265</v>
      </c>
      <c r="Q485">
        <v>0.08148227875917601</v>
      </c>
      <c r="R485" t="s">
        <v>779</v>
      </c>
      <c r="S485" t="s">
        <v>789</v>
      </c>
      <c r="T485">
        <v>9817.734130000001</v>
      </c>
      <c r="U485" s="2">
        <v>44500</v>
      </c>
      <c r="V485" t="s">
        <v>800</v>
      </c>
    </row>
    <row r="486" spans="1:22">
      <c r="A486" s="1" t="s">
        <v>506</v>
      </c>
      <c r="B486">
        <f>HYPERLINK("https://www.suredividend.com/sure-analysis-OPI/","Office Properties Income Trust")</f>
        <v>0</v>
      </c>
      <c r="C486">
        <v>26.55</v>
      </c>
      <c r="D486">
        <v>28</v>
      </c>
      <c r="E486">
        <v>0.9482142857142858</v>
      </c>
      <c r="F486">
        <v>0.08286252354048965</v>
      </c>
      <c r="G486">
        <v>0.01069170461168301</v>
      </c>
      <c r="H486">
        <v>0.03</v>
      </c>
      <c r="I486">
        <v>0.1035814400334769</v>
      </c>
      <c r="J486" t="s">
        <v>514</v>
      </c>
      <c r="K486" t="s">
        <v>776</v>
      </c>
      <c r="L486">
        <v>4.7</v>
      </c>
      <c r="M486">
        <v>2.2</v>
      </c>
      <c r="N486">
        <v>0.4680851063829787</v>
      </c>
      <c r="O486">
        <v>0</v>
      </c>
      <c r="P486">
        <v>0</v>
      </c>
      <c r="Q486">
        <v>0.259796073144012</v>
      </c>
      <c r="R486" t="s">
        <v>781</v>
      </c>
      <c r="S486" t="s">
        <v>793</v>
      </c>
      <c r="T486">
        <v>1303.134645</v>
      </c>
      <c r="U486" s="2">
        <v>44510</v>
      </c>
      <c r="V486" t="s">
        <v>802</v>
      </c>
    </row>
    <row r="487" spans="1:22">
      <c r="A487" s="1" t="s">
        <v>507</v>
      </c>
      <c r="B487">
        <f>HYPERLINK("https://www.suredividend.com/sure-analysis-DOW/","Dow Inc")</f>
        <v>0</v>
      </c>
      <c r="C487">
        <v>58.34</v>
      </c>
      <c r="D487">
        <v>117</v>
      </c>
      <c r="E487">
        <v>0.4986324786324787</v>
      </c>
      <c r="F487">
        <v>0.04799451491258142</v>
      </c>
      <c r="G487">
        <v>0.1493277360227148</v>
      </c>
      <c r="H487">
        <v>-0.07000000000000001</v>
      </c>
      <c r="I487">
        <v>0.1033475334333194</v>
      </c>
      <c r="J487" t="s">
        <v>514</v>
      </c>
      <c r="K487" t="s">
        <v>776</v>
      </c>
      <c r="L487">
        <v>9</v>
      </c>
      <c r="M487">
        <v>2.8</v>
      </c>
      <c r="N487">
        <v>0.3111111111111111</v>
      </c>
      <c r="O487">
        <v>0</v>
      </c>
      <c r="P487">
        <v>0</v>
      </c>
      <c r="Q487">
        <v>0.126824197429707</v>
      </c>
      <c r="R487" t="s">
        <v>779</v>
      </c>
      <c r="S487" t="s">
        <v>787</v>
      </c>
      <c r="T487">
        <v>43533.70429</v>
      </c>
      <c r="U487" s="2">
        <v>44498</v>
      </c>
      <c r="V487" t="s">
        <v>799</v>
      </c>
    </row>
    <row r="488" spans="1:22">
      <c r="A488" s="1" t="s">
        <v>508</v>
      </c>
      <c r="B488">
        <f>HYPERLINK("https://www.suredividend.com/sure-analysis-WSBC/","Wesbanco, Inc.")</f>
        <v>0</v>
      </c>
      <c r="C488">
        <v>35.19</v>
      </c>
      <c r="D488">
        <v>41</v>
      </c>
      <c r="E488">
        <v>0.8582926829268293</v>
      </c>
      <c r="F488">
        <v>0.03751065643648764</v>
      </c>
      <c r="G488">
        <v>0.03103383595377118</v>
      </c>
      <c r="H488">
        <v>0.04</v>
      </c>
      <c r="I488">
        <v>0.1032961875433906</v>
      </c>
      <c r="J488" t="s">
        <v>514</v>
      </c>
      <c r="K488" t="s">
        <v>366</v>
      </c>
      <c r="L488">
        <v>3.42</v>
      </c>
      <c r="M488">
        <v>1.32</v>
      </c>
      <c r="N488">
        <v>0.3859649122807018</v>
      </c>
      <c r="O488">
        <v>10</v>
      </c>
      <c r="P488">
        <v>0.04941452284458392</v>
      </c>
      <c r="Q488">
        <v>0.271964426593989</v>
      </c>
      <c r="R488" t="s">
        <v>779</v>
      </c>
      <c r="S488" t="s">
        <v>790</v>
      </c>
      <c r="T488">
        <v>2242.785338</v>
      </c>
      <c r="U488" s="2">
        <v>44498</v>
      </c>
      <c r="V488" t="s">
        <v>801</v>
      </c>
    </row>
    <row r="489" spans="1:22">
      <c r="A489" s="1" t="s">
        <v>509</v>
      </c>
      <c r="B489">
        <f>HYPERLINK("https://www.suredividend.com/sure-analysis-MKTX/","MarketAxess Holdings Inc.")</f>
        <v>0</v>
      </c>
      <c r="C489">
        <v>382.83</v>
      </c>
      <c r="D489">
        <v>300</v>
      </c>
      <c r="E489">
        <v>1.2761</v>
      </c>
      <c r="F489">
        <v>0.006896011284382103</v>
      </c>
      <c r="G489">
        <v>-0.04759194835934566</v>
      </c>
      <c r="H489">
        <v>0.15</v>
      </c>
      <c r="I489">
        <v>0.1026015836564609</v>
      </c>
      <c r="J489" t="s">
        <v>514</v>
      </c>
      <c r="K489" t="s">
        <v>777</v>
      </c>
      <c r="L489">
        <v>7.15</v>
      </c>
      <c r="M489">
        <v>2.64</v>
      </c>
      <c r="N489">
        <v>0.3692307692307693</v>
      </c>
      <c r="O489">
        <v>11</v>
      </c>
      <c r="P489">
        <v>0.1500007374307972</v>
      </c>
      <c r="Q489">
        <v>-0.243652746098476</v>
      </c>
      <c r="R489" t="s">
        <v>779</v>
      </c>
      <c r="S489" t="s">
        <v>790</v>
      </c>
      <c r="T489">
        <v>14928.436696</v>
      </c>
      <c r="U489" s="2">
        <v>44494</v>
      </c>
      <c r="V489" t="s">
        <v>801</v>
      </c>
    </row>
    <row r="490" spans="1:22">
      <c r="A490" s="1" t="s">
        <v>510</v>
      </c>
      <c r="B490">
        <f>HYPERLINK("https://www.suredividend.com/sure-analysis-IMBBY/","Imperial Brands Plc")</f>
        <v>0</v>
      </c>
      <c r="C490">
        <v>21.43</v>
      </c>
      <c r="D490">
        <v>22</v>
      </c>
      <c r="E490">
        <v>0.9740909090909091</v>
      </c>
      <c r="F490">
        <v>0.08586094260382642</v>
      </c>
      <c r="G490">
        <v>0.005263934851293284</v>
      </c>
      <c r="H490">
        <v>0.03</v>
      </c>
      <c r="I490">
        <v>0.1012135508100527</v>
      </c>
      <c r="J490" t="s">
        <v>514</v>
      </c>
      <c r="K490" t="s">
        <v>776</v>
      </c>
      <c r="L490">
        <v>3.46</v>
      </c>
      <c r="M490">
        <v>1.84</v>
      </c>
      <c r="N490">
        <v>0.5317919075144509</v>
      </c>
      <c r="O490">
        <v>0</v>
      </c>
      <c r="P490">
        <v>0</v>
      </c>
      <c r="Q490">
        <v>0.219219836295763</v>
      </c>
      <c r="R490" t="s">
        <v>779</v>
      </c>
      <c r="S490" t="s">
        <v>789</v>
      </c>
      <c r="T490">
        <v>20215.277037</v>
      </c>
      <c r="U490" s="2">
        <v>44335</v>
      </c>
      <c r="V490" t="s">
        <v>795</v>
      </c>
    </row>
    <row r="491" spans="1:22">
      <c r="A491" s="1" t="s">
        <v>511</v>
      </c>
      <c r="B491">
        <f>HYPERLINK("https://www.suredividend.com/sure-analysis-MFC/","Manulife Financial Corp.")</f>
        <v>0</v>
      </c>
      <c r="C491">
        <v>20.31</v>
      </c>
      <c r="D491">
        <v>19.95</v>
      </c>
      <c r="E491">
        <v>1.018045112781955</v>
      </c>
      <c r="F491">
        <v>0.04431314623338257</v>
      </c>
      <c r="G491">
        <v>-0.003570457156128803</v>
      </c>
      <c r="H491">
        <v>0.065</v>
      </c>
      <c r="I491">
        <v>0.1010433131618635</v>
      </c>
      <c r="J491" t="s">
        <v>514</v>
      </c>
      <c r="K491" t="s">
        <v>776</v>
      </c>
      <c r="L491">
        <v>2.66</v>
      </c>
      <c r="M491">
        <v>0.9</v>
      </c>
      <c r="N491">
        <v>0.3383458646616541</v>
      </c>
      <c r="O491">
        <v>7</v>
      </c>
      <c r="P491">
        <v>0.06961037572506878</v>
      </c>
      <c r="Q491">
        <v>0.290249632523838</v>
      </c>
      <c r="R491" t="s">
        <v>779</v>
      </c>
      <c r="S491" t="s">
        <v>790</v>
      </c>
      <c r="T491">
        <v>39898.413228</v>
      </c>
      <c r="U491" s="2">
        <v>44511</v>
      </c>
      <c r="V491" t="s">
        <v>794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33.85</v>
      </c>
      <c r="D492">
        <v>39</v>
      </c>
      <c r="E492">
        <v>0.867948717948718</v>
      </c>
      <c r="F492">
        <v>0.04017725258493353</v>
      </c>
      <c r="G492">
        <v>0.02872948316964341</v>
      </c>
      <c r="H492">
        <v>0.04</v>
      </c>
      <c r="I492">
        <v>0.09976702882703781</v>
      </c>
      <c r="J492" t="s">
        <v>514</v>
      </c>
      <c r="K492" t="s">
        <v>366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0.09994298281339001</v>
      </c>
      <c r="R492" t="s">
        <v>779</v>
      </c>
      <c r="S492" t="s">
        <v>790</v>
      </c>
      <c r="T492">
        <v>648.816594</v>
      </c>
      <c r="U492" s="2">
        <v>44493</v>
      </c>
      <c r="V492" t="s">
        <v>801</v>
      </c>
    </row>
    <row r="493" spans="1:22">
      <c r="A493" s="1" t="s">
        <v>513</v>
      </c>
      <c r="B493">
        <f>HYPERLINK("https://www.suredividend.com/sure-analysis-RIO/","Rio Tinto plc")</f>
        <v>0</v>
      </c>
      <c r="C493">
        <v>60.67</v>
      </c>
      <c r="D493">
        <v>73</v>
      </c>
      <c r="E493">
        <v>0.8310958904109589</v>
      </c>
      <c r="F493">
        <v>0.09246744684358002</v>
      </c>
      <c r="G493">
        <v>0.03769511681293825</v>
      </c>
      <c r="H493">
        <v>0</v>
      </c>
      <c r="I493">
        <v>0.0986459891164817</v>
      </c>
      <c r="J493" t="s">
        <v>514</v>
      </c>
      <c r="K493" t="s">
        <v>776</v>
      </c>
      <c r="L493">
        <v>16.5</v>
      </c>
      <c r="M493">
        <v>5.61</v>
      </c>
      <c r="N493">
        <v>0.34</v>
      </c>
      <c r="O493">
        <v>5</v>
      </c>
      <c r="P493">
        <v>-0.05003988006497606</v>
      </c>
      <c r="Q493">
        <v>0.03758081734979</v>
      </c>
      <c r="R493" t="s">
        <v>779</v>
      </c>
      <c r="S493" t="s">
        <v>787</v>
      </c>
      <c r="T493">
        <v>98702.55306200001</v>
      </c>
      <c r="U493" s="2">
        <v>44439</v>
      </c>
      <c r="V493" t="s">
        <v>802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75.34999999999999</v>
      </c>
      <c r="D494">
        <v>77</v>
      </c>
      <c r="E494">
        <v>0.9785714285714285</v>
      </c>
      <c r="F494">
        <v>0.03344392833443929</v>
      </c>
      <c r="G494">
        <v>0.004341697331805339</v>
      </c>
      <c r="H494">
        <v>0.065</v>
      </c>
      <c r="I494">
        <v>0.09853866451839455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-0.094218783219084</v>
      </c>
      <c r="R494" t="s">
        <v>779</v>
      </c>
      <c r="S494" t="s">
        <v>791</v>
      </c>
      <c r="T494">
        <v>60968.029103</v>
      </c>
      <c r="U494" s="2">
        <v>44425</v>
      </c>
      <c r="V494" t="s">
        <v>803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45.26</v>
      </c>
      <c r="D495">
        <v>56</v>
      </c>
      <c r="E495">
        <v>0.8082142857142857</v>
      </c>
      <c r="F495">
        <v>0.04242156429518339</v>
      </c>
      <c r="G495">
        <v>0.04350538715657026</v>
      </c>
      <c r="H495">
        <v>0.01</v>
      </c>
      <c r="I495">
        <v>0.09420359226238095</v>
      </c>
      <c r="J495" t="s">
        <v>514</v>
      </c>
      <c r="K495" t="s">
        <v>366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0.5190934678315481</v>
      </c>
      <c r="R495" t="s">
        <v>779</v>
      </c>
      <c r="S495" t="s">
        <v>792</v>
      </c>
      <c r="T495">
        <v>178099.931333</v>
      </c>
      <c r="U495" s="2">
        <v>44502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31.81</v>
      </c>
      <c r="D496">
        <v>35</v>
      </c>
      <c r="E496">
        <v>0.9088571428571428</v>
      </c>
      <c r="F496">
        <v>0.03929581892486639</v>
      </c>
      <c r="G496">
        <v>0.01929730288831188</v>
      </c>
      <c r="H496">
        <v>0.04</v>
      </c>
      <c r="I496">
        <v>0.09300379933998482</v>
      </c>
      <c r="J496" t="s">
        <v>514</v>
      </c>
      <c r="K496" t="s">
        <v>366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-0.094121844717929</v>
      </c>
      <c r="R496" t="s">
        <v>779</v>
      </c>
      <c r="S496" t="s">
        <v>789</v>
      </c>
      <c r="T496">
        <v>15345.276094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HYPERLINK("https://www.suredividend.com/sure-analysis-GORO/","Gold Resource Corporation")</f>
        <v>0</v>
      </c>
      <c r="C497">
        <v>2.24</v>
      </c>
      <c r="D497">
        <v>1.35</v>
      </c>
      <c r="E497">
        <v>1.659259259259259</v>
      </c>
      <c r="F497">
        <v>0.01785714285714286</v>
      </c>
      <c r="G497">
        <v>-0.09631484098997511</v>
      </c>
      <c r="H497">
        <v>0.19</v>
      </c>
      <c r="I497">
        <v>0.09200562547273328</v>
      </c>
      <c r="J497" t="s">
        <v>514</v>
      </c>
      <c r="K497" t="s">
        <v>777</v>
      </c>
      <c r="L497">
        <v>0.09</v>
      </c>
      <c r="M497">
        <v>0.04</v>
      </c>
      <c r="N497">
        <v>0.4444444444444445</v>
      </c>
      <c r="O497">
        <v>0</v>
      </c>
      <c r="P497">
        <v>0.08447177119769855</v>
      </c>
      <c r="Q497">
        <v>-0.269977411857138</v>
      </c>
      <c r="R497" t="s">
        <v>779</v>
      </c>
      <c r="S497" t="s">
        <v>787</v>
      </c>
      <c r="T497">
        <v>166.317144</v>
      </c>
      <c r="U497" s="2">
        <v>44512</v>
      </c>
      <c r="V497" t="s">
        <v>802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9.16</v>
      </c>
      <c r="D498">
        <v>11</v>
      </c>
      <c r="E498">
        <v>0.8327272727272728</v>
      </c>
      <c r="F498">
        <v>0.03056768558951965</v>
      </c>
      <c r="G498">
        <v>0.03728821153298933</v>
      </c>
      <c r="H498">
        <v>0.03</v>
      </c>
      <c r="I498">
        <v>0.09135899575671091</v>
      </c>
      <c r="J498" t="s">
        <v>514</v>
      </c>
      <c r="K498" t="s">
        <v>366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0.152837993962507</v>
      </c>
      <c r="R498" t="s">
        <v>781</v>
      </c>
      <c r="S498" t="s">
        <v>793</v>
      </c>
      <c r="T498">
        <v>2031.915448</v>
      </c>
      <c r="U498" s="2">
        <v>44498</v>
      </c>
      <c r="V498" t="s">
        <v>801</v>
      </c>
    </row>
    <row r="499" spans="1:22">
      <c r="A499" s="1" t="s">
        <v>519</v>
      </c>
      <c r="B499">
        <f>HYPERLINK("https://www.suredividend.com/sure-analysis-WASH/","Washington Trust Bancorp, Inc.")</f>
        <v>0</v>
      </c>
      <c r="C499">
        <v>57.36</v>
      </c>
      <c r="D499">
        <v>58</v>
      </c>
      <c r="E499">
        <v>0.9889655172413793</v>
      </c>
      <c r="F499">
        <v>0.03626220362622037</v>
      </c>
      <c r="G499">
        <v>0.002221627015347449</v>
      </c>
      <c r="H499">
        <v>0.05</v>
      </c>
      <c r="I499">
        <v>0.0845704874753781</v>
      </c>
      <c r="J499" t="s">
        <v>514</v>
      </c>
      <c r="K499" t="s">
        <v>366</v>
      </c>
      <c r="L499">
        <v>4.14</v>
      </c>
      <c r="M499">
        <v>2.08</v>
      </c>
      <c r="N499">
        <v>0.5024154589371981</v>
      </c>
      <c r="O499">
        <v>10</v>
      </c>
      <c r="P499">
        <v>0.04963065931551602</v>
      </c>
      <c r="Q499">
        <v>0.503534593255283</v>
      </c>
      <c r="R499" t="s">
        <v>779</v>
      </c>
      <c r="S499" t="s">
        <v>790</v>
      </c>
      <c r="T499">
        <v>1004.128718</v>
      </c>
      <c r="U499" s="2">
        <v>44495</v>
      </c>
      <c r="V499" t="s">
        <v>795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16.51</v>
      </c>
      <c r="D500">
        <v>20.3</v>
      </c>
      <c r="E500">
        <v>0.8133004926108375</v>
      </c>
      <c r="F500">
        <v>0.06541490006056935</v>
      </c>
      <c r="G500">
        <v>0.04219693815655434</v>
      </c>
      <c r="H500">
        <v>-0.012</v>
      </c>
      <c r="I500">
        <v>0.08406969540430898</v>
      </c>
      <c r="J500" t="s">
        <v>514</v>
      </c>
      <c r="K500" t="s">
        <v>776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0.299947721190084</v>
      </c>
      <c r="R500" t="s">
        <v>779</v>
      </c>
      <c r="S500" t="s">
        <v>792</v>
      </c>
      <c r="T500">
        <v>37760.236478</v>
      </c>
      <c r="U500" s="2">
        <v>44491</v>
      </c>
      <c r="V500" t="s">
        <v>804</v>
      </c>
    </row>
    <row r="501" spans="1:22">
      <c r="A501" s="1" t="s">
        <v>521</v>
      </c>
      <c r="B501">
        <f>HYPERLINK("https://www.suredividend.com/sure-analysis-NTR/","Nutrien Ltd")</f>
        <v>0</v>
      </c>
      <c r="C501">
        <v>67.59</v>
      </c>
      <c r="D501">
        <v>82</v>
      </c>
      <c r="E501">
        <v>0.8242682926829269</v>
      </c>
      <c r="F501">
        <v>0.02722296197662376</v>
      </c>
      <c r="G501">
        <v>0.03940854103247027</v>
      </c>
      <c r="H501">
        <v>0.02</v>
      </c>
      <c r="I501">
        <v>0.0821344836611384</v>
      </c>
      <c r="J501" t="s">
        <v>514</v>
      </c>
      <c r="K501" t="s">
        <v>514</v>
      </c>
      <c r="L501">
        <v>4.85</v>
      </c>
      <c r="M501">
        <v>1.84</v>
      </c>
      <c r="N501">
        <v>0.3793814432989691</v>
      </c>
      <c r="O501">
        <v>3</v>
      </c>
      <c r="P501">
        <v>0.01984845658885503</v>
      </c>
      <c r="Q501">
        <v>0.614410274256675</v>
      </c>
      <c r="R501" t="s">
        <v>779</v>
      </c>
      <c r="S501" t="s">
        <v>787</v>
      </c>
      <c r="T501">
        <v>38659.333477</v>
      </c>
      <c r="U501" s="2">
        <v>44445</v>
      </c>
      <c r="V501" t="s">
        <v>796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24.03</v>
      </c>
      <c r="D502">
        <v>26</v>
      </c>
      <c r="E502">
        <v>0.9242307692307693</v>
      </c>
      <c r="F502">
        <v>0.02829796088223055</v>
      </c>
      <c r="G502">
        <v>0.01588352075169208</v>
      </c>
      <c r="H502">
        <v>0.04</v>
      </c>
      <c r="I502">
        <v>0.08168511850497917</v>
      </c>
      <c r="J502" t="s">
        <v>514</v>
      </c>
      <c r="K502" t="s">
        <v>514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0.604345294802582</v>
      </c>
      <c r="R502" t="s">
        <v>779</v>
      </c>
      <c r="S502" t="s">
        <v>790</v>
      </c>
      <c r="T502">
        <v>23117.103608</v>
      </c>
      <c r="U502" s="2">
        <v>44491</v>
      </c>
      <c r="V502" t="s">
        <v>797</v>
      </c>
    </row>
    <row r="503" spans="1:22">
      <c r="A503" s="1" t="s">
        <v>523</v>
      </c>
      <c r="B503">
        <f>HYPERLINK("https://www.suredividend.com/sure-analysis-SBS/","Companhia de Saneamento Basico do Estado de Sao Paulo.")</f>
        <v>0</v>
      </c>
      <c r="C503">
        <v>6.33</v>
      </c>
      <c r="D503">
        <v>6.6</v>
      </c>
      <c r="E503">
        <v>0.9590909090909091</v>
      </c>
      <c r="F503">
        <v>0.02527646129541864</v>
      </c>
      <c r="G503">
        <v>0.008388873621460791</v>
      </c>
      <c r="H503">
        <v>0.05</v>
      </c>
      <c r="I503">
        <v>0.08090523558725238</v>
      </c>
      <c r="J503" t="s">
        <v>514</v>
      </c>
      <c r="K503" t="s">
        <v>514</v>
      </c>
      <c r="L503">
        <v>0.57</v>
      </c>
      <c r="M503">
        <v>0.16</v>
      </c>
      <c r="N503">
        <v>0.280701754385965</v>
      </c>
      <c r="O503">
        <v>0</v>
      </c>
      <c r="P503">
        <v>0.04563955259127317</v>
      </c>
      <c r="Q503">
        <v>-0.210318829152909</v>
      </c>
      <c r="R503" t="s">
        <v>779</v>
      </c>
      <c r="S503" t="s">
        <v>791</v>
      </c>
      <c r="T503">
        <v>4381.29826</v>
      </c>
      <c r="U503" s="2">
        <v>44513</v>
      </c>
      <c r="V503" t="s">
        <v>794</v>
      </c>
    </row>
    <row r="504" spans="1:22">
      <c r="A504" s="1" t="s">
        <v>524</v>
      </c>
      <c r="B504">
        <f>HYPERLINK("https://www.suredividend.com/sure-analysis-AMCR/","Amcor Plc")</f>
        <v>0</v>
      </c>
      <c r="C504">
        <v>12.15</v>
      </c>
      <c r="D504">
        <v>12</v>
      </c>
      <c r="E504">
        <v>1.0125</v>
      </c>
      <c r="F504">
        <v>0.03868312757201646</v>
      </c>
      <c r="G504">
        <v>-0.002481420174103466</v>
      </c>
      <c r="H504">
        <v>0.05</v>
      </c>
      <c r="I504">
        <v>0.07952797127188638</v>
      </c>
      <c r="J504" t="s">
        <v>514</v>
      </c>
      <c r="K504" t="s">
        <v>366</v>
      </c>
      <c r="L504">
        <v>0.8</v>
      </c>
      <c r="M504">
        <v>0.47</v>
      </c>
      <c r="N504">
        <v>0.5874999999999999</v>
      </c>
      <c r="O504">
        <v>1</v>
      </c>
      <c r="P504">
        <v>0.0204250165236175</v>
      </c>
      <c r="Q504">
        <v>0.044158311703733</v>
      </c>
      <c r="R504" t="s">
        <v>779</v>
      </c>
      <c r="S504" t="s">
        <v>787</v>
      </c>
      <c r="T504">
        <v>18873.309134</v>
      </c>
      <c r="U504" s="2">
        <v>44445</v>
      </c>
      <c r="V504" t="s">
        <v>796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28.21</v>
      </c>
      <c r="D505">
        <v>25</v>
      </c>
      <c r="E505">
        <v>1.1284</v>
      </c>
      <c r="F505">
        <v>0.05813541297412265</v>
      </c>
      <c r="G505">
        <v>-0.02387062014642927</v>
      </c>
      <c r="H505">
        <v>0.05</v>
      </c>
      <c r="I505">
        <v>0.07847790418916856</v>
      </c>
      <c r="J505" t="s">
        <v>514</v>
      </c>
      <c r="K505" t="s">
        <v>776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0.490653045485518</v>
      </c>
      <c r="R505" t="s">
        <v>779</v>
      </c>
      <c r="S505" t="s">
        <v>792</v>
      </c>
      <c r="T505">
        <v>34288.140928</v>
      </c>
      <c r="U505" s="2">
        <v>44504</v>
      </c>
      <c r="V505" t="s">
        <v>802</v>
      </c>
    </row>
    <row r="506" spans="1:22">
      <c r="A506" s="1" t="s">
        <v>526</v>
      </c>
      <c r="B506">
        <f>HYPERLINK("https://www.suredividend.com/sure-analysis-NGG/","National Grid Plc")</f>
        <v>0</v>
      </c>
      <c r="C506">
        <v>65.81</v>
      </c>
      <c r="D506">
        <v>62</v>
      </c>
      <c r="E506">
        <v>1.061451612903226</v>
      </c>
      <c r="F506">
        <v>0.0545509800942106</v>
      </c>
      <c r="G506">
        <v>-0.01185663302245288</v>
      </c>
      <c r="H506">
        <v>0.04</v>
      </c>
      <c r="I506">
        <v>0.07767737967241217</v>
      </c>
      <c r="J506" t="s">
        <v>514</v>
      </c>
      <c r="K506" t="s">
        <v>776</v>
      </c>
      <c r="L506">
        <v>4.16</v>
      </c>
      <c r="M506">
        <v>3.59</v>
      </c>
      <c r="N506">
        <v>0.8629807692307692</v>
      </c>
      <c r="O506">
        <v>0</v>
      </c>
      <c r="P506">
        <v>0.0401055114467892</v>
      </c>
      <c r="Q506">
        <v>0.103988061701512</v>
      </c>
      <c r="R506" t="s">
        <v>779</v>
      </c>
      <c r="S506" t="s">
        <v>791</v>
      </c>
      <c r="T506">
        <v>47202.931323</v>
      </c>
      <c r="U506" s="2">
        <v>44430</v>
      </c>
      <c r="V506" t="s">
        <v>798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79.29000000000001</v>
      </c>
      <c r="D507">
        <v>77</v>
      </c>
      <c r="E507">
        <v>1.02974025974026</v>
      </c>
      <c r="F507">
        <v>0.01513431706394249</v>
      </c>
      <c r="G507">
        <v>-0.005844175067285962</v>
      </c>
      <c r="H507">
        <v>0.07000000000000001</v>
      </c>
      <c r="I507">
        <v>0.07753277712922269</v>
      </c>
      <c r="J507" t="s">
        <v>514</v>
      </c>
      <c r="K507" t="s">
        <v>777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0.238145542340939</v>
      </c>
      <c r="R507" t="s">
        <v>779</v>
      </c>
      <c r="S507" t="s">
        <v>787</v>
      </c>
      <c r="T507">
        <v>40583.968732</v>
      </c>
      <c r="U507" s="2">
        <v>44427</v>
      </c>
      <c r="V507" t="s">
        <v>799</v>
      </c>
    </row>
    <row r="508" spans="1:22">
      <c r="A508" s="1" t="s">
        <v>528</v>
      </c>
      <c r="B508">
        <f>HYPERLINK("https://www.suredividend.com/sure-analysis-NWL/","Newell Brands Inc")</f>
        <v>0</v>
      </c>
      <c r="C508">
        <v>23.45</v>
      </c>
      <c r="D508">
        <v>23</v>
      </c>
      <c r="E508">
        <v>1.019565217391304</v>
      </c>
      <c r="F508">
        <v>0.03923240938166311</v>
      </c>
      <c r="G508">
        <v>-0.003867756679020506</v>
      </c>
      <c r="H508">
        <v>0.05</v>
      </c>
      <c r="I508">
        <v>0.0768391510023303</v>
      </c>
      <c r="J508" t="s">
        <v>514</v>
      </c>
      <c r="K508" t="s">
        <v>366</v>
      </c>
      <c r="L508">
        <v>1.75</v>
      </c>
      <c r="M508">
        <v>0.92</v>
      </c>
      <c r="N508">
        <v>0.5257142857142857</v>
      </c>
      <c r="O508">
        <v>0</v>
      </c>
      <c r="P508">
        <v>0</v>
      </c>
      <c r="Q508">
        <v>0.193016439917876</v>
      </c>
      <c r="R508" t="s">
        <v>779</v>
      </c>
      <c r="S508" t="s">
        <v>789</v>
      </c>
      <c r="T508">
        <v>10060.71</v>
      </c>
      <c r="U508" s="2">
        <v>44421</v>
      </c>
      <c r="V508" t="s">
        <v>799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40.5</v>
      </c>
      <c r="D509">
        <v>35</v>
      </c>
      <c r="E509">
        <v>1.157142857142857</v>
      </c>
      <c r="F509">
        <v>0.01679012345679012</v>
      </c>
      <c r="G509">
        <v>-0.02876884714126937</v>
      </c>
      <c r="H509">
        <v>0.09</v>
      </c>
      <c r="I509">
        <v>0.07527299409444632</v>
      </c>
      <c r="J509" t="s">
        <v>514</v>
      </c>
      <c r="K509" t="s">
        <v>777</v>
      </c>
      <c r="L509">
        <v>1.28</v>
      </c>
      <c r="M509">
        <v>0.68</v>
      </c>
      <c r="N509">
        <v>0.53125</v>
      </c>
      <c r="O509">
        <v>4</v>
      </c>
      <c r="P509">
        <v>0.08447177119769855</v>
      </c>
      <c r="Q509">
        <v>0.417752175099918</v>
      </c>
      <c r="R509" t="s">
        <v>781</v>
      </c>
      <c r="S509" t="s">
        <v>793</v>
      </c>
      <c r="T509">
        <v>24175.098984</v>
      </c>
      <c r="U509" s="2">
        <v>44500</v>
      </c>
      <c r="V509" t="s">
        <v>794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46.15</v>
      </c>
      <c r="D510">
        <v>49</v>
      </c>
      <c r="E510">
        <v>0.9418367346938775</v>
      </c>
      <c r="F510">
        <v>0.04333694474539545</v>
      </c>
      <c r="G510">
        <v>0.01205677131820737</v>
      </c>
      <c r="H510">
        <v>0.025</v>
      </c>
      <c r="I510">
        <v>0.07437076938986431</v>
      </c>
      <c r="J510" t="s">
        <v>514</v>
      </c>
      <c r="K510" t="s">
        <v>366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0.299088686498677</v>
      </c>
      <c r="R510" t="s">
        <v>781</v>
      </c>
      <c r="S510" t="s">
        <v>793</v>
      </c>
      <c r="T510">
        <v>4864.250689</v>
      </c>
      <c r="U510" s="2">
        <v>44496</v>
      </c>
      <c r="V510" t="s">
        <v>801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167.49</v>
      </c>
      <c r="D511">
        <v>157</v>
      </c>
      <c r="E511">
        <v>1.066815286624204</v>
      </c>
      <c r="F511">
        <v>0.03940533763209744</v>
      </c>
      <c r="G511">
        <v>-0.01285226364737224</v>
      </c>
      <c r="H511">
        <v>0.05</v>
      </c>
      <c r="I511">
        <v>0.07339067874557736</v>
      </c>
      <c r="J511" t="s">
        <v>514</v>
      </c>
      <c r="K511" t="s">
        <v>366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1.192481438976354</v>
      </c>
      <c r="R511" t="s">
        <v>781</v>
      </c>
      <c r="S511" t="s">
        <v>793</v>
      </c>
      <c r="T511">
        <v>54178.122444</v>
      </c>
      <c r="U511" s="2">
        <v>44502</v>
      </c>
      <c r="V511" t="s">
        <v>794</v>
      </c>
    </row>
    <row r="512" spans="1:22">
      <c r="A512" s="1" t="s">
        <v>532</v>
      </c>
      <c r="B512">
        <f>HYPERLINK("https://www.suredividend.com/sure-analysis-EMRAF/","Emera, Inc.")</f>
        <v>0</v>
      </c>
      <c r="C512">
        <v>46.9901</v>
      </c>
      <c r="D512">
        <v>42</v>
      </c>
      <c r="E512">
        <v>1.118811904761905</v>
      </c>
      <c r="F512">
        <v>0.04490307532863305</v>
      </c>
      <c r="G512">
        <v>-0.0222032616915937</v>
      </c>
      <c r="H512">
        <v>0.055</v>
      </c>
      <c r="I512">
        <v>0.07284229472753934</v>
      </c>
      <c r="J512" t="s">
        <v>514</v>
      </c>
      <c r="K512" t="s">
        <v>776</v>
      </c>
      <c r="L512">
        <v>2.26</v>
      </c>
      <c r="M512">
        <v>2.11</v>
      </c>
      <c r="N512">
        <v>0.9336283185840708</v>
      </c>
      <c r="O512">
        <v>14</v>
      </c>
      <c r="P512">
        <v>0.04023181804828235</v>
      </c>
      <c r="Q512">
        <v>0.110927932171455</v>
      </c>
      <c r="R512" t="s">
        <v>779</v>
      </c>
      <c r="S512" t="s">
        <v>791</v>
      </c>
      <c r="T512">
        <v>12204.144288</v>
      </c>
      <c r="U512" s="2">
        <v>44516</v>
      </c>
      <c r="V512" t="s">
        <v>801</v>
      </c>
    </row>
    <row r="513" spans="1:22">
      <c r="A513" s="1" t="s">
        <v>533</v>
      </c>
      <c r="B513">
        <f>HYPERLINK("https://www.suredividend.com/sure-analysis-FE/","Firstenergy Corp.")</f>
        <v>0</v>
      </c>
      <c r="C513">
        <v>39.08</v>
      </c>
      <c r="D513">
        <v>39</v>
      </c>
      <c r="E513">
        <v>1.002051282051282</v>
      </c>
      <c r="F513">
        <v>0.03991811668372569</v>
      </c>
      <c r="G513">
        <v>-0.0004097522375998697</v>
      </c>
      <c r="H513">
        <v>0.04</v>
      </c>
      <c r="I513">
        <v>0.07262691098656382</v>
      </c>
      <c r="J513" t="s">
        <v>514</v>
      </c>
      <c r="K513" t="s">
        <v>366</v>
      </c>
      <c r="L513">
        <v>2.6</v>
      </c>
      <c r="M513">
        <v>1.56</v>
      </c>
      <c r="N513">
        <v>0.6</v>
      </c>
      <c r="O513">
        <v>0</v>
      </c>
      <c r="P513">
        <v>0.01005227214699711</v>
      </c>
      <c r="Q513">
        <v>0.4494292734909711</v>
      </c>
      <c r="R513" t="s">
        <v>779</v>
      </c>
      <c r="S513" t="s">
        <v>791</v>
      </c>
      <c r="T513">
        <v>21548.12852</v>
      </c>
      <c r="U513" s="2">
        <v>44498</v>
      </c>
      <c r="V513" t="s">
        <v>794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48.93</v>
      </c>
      <c r="D514">
        <v>46</v>
      </c>
      <c r="E514">
        <v>1.063695652173913</v>
      </c>
      <c r="F514">
        <v>0.03780911506233395</v>
      </c>
      <c r="G514">
        <v>-0.01227391518435228</v>
      </c>
      <c r="H514">
        <v>0.05</v>
      </c>
      <c r="I514">
        <v>0.07199740938878696</v>
      </c>
      <c r="J514" t="s">
        <v>514</v>
      </c>
      <c r="K514" t="s">
        <v>366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0.07806390488006</v>
      </c>
      <c r="R514" t="s">
        <v>779</v>
      </c>
      <c r="S514" t="s">
        <v>788</v>
      </c>
      <c r="T514">
        <v>19080.456337</v>
      </c>
      <c r="U514" s="2">
        <v>44498</v>
      </c>
      <c r="V514" t="s">
        <v>802</v>
      </c>
    </row>
    <row r="515" spans="1:22">
      <c r="A515" s="1" t="s">
        <v>535</v>
      </c>
      <c r="B515">
        <f>HYPERLINK("https://www.suredividend.com/sure-analysis-CNP/","Centerpoint Energy Inc.")</f>
        <v>0</v>
      </c>
      <c r="C515">
        <v>26.7</v>
      </c>
      <c r="D515">
        <v>21.9</v>
      </c>
      <c r="E515">
        <v>1.219178082191781</v>
      </c>
      <c r="F515">
        <v>0.02546816479400749</v>
      </c>
      <c r="G515">
        <v>-0.03886017942181141</v>
      </c>
      <c r="H515">
        <v>0.083</v>
      </c>
      <c r="I515">
        <v>0.07159538197988491</v>
      </c>
      <c r="J515" t="s">
        <v>514</v>
      </c>
      <c r="K515" t="s">
        <v>514</v>
      </c>
      <c r="L515">
        <v>1.37</v>
      </c>
      <c r="M515">
        <v>0.68</v>
      </c>
      <c r="N515">
        <v>0.4963503649635037</v>
      </c>
      <c r="O515">
        <v>1</v>
      </c>
      <c r="P515">
        <v>0.1383790323022041</v>
      </c>
      <c r="Q515">
        <v>0.09537276016646701</v>
      </c>
      <c r="R515" t="s">
        <v>779</v>
      </c>
      <c r="S515" t="s">
        <v>791</v>
      </c>
      <c r="T515">
        <v>16734.117182</v>
      </c>
      <c r="U515" s="2">
        <v>44509</v>
      </c>
      <c r="V515" t="s">
        <v>804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45.27</v>
      </c>
      <c r="D516">
        <v>48</v>
      </c>
      <c r="E516">
        <v>0.9431250000000001</v>
      </c>
      <c r="F516">
        <v>0.03357631985862602</v>
      </c>
      <c r="G516">
        <v>0.01178013554209834</v>
      </c>
      <c r="H516">
        <v>0.03</v>
      </c>
      <c r="I516">
        <v>0.07153777799451033</v>
      </c>
      <c r="J516" t="s">
        <v>514</v>
      </c>
      <c r="K516" t="s">
        <v>366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0.324002986955405</v>
      </c>
      <c r="R516" t="s">
        <v>779</v>
      </c>
      <c r="S516" t="s">
        <v>790</v>
      </c>
      <c r="T516">
        <v>12317.025089</v>
      </c>
      <c r="U516" s="2">
        <v>44509</v>
      </c>
      <c r="V516" t="s">
        <v>800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18.8</v>
      </c>
      <c r="D517">
        <v>20</v>
      </c>
      <c r="E517">
        <v>0.9400000000000001</v>
      </c>
      <c r="F517">
        <v>0.04468085106382978</v>
      </c>
      <c r="G517">
        <v>0.01245196889366262</v>
      </c>
      <c r="H517">
        <v>0.022</v>
      </c>
      <c r="I517">
        <v>0.07130294218284683</v>
      </c>
      <c r="J517" t="s">
        <v>514</v>
      </c>
      <c r="K517" t="s">
        <v>366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0.254802556054704</v>
      </c>
      <c r="R517" t="s">
        <v>781</v>
      </c>
      <c r="S517" t="s">
        <v>793</v>
      </c>
      <c r="T517">
        <v>2347.427304</v>
      </c>
      <c r="U517" s="2">
        <v>44498</v>
      </c>
      <c r="V517" t="s">
        <v>801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74.69</v>
      </c>
      <c r="D518">
        <v>75</v>
      </c>
      <c r="E518">
        <v>0.9958666666666667</v>
      </c>
      <c r="F518">
        <v>0.03347168295621904</v>
      </c>
      <c r="G518">
        <v>0.0008287230348016372</v>
      </c>
      <c r="H518">
        <v>0.04</v>
      </c>
      <c r="I518">
        <v>0.07075479930576067</v>
      </c>
      <c r="J518" t="s">
        <v>514</v>
      </c>
      <c r="K518" t="s">
        <v>514</v>
      </c>
      <c r="L518">
        <v>3.95</v>
      </c>
      <c r="M518">
        <v>2.5</v>
      </c>
      <c r="N518">
        <v>0.6329113924050632</v>
      </c>
      <c r="O518">
        <v>9</v>
      </c>
      <c r="P518">
        <v>0.03505466752592223</v>
      </c>
      <c r="Q518">
        <v>0.5805196019274731</v>
      </c>
      <c r="R518" t="s">
        <v>781</v>
      </c>
      <c r="S518" t="s">
        <v>793</v>
      </c>
      <c r="T518">
        <v>12736.535293</v>
      </c>
      <c r="U518" s="2">
        <v>44513</v>
      </c>
      <c r="V518" t="s">
        <v>794</v>
      </c>
    </row>
    <row r="519" spans="1:22">
      <c r="A519" s="1" t="s">
        <v>539</v>
      </c>
      <c r="B519">
        <f>HYPERLINK("https://www.suredividend.com/sure-analysis-FRFHF/","Fairfax Financial Holdings Ltd.")</f>
        <v>0</v>
      </c>
      <c r="C519">
        <v>459.15</v>
      </c>
      <c r="D519">
        <v>565</v>
      </c>
      <c r="E519">
        <v>0.8126548672566372</v>
      </c>
      <c r="F519">
        <v>0.02177937493193945</v>
      </c>
      <c r="G519">
        <v>0.04236248322819725</v>
      </c>
      <c r="H519">
        <v>0.01</v>
      </c>
      <c r="I519">
        <v>0.06994651012532671</v>
      </c>
      <c r="J519" t="s">
        <v>514</v>
      </c>
      <c r="K519" t="s">
        <v>514</v>
      </c>
      <c r="L519">
        <v>32</v>
      </c>
      <c r="M519">
        <v>10</v>
      </c>
      <c r="N519">
        <v>0.3125</v>
      </c>
      <c r="O519">
        <v>0</v>
      </c>
      <c r="P519">
        <v>0</v>
      </c>
      <c r="Q519">
        <v>0.288668394863085</v>
      </c>
      <c r="R519" t="s">
        <v>779</v>
      </c>
      <c r="S519" t="s">
        <v>790</v>
      </c>
      <c r="T519">
        <v>11671.248663</v>
      </c>
      <c r="U519" s="2">
        <v>44515</v>
      </c>
      <c r="V519" t="s">
        <v>802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19.1</v>
      </c>
      <c r="D520">
        <v>18</v>
      </c>
      <c r="E520">
        <v>1.061111111111111</v>
      </c>
      <c r="F520">
        <v>0.03769633507853402</v>
      </c>
      <c r="G520">
        <v>-0.01179322375180625</v>
      </c>
      <c r="H520">
        <v>0.05</v>
      </c>
      <c r="I520">
        <v>0.06922772307241765</v>
      </c>
      <c r="J520" t="s">
        <v>514</v>
      </c>
      <c r="K520" t="s">
        <v>514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0.106733210752123</v>
      </c>
      <c r="R520" t="s">
        <v>779</v>
      </c>
      <c r="S520" t="s">
        <v>783</v>
      </c>
      <c r="T520">
        <v>94543.25498</v>
      </c>
      <c r="U520" s="2">
        <v>44517</v>
      </c>
      <c r="V520" t="s">
        <v>802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9.789999999999999</v>
      </c>
      <c r="D521">
        <v>10</v>
      </c>
      <c r="E521">
        <v>0.9789999999999999</v>
      </c>
      <c r="F521">
        <v>0.04392236976506639</v>
      </c>
      <c r="G521">
        <v>0.004253748905458821</v>
      </c>
      <c r="H521">
        <v>0.02</v>
      </c>
      <c r="I521">
        <v>0.06917608689065569</v>
      </c>
      <c r="J521" t="s">
        <v>514</v>
      </c>
      <c r="K521" t="s">
        <v>366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0.338192895610074</v>
      </c>
      <c r="R521" t="s">
        <v>781</v>
      </c>
      <c r="S521" t="s">
        <v>793</v>
      </c>
      <c r="T521">
        <v>483.272471</v>
      </c>
      <c r="U521" s="2">
        <v>44498</v>
      </c>
      <c r="V521" t="s">
        <v>803</v>
      </c>
    </row>
    <row r="522" spans="1:22">
      <c r="A522" s="1" t="s">
        <v>542</v>
      </c>
      <c r="B522">
        <f>HYPERLINK("https://www.suredividend.com/sure-analysis-SUUIF/","Superior Plus Corp.")</f>
        <v>0</v>
      </c>
      <c r="C522">
        <v>11.11</v>
      </c>
      <c r="D522">
        <v>12.6</v>
      </c>
      <c r="E522">
        <v>0.8817460317460317</v>
      </c>
      <c r="F522">
        <v>0.0522052205220522</v>
      </c>
      <c r="G522">
        <v>0.02548968714277344</v>
      </c>
      <c r="H522">
        <v>0</v>
      </c>
      <c r="I522">
        <v>0.06886665271821557</v>
      </c>
      <c r="J522" t="s">
        <v>514</v>
      </c>
      <c r="K522" t="s">
        <v>776</v>
      </c>
      <c r="L522">
        <v>1.75</v>
      </c>
      <c r="M522">
        <v>0.58</v>
      </c>
      <c r="N522">
        <v>0.3314285714285714</v>
      </c>
      <c r="O522">
        <v>0</v>
      </c>
      <c r="P522">
        <v>0</v>
      </c>
      <c r="Q522">
        <v>0.274999999999999</v>
      </c>
      <c r="R522" t="s">
        <v>779</v>
      </c>
      <c r="S522" t="s">
        <v>791</v>
      </c>
      <c r="T522">
        <v>1975.187728</v>
      </c>
      <c r="U522" s="2">
        <v>44516</v>
      </c>
      <c r="V522" t="s">
        <v>794</v>
      </c>
    </row>
    <row r="523" spans="1:22">
      <c r="A523" s="1" t="s">
        <v>543</v>
      </c>
      <c r="B523">
        <f>HYPERLINK("https://www.suredividend.com/sure-analysis-PETS/","Petmed Express, Inc.")</f>
        <v>0</v>
      </c>
      <c r="C523">
        <v>30.12</v>
      </c>
      <c r="D523">
        <v>23</v>
      </c>
      <c r="E523">
        <v>1.309565217391304</v>
      </c>
      <c r="F523">
        <v>0.0398406374501992</v>
      </c>
      <c r="G523">
        <v>-0.05251013381357539</v>
      </c>
      <c r="H523">
        <v>0.08</v>
      </c>
      <c r="I523">
        <v>0.06562876785003957</v>
      </c>
      <c r="J523" t="s">
        <v>514</v>
      </c>
      <c r="K523" t="s">
        <v>366</v>
      </c>
      <c r="L523">
        <v>1.25</v>
      </c>
      <c r="M523">
        <v>1.2</v>
      </c>
      <c r="N523">
        <v>0.96</v>
      </c>
      <c r="O523">
        <v>13</v>
      </c>
      <c r="P523">
        <v>0.0796084730466029</v>
      </c>
      <c r="Q523">
        <v>0.052726322312189</v>
      </c>
      <c r="R523" t="s">
        <v>779</v>
      </c>
      <c r="S523" t="s">
        <v>784</v>
      </c>
      <c r="T523">
        <v>618.8154919999999</v>
      </c>
      <c r="U523" s="2">
        <v>44499</v>
      </c>
      <c r="V523" t="s">
        <v>796</v>
      </c>
    </row>
    <row r="524" spans="1:22">
      <c r="A524" s="1" t="s">
        <v>544</v>
      </c>
      <c r="B524">
        <f>HYPERLINK("https://www.suredividend.com/sure-analysis-SMFG/","Sumitomo Mitsui Financial Group Inc")</f>
        <v>0</v>
      </c>
      <c r="C524">
        <v>6.75</v>
      </c>
      <c r="D524">
        <v>7.15</v>
      </c>
      <c r="E524">
        <v>0.9440559440559441</v>
      </c>
      <c r="F524">
        <v>0.05037037037037037</v>
      </c>
      <c r="G524">
        <v>0.01158051125914006</v>
      </c>
      <c r="H524">
        <v>0.01</v>
      </c>
      <c r="I524">
        <v>0.06560228248505307</v>
      </c>
      <c r="J524" t="s">
        <v>514</v>
      </c>
      <c r="K524" t="s">
        <v>366</v>
      </c>
      <c r="L524">
        <v>0.65</v>
      </c>
      <c r="M524">
        <v>0.34</v>
      </c>
      <c r="N524">
        <v>0.5230769230769231</v>
      </c>
      <c r="O524">
        <v>0</v>
      </c>
      <c r="P524">
        <v>0.01149727415513624</v>
      </c>
      <c r="Q524">
        <v>0.125972317071139</v>
      </c>
      <c r="R524" t="s">
        <v>779</v>
      </c>
      <c r="S524" t="s">
        <v>790</v>
      </c>
      <c r="T524">
        <v>46453.439048</v>
      </c>
      <c r="U524" s="2">
        <v>44429</v>
      </c>
      <c r="V524" t="s">
        <v>799</v>
      </c>
    </row>
    <row r="525" spans="1:22">
      <c r="A525" s="1" t="s">
        <v>545</v>
      </c>
      <c r="B525">
        <f>HYPERLINK("https://www.suredividend.com/sure-analysis-LMRK/","Landmark Infrastructure Partners LP")</f>
        <v>0</v>
      </c>
      <c r="C525">
        <v>16.22</v>
      </c>
      <c r="D525">
        <v>16.4</v>
      </c>
      <c r="E525">
        <v>0.9890243902439024</v>
      </c>
      <c r="F525">
        <v>0.04932182490752159</v>
      </c>
      <c r="G525">
        <v>0.002209695014090407</v>
      </c>
      <c r="H525">
        <v>0.018</v>
      </c>
      <c r="I525">
        <v>0.06502477750636726</v>
      </c>
      <c r="J525" t="s">
        <v>514</v>
      </c>
      <c r="K525" t="s">
        <v>366</v>
      </c>
      <c r="L525">
        <v>1.49</v>
      </c>
      <c r="M525">
        <v>0.8</v>
      </c>
      <c r="N525">
        <v>0.5369127516778524</v>
      </c>
      <c r="O525">
        <v>0</v>
      </c>
      <c r="P525">
        <v>0.02383625553960966</v>
      </c>
      <c r="Q525">
        <v>0.611445932662807</v>
      </c>
      <c r="R525" t="s">
        <v>780</v>
      </c>
      <c r="S525" t="s">
        <v>793</v>
      </c>
      <c r="T525">
        <v>413.68634</v>
      </c>
      <c r="U525" s="2">
        <v>44509</v>
      </c>
      <c r="V525" t="s">
        <v>804</v>
      </c>
    </row>
    <row r="526" spans="1:22">
      <c r="A526" s="1" t="s">
        <v>546</v>
      </c>
      <c r="B526">
        <f>HYPERLINK("https://www.suredividend.com/sure-analysis-MPW/","Medical Properties Trust Inc")</f>
        <v>0</v>
      </c>
      <c r="C526">
        <v>21.76</v>
      </c>
      <c r="D526">
        <v>21.9</v>
      </c>
      <c r="E526">
        <v>0.9936073059360732</v>
      </c>
      <c r="F526">
        <v>0.05147058823529412</v>
      </c>
      <c r="G526">
        <v>0.001283465905240755</v>
      </c>
      <c r="H526">
        <v>0.014</v>
      </c>
      <c r="I526">
        <v>0.06495219402815589</v>
      </c>
      <c r="J526" t="s">
        <v>514</v>
      </c>
      <c r="K526" t="s">
        <v>366</v>
      </c>
      <c r="L526">
        <v>1.75</v>
      </c>
      <c r="M526">
        <v>1.12</v>
      </c>
      <c r="N526">
        <v>0.64</v>
      </c>
      <c r="O526">
        <v>9</v>
      </c>
      <c r="P526">
        <v>0.04111932758460823</v>
      </c>
      <c r="Q526">
        <v>0.169315092234534</v>
      </c>
      <c r="R526" t="s">
        <v>781</v>
      </c>
      <c r="S526" t="s">
        <v>793</v>
      </c>
      <c r="T526">
        <v>12874.117</v>
      </c>
      <c r="U526" s="2">
        <v>44503</v>
      </c>
      <c r="V526" t="s">
        <v>804</v>
      </c>
    </row>
    <row r="527" spans="1:22">
      <c r="A527" s="1" t="s">
        <v>547</v>
      </c>
      <c r="B527">
        <f>HYPERLINK("https://www.suredividend.com/sure-analysis-DEA/","Easterly Government Properties Inc")</f>
        <v>0</v>
      </c>
      <c r="C527">
        <v>21.34</v>
      </c>
      <c r="D527">
        <v>20.8</v>
      </c>
      <c r="E527">
        <v>1.025961538461538</v>
      </c>
      <c r="F527">
        <v>0.04967197750702906</v>
      </c>
      <c r="G527">
        <v>-0.005112936049866734</v>
      </c>
      <c r="H527">
        <v>0.021</v>
      </c>
      <c r="I527">
        <v>0.06383508447482034</v>
      </c>
      <c r="J527" t="s">
        <v>514</v>
      </c>
      <c r="K527" t="s">
        <v>776</v>
      </c>
      <c r="L527">
        <v>1.31</v>
      </c>
      <c r="M527">
        <v>1.06</v>
      </c>
      <c r="N527">
        <v>0.8091603053435115</v>
      </c>
      <c r="O527">
        <v>1</v>
      </c>
      <c r="P527">
        <v>0.04166362161741732</v>
      </c>
      <c r="Q527">
        <v>0.008087427554074001</v>
      </c>
      <c r="R527" t="s">
        <v>781</v>
      </c>
      <c r="S527" t="s">
        <v>793</v>
      </c>
      <c r="T527">
        <v>1833.878829</v>
      </c>
      <c r="U527" s="2">
        <v>44506</v>
      </c>
      <c r="V527" t="s">
        <v>804</v>
      </c>
    </row>
    <row r="528" spans="1:22">
      <c r="A528" s="1" t="s">
        <v>548</v>
      </c>
      <c r="B528">
        <f>HYPERLINK("https://www.suredividend.com/sure-analysis-ADC/","Agree Realty Corp.")</f>
        <v>0</v>
      </c>
      <c r="C528">
        <v>69.13</v>
      </c>
      <c r="D528">
        <v>63</v>
      </c>
      <c r="E528">
        <v>1.097301587301587</v>
      </c>
      <c r="F528">
        <v>0.03442788948358166</v>
      </c>
      <c r="G528">
        <v>-0.01839943766838215</v>
      </c>
      <c r="H528">
        <v>0.05</v>
      </c>
      <c r="I528">
        <v>0.06382559363492368</v>
      </c>
      <c r="J528" t="s">
        <v>514</v>
      </c>
      <c r="K528" t="s">
        <v>514</v>
      </c>
      <c r="L528">
        <v>3.5</v>
      </c>
      <c r="M528">
        <v>2.38</v>
      </c>
      <c r="N528">
        <v>0.6799999999999999</v>
      </c>
      <c r="O528">
        <v>11</v>
      </c>
      <c r="P528">
        <v>0.04947750535151019</v>
      </c>
      <c r="Q528">
        <v>0.06302374911364</v>
      </c>
      <c r="R528" t="s">
        <v>781</v>
      </c>
      <c r="S528" t="s">
        <v>793</v>
      </c>
      <c r="T528">
        <v>4885.280157</v>
      </c>
      <c r="U528" s="2">
        <v>44507</v>
      </c>
      <c r="V528" t="s">
        <v>796</v>
      </c>
    </row>
    <row r="529" spans="1:22">
      <c r="A529" s="1" t="s">
        <v>549</v>
      </c>
      <c r="B529">
        <f>HYPERLINK("https://www.suredividend.com/sure-analysis-PCAR/","Paccar Inc.")</f>
        <v>0</v>
      </c>
      <c r="C529">
        <v>88.98999999999999</v>
      </c>
      <c r="D529">
        <v>83</v>
      </c>
      <c r="E529">
        <v>1.072168674698795</v>
      </c>
      <c r="F529">
        <v>0.02651983368917856</v>
      </c>
      <c r="G529">
        <v>-0.0138400132890597</v>
      </c>
      <c r="H529">
        <v>0.05</v>
      </c>
      <c r="I529">
        <v>0.06337955689884867</v>
      </c>
      <c r="J529" t="s">
        <v>514</v>
      </c>
      <c r="K529" t="s">
        <v>514</v>
      </c>
      <c r="L529">
        <v>5.5</v>
      </c>
      <c r="M529">
        <v>2.36</v>
      </c>
      <c r="N529">
        <v>0.4290909090909091</v>
      </c>
      <c r="O529">
        <v>11</v>
      </c>
      <c r="P529">
        <v>0.08262742077275398</v>
      </c>
      <c r="Q529">
        <v>0.017758428027501</v>
      </c>
      <c r="R529" t="s">
        <v>779</v>
      </c>
      <c r="S529" t="s">
        <v>786</v>
      </c>
      <c r="T529">
        <v>31051.539769</v>
      </c>
      <c r="U529" s="2">
        <v>44497</v>
      </c>
      <c r="V529" t="s">
        <v>800</v>
      </c>
    </row>
    <row r="530" spans="1:22">
      <c r="A530" s="1" t="s">
        <v>550</v>
      </c>
      <c r="B530">
        <f>HYPERLINK("https://www.suredividend.com/sure-analysis-HASI/","Hannon Armstrong Sustainable Infrastructure capital Inc")</f>
        <v>0</v>
      </c>
      <c r="C530">
        <v>61.17</v>
      </c>
      <c r="D530">
        <v>50</v>
      </c>
      <c r="E530">
        <v>1.2234</v>
      </c>
      <c r="F530">
        <v>0.02288703612882131</v>
      </c>
      <c r="G530">
        <v>-0.03952447014675431</v>
      </c>
      <c r="H530">
        <v>0.08500000000000001</v>
      </c>
      <c r="I530">
        <v>0.06309045714802508</v>
      </c>
      <c r="J530" t="s">
        <v>514</v>
      </c>
      <c r="K530" t="s">
        <v>514</v>
      </c>
      <c r="L530">
        <v>1.68</v>
      </c>
      <c r="M530">
        <v>1.4</v>
      </c>
      <c r="N530">
        <v>0.8333333333333333</v>
      </c>
      <c r="O530">
        <v>3</v>
      </c>
      <c r="P530">
        <v>0.03959498820755258</v>
      </c>
      <c r="Q530">
        <v>0.235071193216112</v>
      </c>
      <c r="R530" t="s">
        <v>781</v>
      </c>
      <c r="S530" t="s">
        <v>793</v>
      </c>
      <c r="T530">
        <v>4906.49914</v>
      </c>
      <c r="U530" s="2">
        <v>44513</v>
      </c>
      <c r="V530" t="s">
        <v>794</v>
      </c>
    </row>
    <row r="531" spans="1:22">
      <c r="A531" s="1" t="s">
        <v>551</v>
      </c>
      <c r="B531">
        <f>HYPERLINK("https://www.suredividend.com/sure-analysis-MCY/","Mercury General Corp.")</f>
        <v>0</v>
      </c>
      <c r="C531">
        <v>51.78</v>
      </c>
      <c r="D531">
        <v>53</v>
      </c>
      <c r="E531">
        <v>0.9769811320754718</v>
      </c>
      <c r="F531">
        <v>0.04905368868288915</v>
      </c>
      <c r="G531">
        <v>0.004668451267248352</v>
      </c>
      <c r="H531">
        <v>0.015</v>
      </c>
      <c r="I531">
        <v>0.06207890448503117</v>
      </c>
      <c r="J531" t="s">
        <v>514</v>
      </c>
      <c r="K531" t="s">
        <v>776</v>
      </c>
      <c r="L531">
        <v>3.5</v>
      </c>
      <c r="M531">
        <v>2.54</v>
      </c>
      <c r="N531">
        <v>0.7257142857142858</v>
      </c>
      <c r="O531">
        <v>33</v>
      </c>
      <c r="P531">
        <v>0.004680391776183512</v>
      </c>
      <c r="Q531">
        <v>0.180595773832192</v>
      </c>
      <c r="R531" t="s">
        <v>779</v>
      </c>
      <c r="S531" t="s">
        <v>790</v>
      </c>
      <c r="T531">
        <v>2900.875583</v>
      </c>
      <c r="U531" s="2">
        <v>44510</v>
      </c>
      <c r="V531" t="s">
        <v>797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15.94</v>
      </c>
      <c r="D532">
        <v>23.5</v>
      </c>
      <c r="E532">
        <v>0.6782978723404255</v>
      </c>
      <c r="F532">
        <v>0.0903387703889586</v>
      </c>
      <c r="G532">
        <v>0.08072676951977975</v>
      </c>
      <c r="H532">
        <v>-0.099</v>
      </c>
      <c r="I532">
        <v>0.06001473679537894</v>
      </c>
      <c r="J532" t="s">
        <v>514</v>
      </c>
      <c r="K532" t="s">
        <v>776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0.153284776497149</v>
      </c>
      <c r="R532" t="s">
        <v>781</v>
      </c>
      <c r="S532" t="s">
        <v>793</v>
      </c>
      <c r="T532">
        <v>8419.530446999999</v>
      </c>
      <c r="U532" s="2">
        <v>44503</v>
      </c>
      <c r="V532" t="s">
        <v>804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87.95999999999999</v>
      </c>
      <c r="D533">
        <v>79</v>
      </c>
      <c r="E533">
        <v>1.113417721518987</v>
      </c>
      <c r="F533">
        <v>0.02273760800363802</v>
      </c>
      <c r="G533">
        <v>-0.02125766452872901</v>
      </c>
      <c r="H533">
        <v>0.06</v>
      </c>
      <c r="I533">
        <v>0.05994598271160423</v>
      </c>
      <c r="J533" t="s">
        <v>514</v>
      </c>
      <c r="K533" t="s">
        <v>514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0.7542819186791281</v>
      </c>
      <c r="R533" t="s">
        <v>779</v>
      </c>
      <c r="S533" t="s">
        <v>785</v>
      </c>
      <c r="T533">
        <v>19844.875086</v>
      </c>
      <c r="U533" s="2">
        <v>44435</v>
      </c>
      <c r="V533" t="s">
        <v>800</v>
      </c>
    </row>
    <row r="534" spans="1:22">
      <c r="A534" s="1" t="s">
        <v>554</v>
      </c>
      <c r="B534">
        <f>HYPERLINK("https://www.suredividend.com/sure-analysis-TS/","Tenaris S.A.")</f>
        <v>0</v>
      </c>
      <c r="C534">
        <v>22.42</v>
      </c>
      <c r="D534">
        <v>17</v>
      </c>
      <c r="E534">
        <v>1.318823529411765</v>
      </c>
      <c r="F534">
        <v>0.01873327386262266</v>
      </c>
      <c r="G534">
        <v>-0.05384418549818748</v>
      </c>
      <c r="H534">
        <v>0.1</v>
      </c>
      <c r="I534">
        <v>0.05626880878601836</v>
      </c>
      <c r="J534" t="s">
        <v>514</v>
      </c>
      <c r="K534" t="s">
        <v>777</v>
      </c>
      <c r="L534">
        <v>1</v>
      </c>
      <c r="M534">
        <v>0.42</v>
      </c>
      <c r="N534">
        <v>0.42</v>
      </c>
      <c r="O534">
        <v>0</v>
      </c>
      <c r="P534">
        <v>0</v>
      </c>
      <c r="Q534">
        <v>0.608198330536971</v>
      </c>
      <c r="R534" t="s">
        <v>779</v>
      </c>
      <c r="S534" t="s">
        <v>792</v>
      </c>
      <c r="T534">
        <v>13635.200387</v>
      </c>
      <c r="U534" s="2">
        <v>44413</v>
      </c>
      <c r="V534" t="s">
        <v>799</v>
      </c>
    </row>
    <row r="535" spans="1:22">
      <c r="A535" s="1" t="s">
        <v>555</v>
      </c>
      <c r="B535">
        <f>HYPERLINK("https://www.suredividend.com/sure-analysis-ING/","ING Groep N.V.")</f>
        <v>0</v>
      </c>
      <c r="C535">
        <v>14.89</v>
      </c>
      <c r="D535">
        <v>14.7</v>
      </c>
      <c r="E535">
        <v>1.012925170068027</v>
      </c>
      <c r="F535">
        <v>0.04701141705842847</v>
      </c>
      <c r="G535">
        <v>-0.002565174883918053</v>
      </c>
      <c r="H535">
        <v>0.01</v>
      </c>
      <c r="I535">
        <v>0.05544395573663685</v>
      </c>
      <c r="J535" t="s">
        <v>514</v>
      </c>
      <c r="K535" t="s">
        <v>366</v>
      </c>
      <c r="L535">
        <v>1.47</v>
      </c>
      <c r="M535">
        <v>0.7</v>
      </c>
      <c r="N535">
        <v>0.4761904761904762</v>
      </c>
      <c r="O535">
        <v>0</v>
      </c>
      <c r="P535">
        <v>0.04920026914708719</v>
      </c>
      <c r="Q535">
        <v>0.7613380964773241</v>
      </c>
      <c r="R535" t="s">
        <v>779</v>
      </c>
      <c r="S535" t="s">
        <v>790</v>
      </c>
      <c r="T535">
        <v>58130.985095</v>
      </c>
      <c r="U535" s="2">
        <v>44515</v>
      </c>
      <c r="V535" t="s">
        <v>794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36.56</v>
      </c>
      <c r="D536">
        <v>36</v>
      </c>
      <c r="E536">
        <v>1.015555555555556</v>
      </c>
      <c r="F536">
        <v>0.0437636761487965</v>
      </c>
      <c r="G536">
        <v>-0.003082401242466504</v>
      </c>
      <c r="H536">
        <v>0.02</v>
      </c>
      <c r="I536">
        <v>0.0548429746932213</v>
      </c>
      <c r="J536" t="s">
        <v>514</v>
      </c>
      <c r="K536" t="s">
        <v>366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0.201879396724034</v>
      </c>
      <c r="R536" t="s">
        <v>779</v>
      </c>
      <c r="S536" t="s">
        <v>789</v>
      </c>
      <c r="T536">
        <v>45383.685404</v>
      </c>
      <c r="U536" s="2">
        <v>44508</v>
      </c>
      <c r="V536" t="s">
        <v>797</v>
      </c>
    </row>
    <row r="537" spans="1:22">
      <c r="A537" s="1" t="s">
        <v>557</v>
      </c>
      <c r="B537">
        <f>HYPERLINK("https://www.suredividend.com/sure-analysis-CAJ/","Canon Inc")</f>
        <v>0</v>
      </c>
      <c r="C537">
        <v>22.56</v>
      </c>
      <c r="D537">
        <v>22</v>
      </c>
      <c r="E537">
        <v>1.025454545454545</v>
      </c>
      <c r="F537">
        <v>0.03413120567375887</v>
      </c>
      <c r="G537">
        <v>-0.005014579459794888</v>
      </c>
      <c r="H537">
        <v>0.03</v>
      </c>
      <c r="I537">
        <v>0.05406095574658143</v>
      </c>
      <c r="J537" t="s">
        <v>514</v>
      </c>
      <c r="K537" t="s">
        <v>366</v>
      </c>
      <c r="L537">
        <v>1.8</v>
      </c>
      <c r="M537">
        <v>0.77</v>
      </c>
      <c r="N537">
        <v>0.4277777777777778</v>
      </c>
      <c r="O537">
        <v>0</v>
      </c>
      <c r="P537">
        <v>0</v>
      </c>
      <c r="Q537">
        <v>0.27103683653054</v>
      </c>
      <c r="R537" t="s">
        <v>779</v>
      </c>
      <c r="S537" t="s">
        <v>785</v>
      </c>
      <c r="T537">
        <v>30249.755364</v>
      </c>
      <c r="U537" s="2">
        <v>44505</v>
      </c>
      <c r="V537" t="s">
        <v>797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22.09</v>
      </c>
      <c r="D538">
        <v>19</v>
      </c>
      <c r="E538">
        <v>1.162631578947368</v>
      </c>
      <c r="F538">
        <v>0.03259393390674514</v>
      </c>
      <c r="G538">
        <v>-0.02968760987127095</v>
      </c>
      <c r="H538">
        <v>0.055</v>
      </c>
      <c r="I538">
        <v>0.05265549708183093</v>
      </c>
      <c r="J538" t="s">
        <v>514</v>
      </c>
      <c r="K538" t="s">
        <v>514</v>
      </c>
      <c r="L538">
        <v>1.37</v>
      </c>
      <c r="M538">
        <v>0.72</v>
      </c>
      <c r="N538">
        <v>0.5255474452554744</v>
      </c>
      <c r="O538">
        <v>1</v>
      </c>
      <c r="P538">
        <v>0.01087212085035083</v>
      </c>
      <c r="Q538">
        <v>0.5507968688404571</v>
      </c>
      <c r="R538" t="s">
        <v>781</v>
      </c>
      <c r="S538" t="s">
        <v>793</v>
      </c>
      <c r="T538">
        <v>4824.96513</v>
      </c>
      <c r="U538" s="2">
        <v>44512</v>
      </c>
      <c r="V538" t="s">
        <v>801</v>
      </c>
    </row>
    <row r="539" spans="1:22">
      <c r="A539" s="1" t="s">
        <v>559</v>
      </c>
      <c r="B539">
        <f>HYPERLINK("https://www.suredividend.com/sure-analysis-UE/","Urban Edge Properties")</f>
        <v>0</v>
      </c>
      <c r="C539">
        <v>18.62</v>
      </c>
      <c r="D539">
        <v>18</v>
      </c>
      <c r="E539">
        <v>1.034444444444444</v>
      </c>
      <c r="F539">
        <v>0.03222341568206229</v>
      </c>
      <c r="G539">
        <v>-0.006750018378226308</v>
      </c>
      <c r="H539">
        <v>0.03</v>
      </c>
      <c r="I539">
        <v>0.05169107138556717</v>
      </c>
      <c r="J539" t="s">
        <v>514</v>
      </c>
      <c r="K539" t="s">
        <v>514</v>
      </c>
      <c r="L539">
        <v>1.08</v>
      </c>
      <c r="M539">
        <v>0.6</v>
      </c>
      <c r="N539">
        <v>0.5555555555555555</v>
      </c>
      <c r="O539">
        <v>0</v>
      </c>
      <c r="P539">
        <v>0.009805797673485328</v>
      </c>
      <c r="Q539">
        <v>0.476876494793889</v>
      </c>
      <c r="R539" t="s">
        <v>781</v>
      </c>
      <c r="S539" t="s">
        <v>793</v>
      </c>
      <c r="T539">
        <v>2148.307032</v>
      </c>
      <c r="U539" s="2">
        <v>44512</v>
      </c>
      <c r="V539" t="s">
        <v>801</v>
      </c>
    </row>
    <row r="540" spans="1:22">
      <c r="A540" s="1" t="s">
        <v>560</v>
      </c>
      <c r="B540">
        <f>HYPERLINK("https://www.suredividend.com/sure-analysis-GLW/","Corning, Inc.")</f>
        <v>0</v>
      </c>
      <c r="C540">
        <v>38.2</v>
      </c>
      <c r="D540">
        <v>34</v>
      </c>
      <c r="E540">
        <v>1.123529411764706</v>
      </c>
      <c r="F540">
        <v>0.02513089005235602</v>
      </c>
      <c r="G540">
        <v>-0.02302576438122006</v>
      </c>
      <c r="H540">
        <v>0.05</v>
      </c>
      <c r="I540">
        <v>0.05107886081899982</v>
      </c>
      <c r="J540" t="s">
        <v>514</v>
      </c>
      <c r="K540" t="s">
        <v>514</v>
      </c>
      <c r="L540">
        <v>2.15</v>
      </c>
      <c r="M540">
        <v>0.96</v>
      </c>
      <c r="N540">
        <v>0.4465116279069767</v>
      </c>
      <c r="O540">
        <v>11</v>
      </c>
      <c r="P540">
        <v>0.05251935381426631</v>
      </c>
      <c r="Q540">
        <v>0.070476992361253</v>
      </c>
      <c r="R540" t="s">
        <v>779</v>
      </c>
      <c r="S540" t="s">
        <v>785</v>
      </c>
      <c r="T540">
        <v>32984.23694</v>
      </c>
      <c r="U540" s="2">
        <v>44497</v>
      </c>
      <c r="V540" t="s">
        <v>800</v>
      </c>
    </row>
    <row r="541" spans="1:22">
      <c r="A541" s="1" t="s">
        <v>561</v>
      </c>
      <c r="B541">
        <f>HYPERLINK("https://www.suredividend.com/sure-analysis-JNPR/","Juniper Networks Inc")</f>
        <v>0</v>
      </c>
      <c r="C541">
        <v>32.12</v>
      </c>
      <c r="D541">
        <v>26</v>
      </c>
      <c r="E541">
        <v>1.235384615384615</v>
      </c>
      <c r="F541">
        <v>0.024906600249066</v>
      </c>
      <c r="G541">
        <v>-0.0413952817158687</v>
      </c>
      <c r="H541">
        <v>0.07000000000000001</v>
      </c>
      <c r="I541">
        <v>0.05056710194016678</v>
      </c>
      <c r="J541" t="s">
        <v>514</v>
      </c>
      <c r="K541" t="s">
        <v>514</v>
      </c>
      <c r="L541">
        <v>1.8</v>
      </c>
      <c r="M541">
        <v>0.8</v>
      </c>
      <c r="N541">
        <v>0.4444444444444445</v>
      </c>
      <c r="O541">
        <v>3</v>
      </c>
      <c r="P541">
        <v>0.04978904632428516</v>
      </c>
      <c r="Q541">
        <v>0.478390269151138</v>
      </c>
      <c r="R541" t="s">
        <v>779</v>
      </c>
      <c r="S541" t="s">
        <v>785</v>
      </c>
      <c r="T541">
        <v>10402.543805</v>
      </c>
      <c r="U541" s="2">
        <v>44498</v>
      </c>
      <c r="V541" t="s">
        <v>801</v>
      </c>
    </row>
    <row r="542" spans="1:22">
      <c r="A542" s="1" t="s">
        <v>562</v>
      </c>
      <c r="B542">
        <f>HYPERLINK("https://www.suredividend.com/sure-analysis-DEI/","Douglas Emmett Inc")</f>
        <v>0</v>
      </c>
      <c r="C542">
        <v>35.98</v>
      </c>
      <c r="D542">
        <v>28</v>
      </c>
      <c r="E542">
        <v>1.285</v>
      </c>
      <c r="F542">
        <v>0.03112840466926071</v>
      </c>
      <c r="G542">
        <v>-0.04891490759161821</v>
      </c>
      <c r="H542">
        <v>0.07000000000000001</v>
      </c>
      <c r="I542">
        <v>0.05021255740159836</v>
      </c>
      <c r="J542" t="s">
        <v>514</v>
      </c>
      <c r="K542" t="s">
        <v>514</v>
      </c>
      <c r="L542">
        <v>1.81</v>
      </c>
      <c r="M542">
        <v>1.12</v>
      </c>
      <c r="N542">
        <v>0.6187845303867404</v>
      </c>
      <c r="O542">
        <v>10</v>
      </c>
      <c r="P542">
        <v>0.06016789231717423</v>
      </c>
      <c r="Q542">
        <v>0.163706813044882</v>
      </c>
      <c r="R542" t="s">
        <v>781</v>
      </c>
      <c r="S542" t="s">
        <v>793</v>
      </c>
      <c r="T542">
        <v>6324.507511</v>
      </c>
      <c r="U542" s="2">
        <v>44474</v>
      </c>
      <c r="V542" t="s">
        <v>802</v>
      </c>
    </row>
    <row r="543" spans="1:22">
      <c r="A543" s="1" t="s">
        <v>563</v>
      </c>
      <c r="B543">
        <f>HYPERLINK("https://www.suredividend.com/sure-analysis-COP/","Conoco Phillips")</f>
        <v>0</v>
      </c>
      <c r="C543">
        <v>71.97</v>
      </c>
      <c r="D543">
        <v>74</v>
      </c>
      <c r="E543">
        <v>0.9725675675675676</v>
      </c>
      <c r="F543">
        <v>0.02556620814228151</v>
      </c>
      <c r="G543">
        <v>0.005578648566227251</v>
      </c>
      <c r="H543">
        <v>0.02</v>
      </c>
      <c r="I543">
        <v>0.04983963484484111</v>
      </c>
      <c r="J543" t="s">
        <v>514</v>
      </c>
      <c r="K543" t="s">
        <v>514</v>
      </c>
      <c r="L543">
        <v>5.8</v>
      </c>
      <c r="M543">
        <v>1.84</v>
      </c>
      <c r="N543">
        <v>0.3172413793103449</v>
      </c>
      <c r="O543">
        <v>6</v>
      </c>
      <c r="P543">
        <v>0.03066894385040531</v>
      </c>
      <c r="Q543">
        <v>0.9666396831284291</v>
      </c>
      <c r="R543" t="s">
        <v>779</v>
      </c>
      <c r="S543" t="s">
        <v>792</v>
      </c>
      <c r="T543">
        <v>95808.30041900001</v>
      </c>
      <c r="U543" s="2">
        <v>44504</v>
      </c>
      <c r="V543" t="s">
        <v>802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119.1</v>
      </c>
      <c r="D544">
        <v>96</v>
      </c>
      <c r="E544">
        <v>1.240625</v>
      </c>
      <c r="F544">
        <v>0.01511335012594459</v>
      </c>
      <c r="G544">
        <v>-0.04220648036193941</v>
      </c>
      <c r="H544">
        <v>0.08</v>
      </c>
      <c r="I544">
        <v>0.04931024549339891</v>
      </c>
      <c r="J544" t="s">
        <v>514</v>
      </c>
      <c r="K544" t="s">
        <v>777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0.388614362153602</v>
      </c>
      <c r="R544" t="s">
        <v>779</v>
      </c>
      <c r="S544" t="s">
        <v>790</v>
      </c>
      <c r="T544">
        <v>4598.263525</v>
      </c>
      <c r="U544" s="2">
        <v>44502</v>
      </c>
      <c r="V544" t="s">
        <v>801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144.83</v>
      </c>
      <c r="D545">
        <v>114</v>
      </c>
      <c r="E545">
        <v>1.270438596491228</v>
      </c>
      <c r="F545">
        <v>0.01850445349720362</v>
      </c>
      <c r="G545">
        <v>-0.04674462197633711</v>
      </c>
      <c r="H545">
        <v>0.08</v>
      </c>
      <c r="I545">
        <v>0.04795554238064259</v>
      </c>
      <c r="J545" t="s">
        <v>514</v>
      </c>
      <c r="K545" t="s">
        <v>777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0.264851669680488</v>
      </c>
      <c r="R545" t="s">
        <v>779</v>
      </c>
      <c r="S545" t="s">
        <v>785</v>
      </c>
      <c r="T545">
        <v>28061.71017</v>
      </c>
      <c r="U545" s="2">
        <v>44514</v>
      </c>
      <c r="V545" t="s">
        <v>799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117.24</v>
      </c>
      <c r="D546">
        <v>103</v>
      </c>
      <c r="E546">
        <v>1.138252427184466</v>
      </c>
      <c r="F546">
        <v>0.03343568747867622</v>
      </c>
      <c r="G546">
        <v>-0.02556632756080879</v>
      </c>
      <c r="H546">
        <v>0.044</v>
      </c>
      <c r="I546">
        <v>0.04761530674242054</v>
      </c>
      <c r="J546" t="s">
        <v>514</v>
      </c>
      <c r="K546" t="s">
        <v>514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0.266292026174691</v>
      </c>
      <c r="R546" t="s">
        <v>781</v>
      </c>
      <c r="S546" t="s">
        <v>793</v>
      </c>
      <c r="T546">
        <v>18408.98835</v>
      </c>
      <c r="U546" s="2">
        <v>44503</v>
      </c>
      <c r="V546" t="s">
        <v>804</v>
      </c>
    </row>
    <row r="547" spans="1:22">
      <c r="A547" s="1" t="s">
        <v>567</v>
      </c>
      <c r="B547">
        <f>HYPERLINK("https://www.suredividend.com/sure-analysis-HBAN/","Huntington Bancshares, Inc.")</f>
        <v>0</v>
      </c>
      <c r="C547">
        <v>16.31</v>
      </c>
      <c r="D547">
        <v>14</v>
      </c>
      <c r="E547">
        <v>1.165</v>
      </c>
      <c r="F547">
        <v>0.03801348865726548</v>
      </c>
      <c r="G547">
        <v>-0.03008245611641591</v>
      </c>
      <c r="H547">
        <v>0.04</v>
      </c>
      <c r="I547">
        <v>0.04692626599676974</v>
      </c>
      <c r="J547" t="s">
        <v>514</v>
      </c>
      <c r="K547" t="s">
        <v>366</v>
      </c>
      <c r="L547">
        <v>1.25</v>
      </c>
      <c r="M547">
        <v>0.62</v>
      </c>
      <c r="N547">
        <v>0.496</v>
      </c>
      <c r="O547">
        <v>1</v>
      </c>
      <c r="P547">
        <v>0.03880472124431766</v>
      </c>
      <c r="Q547">
        <v>0.4292152750091</v>
      </c>
      <c r="R547" t="s">
        <v>779</v>
      </c>
      <c r="S547" t="s">
        <v>790</v>
      </c>
      <c r="T547">
        <v>23852.145996</v>
      </c>
      <c r="U547" s="2">
        <v>44499</v>
      </c>
      <c r="V547" t="s">
        <v>800</v>
      </c>
    </row>
    <row r="548" spans="1:22">
      <c r="A548" s="1" t="s">
        <v>568</v>
      </c>
      <c r="B548">
        <f>HYPERLINK("https://www.suredividend.com/sure-analysis-WPP/","WPP Plc.")</f>
        <v>0</v>
      </c>
      <c r="C548">
        <v>75.31</v>
      </c>
      <c r="D548">
        <v>72</v>
      </c>
      <c r="E548">
        <v>1.045972222222222</v>
      </c>
      <c r="F548">
        <v>0.02576019120966671</v>
      </c>
      <c r="G548">
        <v>-0.008949078304547053</v>
      </c>
      <c r="H548">
        <v>0.03</v>
      </c>
      <c r="I548">
        <v>0.04621059482761081</v>
      </c>
      <c r="J548" t="s">
        <v>514</v>
      </c>
      <c r="K548" t="s">
        <v>514</v>
      </c>
      <c r="L548">
        <v>5.15</v>
      </c>
      <c r="M548">
        <v>1.94</v>
      </c>
      <c r="N548">
        <v>0.3766990291262136</v>
      </c>
      <c r="O548">
        <v>0</v>
      </c>
      <c r="P548">
        <v>0.03997297703182556</v>
      </c>
      <c r="Q548">
        <v>0.524518237419843</v>
      </c>
      <c r="R548" t="s">
        <v>779</v>
      </c>
      <c r="S548" t="s">
        <v>783</v>
      </c>
      <c r="T548">
        <v>17451.041231</v>
      </c>
      <c r="U548" s="2">
        <v>44413</v>
      </c>
      <c r="V548" t="s">
        <v>799</v>
      </c>
    </row>
    <row r="549" spans="1:22">
      <c r="A549" s="1" t="s">
        <v>569</v>
      </c>
      <c r="B549">
        <f>HYPERLINK("https://www.suredividend.com/sure-analysis-BBD/","Banco Bradesco S.A.")</f>
        <v>0</v>
      </c>
      <c r="C549">
        <v>3.75</v>
      </c>
      <c r="D549">
        <v>3.5</v>
      </c>
      <c r="E549">
        <v>1.071428571428571</v>
      </c>
      <c r="F549">
        <v>0.064</v>
      </c>
      <c r="G549">
        <v>-0.01370381034097057</v>
      </c>
      <c r="H549">
        <v>0</v>
      </c>
      <c r="I549">
        <v>0.04619663311658995</v>
      </c>
      <c r="J549" t="s">
        <v>514</v>
      </c>
      <c r="K549" t="s">
        <v>776</v>
      </c>
      <c r="L549">
        <v>0.5</v>
      </c>
      <c r="M549">
        <v>0.24</v>
      </c>
      <c r="N549">
        <v>0.48</v>
      </c>
      <c r="O549">
        <v>0</v>
      </c>
      <c r="P549">
        <v>0</v>
      </c>
      <c r="Q549">
        <v>-0.066479469937683</v>
      </c>
      <c r="R549" t="s">
        <v>779</v>
      </c>
      <c r="S549" t="s">
        <v>790</v>
      </c>
      <c r="T549">
        <v>34935.785672</v>
      </c>
      <c r="U549" s="2">
        <v>44506</v>
      </c>
      <c r="V549" t="s">
        <v>794</v>
      </c>
    </row>
    <row r="550" spans="1:22">
      <c r="A550" s="1" t="s">
        <v>570</v>
      </c>
      <c r="B550">
        <f>HYPERLINK("https://www.suredividend.com/sure-analysis-CCI/","Crown Castle International Corp")</f>
        <v>0</v>
      </c>
      <c r="C550">
        <v>184.7</v>
      </c>
      <c r="D550">
        <v>152</v>
      </c>
      <c r="E550">
        <v>1.215131578947368</v>
      </c>
      <c r="F550">
        <v>0.03183540877097997</v>
      </c>
      <c r="G550">
        <v>-0.0382208930825878</v>
      </c>
      <c r="H550">
        <v>0.05</v>
      </c>
      <c r="I550">
        <v>0.04311127250487745</v>
      </c>
      <c r="J550" t="s">
        <v>514</v>
      </c>
      <c r="K550" t="s">
        <v>366</v>
      </c>
      <c r="L550">
        <v>6.35</v>
      </c>
      <c r="M550">
        <v>5.88</v>
      </c>
      <c r="N550">
        <v>0.925984251968504</v>
      </c>
      <c r="O550">
        <v>7</v>
      </c>
      <c r="P550">
        <v>0.04987304960985517</v>
      </c>
      <c r="Q550">
        <v>0.12341969428721</v>
      </c>
      <c r="R550" t="s">
        <v>781</v>
      </c>
      <c r="S550" t="s">
        <v>793</v>
      </c>
      <c r="T550">
        <v>77887.347322</v>
      </c>
      <c r="U550" s="2">
        <v>44493</v>
      </c>
      <c r="V550" t="s">
        <v>799</v>
      </c>
    </row>
    <row r="551" spans="1:22">
      <c r="A551" s="1" t="s">
        <v>571</v>
      </c>
      <c r="B551">
        <f>HYPERLINK("https://www.suredividend.com/sure-analysis-USB/","U.S. Bancorp.")</f>
        <v>0</v>
      </c>
      <c r="C551">
        <v>59.32</v>
      </c>
      <c r="D551">
        <v>62</v>
      </c>
      <c r="E551">
        <v>0.9567741935483871</v>
      </c>
      <c r="F551">
        <v>0.03101820633850303</v>
      </c>
      <c r="G551">
        <v>0.00887674020259599</v>
      </c>
      <c r="H551">
        <v>0</v>
      </c>
      <c r="I551">
        <v>0.0423418322311071</v>
      </c>
      <c r="J551" t="s">
        <v>514</v>
      </c>
      <c r="K551" t="s">
        <v>366</v>
      </c>
      <c r="L551">
        <v>5.15</v>
      </c>
      <c r="M551">
        <v>1.84</v>
      </c>
      <c r="N551">
        <v>0.3572815533980582</v>
      </c>
      <c r="O551">
        <v>10</v>
      </c>
      <c r="P551">
        <v>0.05979888147511248</v>
      </c>
      <c r="Q551">
        <v>0.410775227048095</v>
      </c>
      <c r="R551" t="s">
        <v>779</v>
      </c>
      <c r="S551" t="s">
        <v>790</v>
      </c>
      <c r="T551">
        <v>89738.91553300001</v>
      </c>
      <c r="U551" s="2">
        <v>44491</v>
      </c>
      <c r="V551" t="s">
        <v>799</v>
      </c>
    </row>
    <row r="552" spans="1:22">
      <c r="A552" s="1" t="s">
        <v>572</v>
      </c>
      <c r="B552">
        <f>HYPERLINK("https://www.suredividend.com/sure-analysis-GEL/","Genesis Energy L.P.")</f>
        <v>0</v>
      </c>
      <c r="C552">
        <v>12.37</v>
      </c>
      <c r="D552">
        <v>10</v>
      </c>
      <c r="E552">
        <v>1.237</v>
      </c>
      <c r="F552">
        <v>0.04850444624090542</v>
      </c>
      <c r="G552">
        <v>-0.04164577885800602</v>
      </c>
      <c r="H552">
        <v>0.04</v>
      </c>
      <c r="I552">
        <v>0.04160558572866013</v>
      </c>
      <c r="J552" t="s">
        <v>514</v>
      </c>
      <c r="K552" t="s">
        <v>776</v>
      </c>
      <c r="L552">
        <v>2</v>
      </c>
      <c r="M552">
        <v>0.6</v>
      </c>
      <c r="N552">
        <v>0.3</v>
      </c>
      <c r="O552">
        <v>0</v>
      </c>
      <c r="P552">
        <v>0</v>
      </c>
      <c r="Q552">
        <v>1.393252305900475</v>
      </c>
      <c r="R552" t="s">
        <v>780</v>
      </c>
      <c r="S552" t="s">
        <v>792</v>
      </c>
      <c r="T552">
        <v>1561.149676</v>
      </c>
      <c r="U552" s="2">
        <v>44434</v>
      </c>
      <c r="V552" t="s">
        <v>802</v>
      </c>
    </row>
    <row r="553" spans="1:22">
      <c r="A553" s="1" t="s">
        <v>573</v>
      </c>
      <c r="B553">
        <f>HYPERLINK("https://www.suredividend.com/sure-analysis-AVGO/","Broadcom Inc")</f>
        <v>0</v>
      </c>
      <c r="C553">
        <v>569.64</v>
      </c>
      <c r="D553">
        <v>420</v>
      </c>
      <c r="E553">
        <v>1.356285714285714</v>
      </c>
      <c r="F553">
        <v>0.02527912365704656</v>
      </c>
      <c r="G553">
        <v>-0.05912969362538889</v>
      </c>
      <c r="H553">
        <v>0.075</v>
      </c>
      <c r="I553">
        <v>0.04034553747401493</v>
      </c>
      <c r="J553" t="s">
        <v>514</v>
      </c>
      <c r="K553" t="s">
        <v>514</v>
      </c>
      <c r="L553">
        <v>28</v>
      </c>
      <c r="M553">
        <v>14.4</v>
      </c>
      <c r="N553">
        <v>0.5142857142857143</v>
      </c>
      <c r="O553">
        <v>10</v>
      </c>
      <c r="P553">
        <v>0.08001710619661218</v>
      </c>
      <c r="Q553">
        <v>0.541176205997409</v>
      </c>
      <c r="R553" t="s">
        <v>779</v>
      </c>
      <c r="S553" t="s">
        <v>785</v>
      </c>
      <c r="T553">
        <v>234114.996126</v>
      </c>
      <c r="U553" s="2">
        <v>44453</v>
      </c>
      <c r="V553" t="s">
        <v>797</v>
      </c>
    </row>
    <row r="554" spans="1:22">
      <c r="A554" s="1" t="s">
        <v>574</v>
      </c>
      <c r="B554">
        <f>HYPERLINK("https://www.suredividend.com/sure-analysis-AES/","AES Corp.")</f>
        <v>0</v>
      </c>
      <c r="C554">
        <v>24.75</v>
      </c>
      <c r="D554">
        <v>19</v>
      </c>
      <c r="E554">
        <v>1.302631578947368</v>
      </c>
      <c r="F554">
        <v>0.02424242424242424</v>
      </c>
      <c r="G554">
        <v>-0.05150361601901776</v>
      </c>
      <c r="H554">
        <v>0.07000000000000001</v>
      </c>
      <c r="I554">
        <v>0.0402028529625742</v>
      </c>
      <c r="J554" t="s">
        <v>514</v>
      </c>
      <c r="K554" t="s">
        <v>514</v>
      </c>
      <c r="L554">
        <v>1.54</v>
      </c>
      <c r="M554">
        <v>0.6</v>
      </c>
      <c r="N554">
        <v>0.3896103896103896</v>
      </c>
      <c r="O554">
        <v>10</v>
      </c>
      <c r="P554">
        <v>0.05115774595007161</v>
      </c>
      <c r="Q554">
        <v>0.203650336215177</v>
      </c>
      <c r="R554" t="s">
        <v>779</v>
      </c>
      <c r="S554" t="s">
        <v>792</v>
      </c>
      <c r="T554">
        <v>16707.848555</v>
      </c>
      <c r="U554" s="2">
        <v>44513</v>
      </c>
      <c r="V554" t="s">
        <v>801</v>
      </c>
    </row>
    <row r="555" spans="1:22">
      <c r="A555" s="1" t="s">
        <v>575</v>
      </c>
      <c r="B555">
        <f>HYPERLINK("https://www.suredividend.com/sure-analysis-ALV/","Autoliv Inc.")</f>
        <v>0</v>
      </c>
      <c r="C555">
        <v>106.93</v>
      </c>
      <c r="D555">
        <v>71</v>
      </c>
      <c r="E555">
        <v>1.506056338028169</v>
      </c>
      <c r="F555">
        <v>0.02394089591321425</v>
      </c>
      <c r="G555">
        <v>-0.07863490295232567</v>
      </c>
      <c r="H555">
        <v>0.1</v>
      </c>
      <c r="I555">
        <v>0.03969195592452324</v>
      </c>
      <c r="J555" t="s">
        <v>514</v>
      </c>
      <c r="K555" t="s">
        <v>514</v>
      </c>
      <c r="L555">
        <v>5.1</v>
      </c>
      <c r="M555">
        <v>2.56</v>
      </c>
      <c r="N555">
        <v>0.5019607843137255</v>
      </c>
      <c r="O555">
        <v>1</v>
      </c>
      <c r="P555">
        <v>0.06576275663547415</v>
      </c>
      <c r="Q555">
        <v>0.223000920416743</v>
      </c>
      <c r="R555" t="s">
        <v>779</v>
      </c>
      <c r="S555" t="s">
        <v>788</v>
      </c>
      <c r="T555">
        <v>9460.973575</v>
      </c>
      <c r="U555" s="2">
        <v>44493</v>
      </c>
      <c r="V555" t="s">
        <v>799</v>
      </c>
    </row>
    <row r="556" spans="1:22">
      <c r="A556" s="1" t="s">
        <v>576</v>
      </c>
      <c r="B556">
        <f>HYPERLINK("https://www.suredividend.com/sure-analysis-HMC/","Honda Motor")</f>
        <v>0</v>
      </c>
      <c r="C556">
        <v>28.37</v>
      </c>
      <c r="D556">
        <v>25</v>
      </c>
      <c r="E556">
        <v>1.1348</v>
      </c>
      <c r="F556">
        <v>0.0352485019386676</v>
      </c>
      <c r="G556">
        <v>-0.024974139543117</v>
      </c>
      <c r="H556">
        <v>0.029</v>
      </c>
      <c r="I556">
        <v>0.03858974866623055</v>
      </c>
      <c r="J556" t="s">
        <v>514</v>
      </c>
      <c r="K556" t="s">
        <v>366</v>
      </c>
      <c r="L556">
        <v>2.93</v>
      </c>
      <c r="M556">
        <v>1</v>
      </c>
      <c r="N556">
        <v>0.341296928327645</v>
      </c>
      <c r="O556">
        <v>0</v>
      </c>
      <c r="P556">
        <v>0.02834672210021361</v>
      </c>
      <c r="Q556">
        <v>0.018612736369032</v>
      </c>
      <c r="R556" t="s">
        <v>779</v>
      </c>
      <c r="S556" t="s">
        <v>788</v>
      </c>
      <c r="T556">
        <v>52223.481637</v>
      </c>
      <c r="U556" s="2">
        <v>44507</v>
      </c>
      <c r="V556" t="s">
        <v>795</v>
      </c>
    </row>
    <row r="557" spans="1:22">
      <c r="A557" s="1" t="s">
        <v>577</v>
      </c>
      <c r="B557">
        <f>HYPERLINK("https://www.suredividend.com/sure-analysis-TU/","Telus Corp.")</f>
        <v>0</v>
      </c>
      <c r="C557">
        <v>22.92</v>
      </c>
      <c r="D557">
        <v>15</v>
      </c>
      <c r="E557">
        <v>1.528</v>
      </c>
      <c r="F557">
        <v>0.04493891797556719</v>
      </c>
      <c r="G557">
        <v>-0.0812965883499055</v>
      </c>
      <c r="H557">
        <v>0.08</v>
      </c>
      <c r="I557">
        <v>0.03831626694235246</v>
      </c>
      <c r="J557" t="s">
        <v>514</v>
      </c>
      <c r="K557" t="s">
        <v>366</v>
      </c>
      <c r="L557">
        <v>0.95</v>
      </c>
      <c r="M557">
        <v>1.03</v>
      </c>
      <c r="N557">
        <v>1.08421052631579</v>
      </c>
      <c r="O557">
        <v>13</v>
      </c>
      <c r="P557">
        <v>0.02929993970978573</v>
      </c>
      <c r="Q557">
        <v>0.263427700803599</v>
      </c>
      <c r="R557" t="s">
        <v>779</v>
      </c>
      <c r="S557" t="s">
        <v>783</v>
      </c>
      <c r="T557">
        <v>31257.227201</v>
      </c>
      <c r="U557" s="2">
        <v>44439</v>
      </c>
      <c r="V557" t="s">
        <v>802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18.47</v>
      </c>
      <c r="D558">
        <v>16</v>
      </c>
      <c r="E558">
        <v>1.154375</v>
      </c>
      <c r="F558">
        <v>0.04981050351922036</v>
      </c>
      <c r="G558">
        <v>-0.02830354694876802</v>
      </c>
      <c r="H558">
        <v>0.017</v>
      </c>
      <c r="I558">
        <v>0.03566409228569012</v>
      </c>
      <c r="J558" t="s">
        <v>514</v>
      </c>
      <c r="K558" t="s">
        <v>776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0.033194108595295</v>
      </c>
      <c r="R558" t="s">
        <v>781</v>
      </c>
      <c r="S558" t="s">
        <v>793</v>
      </c>
      <c r="T558">
        <v>4037.906242</v>
      </c>
      <c r="U558" s="2">
        <v>44506</v>
      </c>
      <c r="V558" t="s">
        <v>795</v>
      </c>
    </row>
    <row r="559" spans="1:22">
      <c r="A559" s="1" t="s">
        <v>579</v>
      </c>
      <c r="B559">
        <f>HYPERLINK("https://www.suredividend.com/sure-analysis-STX/","Seagate Technology Holdings Plc")</f>
        <v>0</v>
      </c>
      <c r="C559">
        <v>100.89</v>
      </c>
      <c r="D559">
        <v>89</v>
      </c>
      <c r="E559">
        <v>1.133595505617978</v>
      </c>
      <c r="F559">
        <v>0.02775299831499653</v>
      </c>
      <c r="G559">
        <v>-0.02476702609966341</v>
      </c>
      <c r="H559">
        <v>0.03</v>
      </c>
      <c r="I559">
        <v>0.03229331027716831</v>
      </c>
      <c r="J559" t="s">
        <v>514</v>
      </c>
      <c r="K559" t="s">
        <v>514</v>
      </c>
      <c r="L559">
        <v>8.9</v>
      </c>
      <c r="M559">
        <v>2.8</v>
      </c>
      <c r="N559">
        <v>0.3146067415730337</v>
      </c>
      <c r="O559">
        <v>3</v>
      </c>
      <c r="P559">
        <v>0.02513307572787737</v>
      </c>
      <c r="Q559">
        <v>0.049659868078634</v>
      </c>
      <c r="R559" t="s">
        <v>779</v>
      </c>
      <c r="S559" t="s">
        <v>785</v>
      </c>
      <c r="T559">
        <v>23078.442059</v>
      </c>
      <c r="U559" s="2">
        <v>44507</v>
      </c>
      <c r="V559" t="s">
        <v>797</v>
      </c>
    </row>
    <row r="560" spans="1:22">
      <c r="A560" s="1" t="s">
        <v>580</v>
      </c>
      <c r="B560">
        <f>HYPERLINK("https://www.suredividend.com/sure-analysis-TSM/","Taiwan Semiconductor Manufacturing")</f>
        <v>0</v>
      </c>
      <c r="C560">
        <v>119.06</v>
      </c>
      <c r="D560">
        <v>72</v>
      </c>
      <c r="E560">
        <v>1.653611111111111</v>
      </c>
      <c r="F560">
        <v>0.0167982529816899</v>
      </c>
      <c r="G560">
        <v>-0.09569834920439124</v>
      </c>
      <c r="H560">
        <v>0.12</v>
      </c>
      <c r="I560">
        <v>0.03228965915835835</v>
      </c>
      <c r="J560" t="s">
        <v>514</v>
      </c>
      <c r="K560" t="s">
        <v>777</v>
      </c>
      <c r="L560">
        <v>4.05</v>
      </c>
      <c r="M560">
        <v>2</v>
      </c>
      <c r="N560">
        <v>0.4938271604938272</v>
      </c>
      <c r="O560">
        <v>7</v>
      </c>
      <c r="P560">
        <v>0.08009875865888949</v>
      </c>
      <c r="Q560">
        <v>0.208550742141042</v>
      </c>
      <c r="R560" t="s">
        <v>779</v>
      </c>
      <c r="S560" t="s">
        <v>785</v>
      </c>
      <c r="T560">
        <v>612371.864943</v>
      </c>
      <c r="U560" s="2">
        <v>44490</v>
      </c>
      <c r="V560" t="s">
        <v>802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49.01</v>
      </c>
      <c r="D561">
        <v>38</v>
      </c>
      <c r="E561">
        <v>1.289736842105263</v>
      </c>
      <c r="F561">
        <v>0.02040399918384003</v>
      </c>
      <c r="G561">
        <v>-0.04961455000440407</v>
      </c>
      <c r="H561">
        <v>0.06</v>
      </c>
      <c r="I561">
        <v>0.03135357285529117</v>
      </c>
      <c r="J561" t="s">
        <v>514</v>
      </c>
      <c r="K561" t="s">
        <v>514</v>
      </c>
      <c r="L561">
        <v>3.45</v>
      </c>
      <c r="M561">
        <v>1</v>
      </c>
      <c r="N561">
        <v>0.2898550724637681</v>
      </c>
      <c r="O561">
        <v>2</v>
      </c>
      <c r="P561">
        <v>0.08009875865888949</v>
      </c>
      <c r="Q561">
        <v>0.177270236052375</v>
      </c>
      <c r="R561" t="s">
        <v>779</v>
      </c>
      <c r="S561" t="s">
        <v>788</v>
      </c>
      <c r="T561">
        <v>13134.030207</v>
      </c>
      <c r="U561" s="2">
        <v>44435</v>
      </c>
      <c r="V561" t="s">
        <v>802</v>
      </c>
    </row>
    <row r="562" spans="1:22">
      <c r="A562" s="1" t="s">
        <v>582</v>
      </c>
      <c r="B562">
        <f>HYPERLINK("https://www.suredividend.com/sure-analysis-CODI/","Compass Diversified Holdings")</f>
        <v>0</v>
      </c>
      <c r="C562">
        <v>31.26</v>
      </c>
      <c r="D562">
        <v>24</v>
      </c>
      <c r="E562">
        <v>1.3025</v>
      </c>
      <c r="F562">
        <v>0.04606525911708253</v>
      </c>
      <c r="G562">
        <v>-0.05148445331451534</v>
      </c>
      <c r="H562">
        <v>0.04</v>
      </c>
      <c r="I562">
        <v>0.03091223451885972</v>
      </c>
      <c r="J562" t="s">
        <v>514</v>
      </c>
      <c r="K562" t="s">
        <v>366</v>
      </c>
      <c r="L562">
        <v>2.4</v>
      </c>
      <c r="M562">
        <v>1.44</v>
      </c>
      <c r="N562">
        <v>0.6</v>
      </c>
      <c r="O562">
        <v>0</v>
      </c>
      <c r="P562">
        <v>0</v>
      </c>
      <c r="Q562">
        <v>0.785219177384583</v>
      </c>
      <c r="R562" t="s">
        <v>779</v>
      </c>
      <c r="S562" t="s">
        <v>786</v>
      </c>
      <c r="T562">
        <v>2080.744427</v>
      </c>
      <c r="U562" s="2">
        <v>44504</v>
      </c>
      <c r="V562" t="s">
        <v>797</v>
      </c>
    </row>
    <row r="563" spans="1:22">
      <c r="A563" s="1" t="s">
        <v>583</v>
      </c>
      <c r="B563">
        <f>HYPERLINK("https://www.suredividend.com/sure-analysis-TJX/","TJX Companies, Inc.")</f>
        <v>0</v>
      </c>
      <c r="C563">
        <v>73.55</v>
      </c>
      <c r="D563">
        <v>51</v>
      </c>
      <c r="E563">
        <v>1.442156862745098</v>
      </c>
      <c r="F563">
        <v>0.0141400407885792</v>
      </c>
      <c r="G563">
        <v>-0.07061106028989772</v>
      </c>
      <c r="H563">
        <v>0.09</v>
      </c>
      <c r="I563">
        <v>0.0304256558777809</v>
      </c>
      <c r="J563" t="s">
        <v>514</v>
      </c>
      <c r="K563" t="s">
        <v>777</v>
      </c>
      <c r="L563">
        <v>2.36</v>
      </c>
      <c r="M563">
        <v>1.04</v>
      </c>
      <c r="N563">
        <v>0.440677966101695</v>
      </c>
      <c r="O563">
        <v>0</v>
      </c>
      <c r="P563">
        <v>0.09935163429189564</v>
      </c>
      <c r="Q563">
        <v>0.154588617583637</v>
      </c>
      <c r="R563" t="s">
        <v>779</v>
      </c>
      <c r="S563" t="s">
        <v>788</v>
      </c>
      <c r="T563">
        <v>83576.47419199999</v>
      </c>
      <c r="U563" s="2">
        <v>44429</v>
      </c>
      <c r="V563" t="s">
        <v>803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203.66</v>
      </c>
      <c r="D564">
        <v>145</v>
      </c>
      <c r="E564">
        <v>1.404551724137931</v>
      </c>
      <c r="F564">
        <v>0.01767651968967888</v>
      </c>
      <c r="G564">
        <v>-0.06568686895782272</v>
      </c>
      <c r="H564">
        <v>0.075</v>
      </c>
      <c r="I564">
        <v>0.02490900695040166</v>
      </c>
      <c r="J564" t="s">
        <v>514</v>
      </c>
      <c r="K564" t="s">
        <v>777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0.425294293513947</v>
      </c>
      <c r="R564" t="s">
        <v>781</v>
      </c>
      <c r="S564" t="s">
        <v>793</v>
      </c>
      <c r="T564">
        <v>8301.219063</v>
      </c>
      <c r="U564" s="2">
        <v>44500</v>
      </c>
      <c r="V564" t="s">
        <v>794</v>
      </c>
    </row>
    <row r="565" spans="1:22">
      <c r="A565" s="1" t="s">
        <v>585</v>
      </c>
      <c r="B565">
        <f>HYPERLINK("https://www.suredividend.com/sure-analysis-KTB/","Kontoor Brands Inc")</f>
        <v>0</v>
      </c>
      <c r="C565">
        <v>60</v>
      </c>
      <c r="D565">
        <v>50</v>
      </c>
      <c r="E565">
        <v>1.2</v>
      </c>
      <c r="F565">
        <v>0.03066666666666667</v>
      </c>
      <c r="G565">
        <v>-0.03580749599737276</v>
      </c>
      <c r="H565">
        <v>0.03</v>
      </c>
      <c r="I565">
        <v>0.02452164559733072</v>
      </c>
      <c r="J565" t="s">
        <v>514</v>
      </c>
      <c r="K565" t="s">
        <v>514</v>
      </c>
      <c r="L565">
        <v>4.18</v>
      </c>
      <c r="M565">
        <v>1.84</v>
      </c>
      <c r="N565">
        <v>0.4401913875598087</v>
      </c>
      <c r="O565">
        <v>1</v>
      </c>
      <c r="P565">
        <v>0.01984845658885503</v>
      </c>
      <c r="Q565">
        <v>0.582082353337776</v>
      </c>
      <c r="R565" t="s">
        <v>779</v>
      </c>
      <c r="S565" t="s">
        <v>788</v>
      </c>
      <c r="T565">
        <v>3496.939028</v>
      </c>
      <c r="U565" s="2">
        <v>44511</v>
      </c>
      <c r="V565" t="s">
        <v>797</v>
      </c>
    </row>
    <row r="566" spans="1:22">
      <c r="A566" s="1" t="s">
        <v>586</v>
      </c>
      <c r="B566">
        <f>HYPERLINK("https://www.suredividend.com/sure-analysis-PLD/","Prologis Inc")</f>
        <v>0</v>
      </c>
      <c r="C566">
        <v>150.38</v>
      </c>
      <c r="D566">
        <v>99</v>
      </c>
      <c r="E566">
        <v>1.518989898989899</v>
      </c>
      <c r="F566">
        <v>0.01675754754621625</v>
      </c>
      <c r="G566">
        <v>-0.08020928155079809</v>
      </c>
      <c r="H566">
        <v>0.09</v>
      </c>
      <c r="I566">
        <v>0.02275122300625365</v>
      </c>
      <c r="J566" t="s">
        <v>514</v>
      </c>
      <c r="K566" t="s">
        <v>777</v>
      </c>
      <c r="L566">
        <v>4.21</v>
      </c>
      <c r="M566">
        <v>2.52</v>
      </c>
      <c r="N566">
        <v>0.5985748218527316</v>
      </c>
      <c r="O566">
        <v>8</v>
      </c>
      <c r="P566">
        <v>0.07984205343909734</v>
      </c>
      <c r="Q566">
        <v>0.479353190006868</v>
      </c>
      <c r="R566" t="s">
        <v>781</v>
      </c>
      <c r="S566" t="s">
        <v>793</v>
      </c>
      <c r="T566">
        <v>110507.20669</v>
      </c>
      <c r="U566" s="2">
        <v>44486</v>
      </c>
      <c r="V566" t="s">
        <v>794</v>
      </c>
    </row>
    <row r="567" spans="1:22">
      <c r="A567" s="1" t="s">
        <v>587</v>
      </c>
      <c r="B567">
        <f>HYPERLINK("https://www.suredividend.com/sure-analysis-PLYM/","Plymouth Industrial Reit Inc")</f>
        <v>0</v>
      </c>
      <c r="C567">
        <v>29.07</v>
      </c>
      <c r="D567">
        <v>20</v>
      </c>
      <c r="E567">
        <v>1.4535</v>
      </c>
      <c r="F567">
        <v>0.02889576883384933</v>
      </c>
      <c r="G567">
        <v>-0.0720662030213316</v>
      </c>
      <c r="H567">
        <v>0.07000000000000001</v>
      </c>
      <c r="I567">
        <v>0.02173980398018416</v>
      </c>
      <c r="J567" t="s">
        <v>514</v>
      </c>
      <c r="K567" t="s">
        <v>514</v>
      </c>
      <c r="L567">
        <v>1.39</v>
      </c>
      <c r="M567">
        <v>0.84</v>
      </c>
      <c r="N567">
        <v>0.6043165467625899</v>
      </c>
      <c r="O567">
        <v>0</v>
      </c>
      <c r="P567">
        <v>0.009347419909568888</v>
      </c>
      <c r="Q567">
        <v>1.265735782972886</v>
      </c>
      <c r="R567" t="s">
        <v>781</v>
      </c>
      <c r="S567" t="s">
        <v>793</v>
      </c>
      <c r="T567">
        <v>1011.863621</v>
      </c>
      <c r="U567" s="2">
        <v>44513</v>
      </c>
      <c r="V567" t="s">
        <v>801</v>
      </c>
    </row>
    <row r="568" spans="1:22">
      <c r="A568" s="1" t="s">
        <v>588</v>
      </c>
      <c r="B568">
        <f>HYPERLINK("https://www.suredividend.com/sure-analysis-SKT/","Tanger Factory Outlet Centers, Inc.")</f>
        <v>0</v>
      </c>
      <c r="C568">
        <v>20.8</v>
      </c>
      <c r="D568">
        <v>18</v>
      </c>
      <c r="E568">
        <v>1.155555555555556</v>
      </c>
      <c r="F568">
        <v>0.03509615384615385</v>
      </c>
      <c r="G568">
        <v>-0.02850217188062054</v>
      </c>
      <c r="H568">
        <v>0.015</v>
      </c>
      <c r="I568">
        <v>0.02172969055114238</v>
      </c>
      <c r="J568" t="s">
        <v>514</v>
      </c>
      <c r="K568" t="s">
        <v>366</v>
      </c>
      <c r="L568">
        <v>1.69</v>
      </c>
      <c r="M568">
        <v>0.73</v>
      </c>
      <c r="N568">
        <v>0.4319526627218935</v>
      </c>
      <c r="O568">
        <v>1</v>
      </c>
      <c r="P568">
        <v>0.01072631497080168</v>
      </c>
      <c r="Q568">
        <v>1.366756385358817</v>
      </c>
      <c r="R568" t="s">
        <v>781</v>
      </c>
      <c r="S568" t="s">
        <v>793</v>
      </c>
      <c r="T568">
        <v>2167.037689</v>
      </c>
      <c r="U568" s="2">
        <v>44511</v>
      </c>
      <c r="V568" t="s">
        <v>801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8.640000000000001</v>
      </c>
      <c r="D569">
        <v>7</v>
      </c>
      <c r="E569">
        <v>1.234285714285714</v>
      </c>
      <c r="F569">
        <v>0.03125</v>
      </c>
      <c r="G569">
        <v>-0.04122465074772652</v>
      </c>
      <c r="H569">
        <v>0.03</v>
      </c>
      <c r="I569">
        <v>0.01840524517184217</v>
      </c>
      <c r="J569" t="s">
        <v>514</v>
      </c>
      <c r="K569" t="s">
        <v>514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0.08541824614607001</v>
      </c>
      <c r="R569" t="s">
        <v>779</v>
      </c>
      <c r="S569" t="s">
        <v>783</v>
      </c>
      <c r="T569">
        <v>6500.715143</v>
      </c>
      <c r="U569" s="2">
        <v>44502</v>
      </c>
      <c r="V569" t="s">
        <v>797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18.25</v>
      </c>
      <c r="D570">
        <v>16</v>
      </c>
      <c r="E570">
        <v>1.140625</v>
      </c>
      <c r="F570">
        <v>0.02027397260273973</v>
      </c>
      <c r="G570">
        <v>-0.02597204211522364</v>
      </c>
      <c r="H570">
        <v>0.02</v>
      </c>
      <c r="I570">
        <v>0.01591317868230724</v>
      </c>
      <c r="J570" t="s">
        <v>514</v>
      </c>
      <c r="K570" t="s">
        <v>514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0.293803249953305</v>
      </c>
      <c r="R570" t="s">
        <v>779</v>
      </c>
      <c r="S570" t="s">
        <v>790</v>
      </c>
      <c r="T570">
        <v>66680.63814</v>
      </c>
      <c r="U570" s="2">
        <v>44498</v>
      </c>
      <c r="V570" t="s">
        <v>802</v>
      </c>
    </row>
    <row r="571" spans="1:22">
      <c r="A571" s="1" t="s">
        <v>591</v>
      </c>
      <c r="B571">
        <f>HYPERLINK("https://www.suredividend.com/sure-analysis-MPWR/","Monolithic Power System Inc")</f>
        <v>0</v>
      </c>
      <c r="C571">
        <v>563.55</v>
      </c>
      <c r="D571">
        <v>266</v>
      </c>
      <c r="E571">
        <v>2.118609022556391</v>
      </c>
      <c r="F571">
        <v>0.004258717061485228</v>
      </c>
      <c r="G571">
        <v>-0.1394227985442239</v>
      </c>
      <c r="H571">
        <v>0.17</v>
      </c>
      <c r="I571">
        <v>0.01416766131778857</v>
      </c>
      <c r="J571" t="s">
        <v>514</v>
      </c>
      <c r="K571" t="s">
        <v>777</v>
      </c>
      <c r="L571">
        <v>7.2</v>
      </c>
      <c r="M571">
        <v>2.4</v>
      </c>
      <c r="N571">
        <v>0.3333333333333333</v>
      </c>
      <c r="O571">
        <v>4</v>
      </c>
      <c r="P571">
        <v>0.1999209000665154</v>
      </c>
      <c r="Q571">
        <v>0.8936060180355641</v>
      </c>
      <c r="R571" t="s">
        <v>779</v>
      </c>
      <c r="S571" t="s">
        <v>785</v>
      </c>
      <c r="T571">
        <v>26548.18521</v>
      </c>
      <c r="U571" s="2">
        <v>44500</v>
      </c>
      <c r="V571" t="s">
        <v>794</v>
      </c>
    </row>
    <row r="572" spans="1:22">
      <c r="A572" s="1" t="s">
        <v>592</v>
      </c>
      <c r="B572">
        <f>HYPERLINK("https://www.suredividend.com/sure-analysis-RGA/","Reinsurance Group Of America, Inc.")</f>
        <v>0</v>
      </c>
      <c r="C572">
        <v>111.78</v>
      </c>
      <c r="D572">
        <v>50</v>
      </c>
      <c r="E572">
        <v>2.2356</v>
      </c>
      <c r="F572">
        <v>0.02612274109858651</v>
      </c>
      <c r="G572">
        <v>-0.1486244383153976</v>
      </c>
      <c r="H572">
        <v>0.15</v>
      </c>
      <c r="I572">
        <v>0.01363033132042846</v>
      </c>
      <c r="J572" t="s">
        <v>514</v>
      </c>
      <c r="K572" t="s">
        <v>514</v>
      </c>
      <c r="L572">
        <v>4.2</v>
      </c>
      <c r="M572">
        <v>2.92</v>
      </c>
      <c r="N572">
        <v>0.6952380952380952</v>
      </c>
      <c r="O572">
        <v>11</v>
      </c>
      <c r="P572">
        <v>0.08986498009382693</v>
      </c>
      <c r="Q572">
        <v>-0.01329636320154</v>
      </c>
      <c r="R572" t="s">
        <v>779</v>
      </c>
      <c r="S572" t="s">
        <v>790</v>
      </c>
      <c r="T572">
        <v>7558.372883</v>
      </c>
      <c r="U572" s="2">
        <v>44511</v>
      </c>
      <c r="V572" t="s">
        <v>801</v>
      </c>
    </row>
    <row r="573" spans="1:22">
      <c r="A573" s="1" t="s">
        <v>593</v>
      </c>
      <c r="B573">
        <f>HYPERLINK("https://www.suredividend.com/sure-analysis-BRX/","Brixmor Property Group Inc")</f>
        <v>0</v>
      </c>
      <c r="C573">
        <v>24.73</v>
      </c>
      <c r="D573">
        <v>20</v>
      </c>
      <c r="E573">
        <v>1.2365</v>
      </c>
      <c r="F573">
        <v>0.03881924787707238</v>
      </c>
      <c r="G573">
        <v>-0.04156828599525242</v>
      </c>
      <c r="H573">
        <v>0.006</v>
      </c>
      <c r="I573">
        <v>0.01197547273131083</v>
      </c>
      <c r="J573" t="s">
        <v>514</v>
      </c>
      <c r="K573" t="s">
        <v>366</v>
      </c>
      <c r="L573">
        <v>1.73</v>
      </c>
      <c r="M573">
        <v>0.96</v>
      </c>
      <c r="N573">
        <v>0.5549132947976878</v>
      </c>
      <c r="O573">
        <v>1</v>
      </c>
      <c r="P573">
        <v>0.054211515856875</v>
      </c>
      <c r="Q573">
        <v>0.548527946486935</v>
      </c>
      <c r="R573" t="s">
        <v>781</v>
      </c>
      <c r="S573" t="s">
        <v>793</v>
      </c>
      <c r="T573">
        <v>7246.518058</v>
      </c>
      <c r="U573" s="2">
        <v>44421</v>
      </c>
      <c r="V573" t="s">
        <v>803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207.27</v>
      </c>
      <c r="D574">
        <v>140</v>
      </c>
      <c r="E574">
        <v>1.4805</v>
      </c>
      <c r="F574">
        <v>0.02161431948665991</v>
      </c>
      <c r="G574">
        <v>-0.07547572744876518</v>
      </c>
      <c r="H574">
        <v>0.06</v>
      </c>
      <c r="I574">
        <v>0.00653742484838804</v>
      </c>
      <c r="J574" t="s">
        <v>514</v>
      </c>
      <c r="K574" t="s">
        <v>514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0.278469853479989</v>
      </c>
      <c r="R574" t="s">
        <v>781</v>
      </c>
      <c r="S574" t="s">
        <v>793</v>
      </c>
      <c r="T574">
        <v>31956.747638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HYPERLINK("https://www.suredividend.com/sure-analysis-DRE/","Duke Realty Corp")</f>
        <v>0</v>
      </c>
      <c r="C575">
        <v>58.13</v>
      </c>
      <c r="D575">
        <v>38</v>
      </c>
      <c r="E575">
        <v>1.529736842105263</v>
      </c>
      <c r="F575">
        <v>0.01926715981420953</v>
      </c>
      <c r="G575">
        <v>-0.08150529979438881</v>
      </c>
      <c r="H575">
        <v>0.07000000000000001</v>
      </c>
      <c r="I575">
        <v>0.00632789359610153</v>
      </c>
      <c r="J575" t="s">
        <v>514</v>
      </c>
      <c r="K575" t="s">
        <v>777</v>
      </c>
      <c r="L575">
        <v>1.72</v>
      </c>
      <c r="M575">
        <v>1.12</v>
      </c>
      <c r="N575">
        <v>0.6511627906976745</v>
      </c>
      <c r="O575">
        <v>7</v>
      </c>
      <c r="P575">
        <v>0.06016789231717423</v>
      </c>
      <c r="Q575">
        <v>0.479540074399729</v>
      </c>
      <c r="R575" t="s">
        <v>781</v>
      </c>
      <c r="S575" t="s">
        <v>793</v>
      </c>
      <c r="T575">
        <v>21994.104825</v>
      </c>
      <c r="U575" s="2">
        <v>44499</v>
      </c>
      <c r="V575" t="s">
        <v>796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75</v>
      </c>
      <c r="D576">
        <v>51</v>
      </c>
      <c r="E576">
        <v>1.470588235294118</v>
      </c>
      <c r="F576">
        <v>0.02813333333333333</v>
      </c>
      <c r="G576">
        <v>-0.07423281511916258</v>
      </c>
      <c r="H576">
        <v>0.05</v>
      </c>
      <c r="I576">
        <v>0.006122113140070828</v>
      </c>
      <c r="J576" t="s">
        <v>514</v>
      </c>
      <c r="K576" t="s">
        <v>514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0.7400268155603711</v>
      </c>
      <c r="R576" t="s">
        <v>779</v>
      </c>
      <c r="S576" t="s">
        <v>790</v>
      </c>
      <c r="T576">
        <v>18688.258941</v>
      </c>
      <c r="U576" s="2">
        <v>44427</v>
      </c>
      <c r="V576" t="s">
        <v>799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21.21</v>
      </c>
      <c r="D577">
        <v>15</v>
      </c>
      <c r="E577">
        <v>1.414</v>
      </c>
      <c r="F577">
        <v>0.02828854314002829</v>
      </c>
      <c r="G577">
        <v>-0.0669388261855598</v>
      </c>
      <c r="H577">
        <v>0.03</v>
      </c>
      <c r="I577">
        <v>-0.0002233466729133493</v>
      </c>
      <c r="J577" t="s">
        <v>514</v>
      </c>
      <c r="K577" t="s">
        <v>514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1.432877216806877</v>
      </c>
      <c r="R577" t="s">
        <v>781</v>
      </c>
      <c r="S577" t="s">
        <v>793</v>
      </c>
      <c r="T577">
        <v>4503.616132</v>
      </c>
      <c r="U577" s="2">
        <v>44509</v>
      </c>
      <c r="V577" t="s">
        <v>802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84.77</v>
      </c>
      <c r="D578">
        <v>53</v>
      </c>
      <c r="E578">
        <v>1.599433962264151</v>
      </c>
      <c r="F578">
        <v>0.01710510793912941</v>
      </c>
      <c r="G578">
        <v>-0.08965347805970192</v>
      </c>
      <c r="H578">
        <v>0.07000000000000001</v>
      </c>
      <c r="I578">
        <v>-0.003618560177032992</v>
      </c>
      <c r="J578" t="s">
        <v>514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0.342697032260121</v>
      </c>
      <c r="R578" t="s">
        <v>781</v>
      </c>
      <c r="S578" t="s">
        <v>793</v>
      </c>
      <c r="T578">
        <v>15481.83549</v>
      </c>
      <c r="U578" s="2">
        <v>44493</v>
      </c>
      <c r="V578" t="s">
        <v>796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32.06</v>
      </c>
      <c r="D579">
        <v>20</v>
      </c>
      <c r="E579">
        <v>1.603</v>
      </c>
      <c r="F579">
        <v>0.01559575795383655</v>
      </c>
      <c r="G579">
        <v>-0.09005887077700958</v>
      </c>
      <c r="H579">
        <v>0.07000000000000001</v>
      </c>
      <c r="I579">
        <v>-0.005907377420605431</v>
      </c>
      <c r="J579" t="s">
        <v>514</v>
      </c>
      <c r="K579" t="s">
        <v>777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0.6584726319239591</v>
      </c>
      <c r="R579" t="s">
        <v>779</v>
      </c>
      <c r="S579" t="s">
        <v>792</v>
      </c>
      <c r="T579">
        <v>46132.585754</v>
      </c>
      <c r="U579" s="2">
        <v>44493</v>
      </c>
      <c r="V579" t="s">
        <v>802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79.59</v>
      </c>
      <c r="D580">
        <v>52</v>
      </c>
      <c r="E580">
        <v>1.530576923076923</v>
      </c>
      <c r="F580">
        <v>0.01356954391255183</v>
      </c>
      <c r="G580">
        <v>-0.08160614796064991</v>
      </c>
      <c r="H580">
        <v>0.06</v>
      </c>
      <c r="I580">
        <v>-0.009047282303996651</v>
      </c>
      <c r="J580" t="s">
        <v>514</v>
      </c>
      <c r="K580" t="s">
        <v>777</v>
      </c>
      <c r="L580">
        <v>3.27</v>
      </c>
      <c r="M580">
        <v>1.08</v>
      </c>
      <c r="N580">
        <v>0.3302752293577982</v>
      </c>
      <c r="O580">
        <v>1</v>
      </c>
      <c r="P580">
        <v>0.06069091570555463</v>
      </c>
      <c r="Q580">
        <v>0.7883270648007681</v>
      </c>
      <c r="R580" t="s">
        <v>779</v>
      </c>
      <c r="S580" t="s">
        <v>786</v>
      </c>
      <c r="T580">
        <v>56128.248558</v>
      </c>
      <c r="U580" s="2">
        <v>44511</v>
      </c>
      <c r="V580" t="s">
        <v>800</v>
      </c>
    </row>
    <row r="581" spans="1:22">
      <c r="A581" s="1" t="s">
        <v>601</v>
      </c>
      <c r="B581">
        <f>HYPERLINK("https://www.suredividend.com/sure-analysis-CNQ/","Canadian Natural Resources Ltd.")</f>
        <v>0</v>
      </c>
      <c r="C581">
        <v>41.29</v>
      </c>
      <c r="D581">
        <v>40</v>
      </c>
      <c r="E581">
        <v>1.03225</v>
      </c>
      <c r="F581">
        <v>0.03681278759990313</v>
      </c>
      <c r="G581">
        <v>-0.006328070050528489</v>
      </c>
      <c r="H581">
        <v>-0.05</v>
      </c>
      <c r="I581">
        <v>-0.0124159320552667</v>
      </c>
      <c r="J581" t="s">
        <v>514</v>
      </c>
      <c r="K581" t="s">
        <v>366</v>
      </c>
      <c r="L581">
        <v>3.3</v>
      </c>
      <c r="M581">
        <v>1.52</v>
      </c>
      <c r="N581">
        <v>0.4606060606060606</v>
      </c>
      <c r="O581">
        <v>5</v>
      </c>
      <c r="P581">
        <v>0.01031145931793609</v>
      </c>
      <c r="Q581">
        <v>1.089240262630203</v>
      </c>
      <c r="R581" t="s">
        <v>779</v>
      </c>
      <c r="S581" t="s">
        <v>792</v>
      </c>
      <c r="T581">
        <v>49180.009844</v>
      </c>
      <c r="U581" s="2">
        <v>44439</v>
      </c>
      <c r="V581" t="s">
        <v>802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123.75</v>
      </c>
      <c r="D582">
        <v>72</v>
      </c>
      <c r="E582">
        <v>1.71875</v>
      </c>
      <c r="F582">
        <v>0.006464646464646465</v>
      </c>
      <c r="G582">
        <v>-0.1026591107300807</v>
      </c>
      <c r="H582">
        <v>0.09</v>
      </c>
      <c r="I582">
        <v>-0.01285615914125326</v>
      </c>
      <c r="J582" t="s">
        <v>514</v>
      </c>
      <c r="K582" t="s">
        <v>777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0.530801556688843</v>
      </c>
      <c r="R582" t="s">
        <v>779</v>
      </c>
      <c r="S582" t="s">
        <v>786</v>
      </c>
      <c r="T582">
        <v>6471.207063</v>
      </c>
      <c r="U582" s="2">
        <v>44501</v>
      </c>
      <c r="V582" t="s">
        <v>801</v>
      </c>
    </row>
    <row r="583" spans="1:22">
      <c r="A583" s="1" t="s">
        <v>603</v>
      </c>
      <c r="B583">
        <f>HYPERLINK("https://www.suredividend.com/sure-analysis-EXC/","Exelon Corp.")</f>
        <v>0</v>
      </c>
      <c r="C583">
        <v>53.58</v>
      </c>
      <c r="D583">
        <v>38</v>
      </c>
      <c r="E583">
        <v>1.41</v>
      </c>
      <c r="F583">
        <v>0.02855543113101904</v>
      </c>
      <c r="G583">
        <v>-0.06641002948790165</v>
      </c>
      <c r="H583">
        <v>0.02</v>
      </c>
      <c r="I583">
        <v>-0.01342506385349751</v>
      </c>
      <c r="J583" t="s">
        <v>514</v>
      </c>
      <c r="K583" t="s">
        <v>514</v>
      </c>
      <c r="L583">
        <v>2.8</v>
      </c>
      <c r="M583">
        <v>1.53</v>
      </c>
      <c r="N583">
        <v>0.5464285714285715</v>
      </c>
      <c r="O583">
        <v>5</v>
      </c>
      <c r="P583">
        <v>0.02009132612636422</v>
      </c>
      <c r="Q583">
        <v>0.294452822265065</v>
      </c>
      <c r="R583" t="s">
        <v>779</v>
      </c>
      <c r="S583" t="s">
        <v>791</v>
      </c>
      <c r="T583">
        <v>53047.421805</v>
      </c>
      <c r="U583" s="2">
        <v>44504</v>
      </c>
      <c r="V583" t="s">
        <v>795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61.21</v>
      </c>
      <c r="D584">
        <v>36</v>
      </c>
      <c r="E584">
        <v>1.700277777777778</v>
      </c>
      <c r="F584">
        <v>0.01764417578826989</v>
      </c>
      <c r="G584">
        <v>-0.1007177441108249</v>
      </c>
      <c r="H584">
        <v>0.07000000000000001</v>
      </c>
      <c r="I584">
        <v>-0.01429497988158124</v>
      </c>
      <c r="J584" t="s">
        <v>514</v>
      </c>
      <c r="K584" t="s">
        <v>777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0.442429434553462</v>
      </c>
      <c r="R584" t="s">
        <v>781</v>
      </c>
      <c r="S584" t="s">
        <v>793</v>
      </c>
      <c r="T584">
        <v>7870.561512</v>
      </c>
      <c r="U584" s="2">
        <v>44492</v>
      </c>
      <c r="V584" t="s">
        <v>796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171.7</v>
      </c>
      <c r="D585">
        <v>106</v>
      </c>
      <c r="E585">
        <v>1.619811320754717</v>
      </c>
      <c r="F585">
        <v>0.02958648806057076</v>
      </c>
      <c r="G585">
        <v>-0.09195553812616253</v>
      </c>
      <c r="H585">
        <v>0.046</v>
      </c>
      <c r="I585">
        <v>-0.014787116308285</v>
      </c>
      <c r="J585" t="s">
        <v>514</v>
      </c>
      <c r="K585" t="s">
        <v>514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0.397453344967247</v>
      </c>
      <c r="R585" t="s">
        <v>781</v>
      </c>
      <c r="S585" t="s">
        <v>793</v>
      </c>
      <c r="T585">
        <v>7588.306718</v>
      </c>
      <c r="U585" s="2">
        <v>44503</v>
      </c>
      <c r="V585" t="s">
        <v>804</v>
      </c>
    </row>
    <row r="586" spans="1:22">
      <c r="A586" s="1" t="s">
        <v>606</v>
      </c>
      <c r="B586">
        <f>HYPERLINK("https://www.suredividend.com/sure-analysis-TRSWF/","TransAlta Renewables, Inc.")</f>
        <v>0</v>
      </c>
      <c r="C586">
        <v>15.16</v>
      </c>
      <c r="D586">
        <v>9</v>
      </c>
      <c r="E586">
        <v>1.684444444444444</v>
      </c>
      <c r="F586">
        <v>0.05013192612137203</v>
      </c>
      <c r="G586">
        <v>-0.09903346179944761</v>
      </c>
      <c r="H586">
        <v>0.02</v>
      </c>
      <c r="I586">
        <v>-0.018672279144333</v>
      </c>
      <c r="J586" t="s">
        <v>514</v>
      </c>
      <c r="K586" t="s">
        <v>366</v>
      </c>
      <c r="L586">
        <v>0.8</v>
      </c>
      <c r="M586">
        <v>0.76</v>
      </c>
      <c r="N586">
        <v>0.95</v>
      </c>
      <c r="O586">
        <v>0</v>
      </c>
      <c r="P586">
        <v>0.005208615197356048</v>
      </c>
      <c r="Q586">
        <v>0.1638598158052</v>
      </c>
      <c r="R586" t="s">
        <v>779</v>
      </c>
      <c r="S586" t="s">
        <v>791</v>
      </c>
      <c r="T586">
        <v>4053.660226</v>
      </c>
      <c r="U586" s="2">
        <v>44515</v>
      </c>
      <c r="V586" t="s">
        <v>801</v>
      </c>
    </row>
    <row r="587" spans="1:22">
      <c r="A587" s="1" t="s">
        <v>607</v>
      </c>
      <c r="B587">
        <f>HYPERLINK("https://www.suredividend.com/sure-analysis-CF/","CF Industries Holdings Inc")</f>
        <v>0</v>
      </c>
      <c r="C587">
        <v>65.28</v>
      </c>
      <c r="D587">
        <v>53</v>
      </c>
      <c r="E587">
        <v>1.231698113207547</v>
      </c>
      <c r="F587">
        <v>0.01838235294117647</v>
      </c>
      <c r="G587">
        <v>-0.04082214206294899</v>
      </c>
      <c r="H587">
        <v>0</v>
      </c>
      <c r="I587">
        <v>-0.02002640675607659</v>
      </c>
      <c r="J587" t="s">
        <v>514</v>
      </c>
      <c r="K587" t="s">
        <v>514</v>
      </c>
      <c r="L587">
        <v>4.3</v>
      </c>
      <c r="M587">
        <v>1.2</v>
      </c>
      <c r="N587">
        <v>0.2790697674418605</v>
      </c>
      <c r="O587">
        <v>0</v>
      </c>
      <c r="P587">
        <v>0</v>
      </c>
      <c r="Q587">
        <v>1.06889796743729</v>
      </c>
      <c r="R587" t="s">
        <v>779</v>
      </c>
      <c r="S587" t="s">
        <v>787</v>
      </c>
      <c r="T587">
        <v>14043.851811</v>
      </c>
      <c r="U587" s="2">
        <v>44427</v>
      </c>
      <c r="V587" t="s">
        <v>799</v>
      </c>
    </row>
    <row r="588" spans="1:22">
      <c r="A588" s="1" t="s">
        <v>608</v>
      </c>
      <c r="B588">
        <f>HYPERLINK("https://www.suredividend.com/sure-analysis-TRGP/","Targa Resources Corp")</f>
        <v>0</v>
      </c>
      <c r="C588">
        <v>54.62</v>
      </c>
      <c r="D588">
        <v>36</v>
      </c>
      <c r="E588">
        <v>1.517222222222222</v>
      </c>
      <c r="F588">
        <v>0.02563163676309044</v>
      </c>
      <c r="G588">
        <v>-0.07999505643924976</v>
      </c>
      <c r="H588">
        <v>0.03</v>
      </c>
      <c r="I588">
        <v>-0.02019446660978741</v>
      </c>
      <c r="J588" t="s">
        <v>514</v>
      </c>
      <c r="K588" t="s">
        <v>514</v>
      </c>
      <c r="L588">
        <v>5.2</v>
      </c>
      <c r="M588">
        <v>1.4</v>
      </c>
      <c r="N588">
        <v>0.2692307692307692</v>
      </c>
      <c r="O588">
        <v>0</v>
      </c>
      <c r="P588">
        <v>0.02706608708935176</v>
      </c>
      <c r="Q588">
        <v>1.560920207758632</v>
      </c>
      <c r="R588" t="s">
        <v>779</v>
      </c>
      <c r="S588" t="s">
        <v>792</v>
      </c>
      <c r="T588">
        <v>12520.174196</v>
      </c>
      <c r="U588" s="2">
        <v>44515</v>
      </c>
      <c r="V588" t="s">
        <v>802</v>
      </c>
    </row>
    <row r="589" spans="1:22">
      <c r="A589" s="1" t="s">
        <v>609</v>
      </c>
      <c r="B589">
        <f>HYPERLINK("https://www.suredividend.com/sure-analysis-AMH/","American Homes 4 Rent")</f>
        <v>0</v>
      </c>
      <c r="C589">
        <v>39.87</v>
      </c>
      <c r="D589">
        <v>29</v>
      </c>
      <c r="E589">
        <v>1.374827586206896</v>
      </c>
      <c r="F589">
        <v>0.01003260596940055</v>
      </c>
      <c r="G589">
        <v>-0.06168134133918257</v>
      </c>
      <c r="H589">
        <v>0.03</v>
      </c>
      <c r="I589">
        <v>-0.0222969478586601</v>
      </c>
      <c r="J589" t="s">
        <v>514</v>
      </c>
      <c r="K589" t="s">
        <v>777</v>
      </c>
      <c r="L589">
        <v>1.36</v>
      </c>
      <c r="M589">
        <v>0.4</v>
      </c>
      <c r="N589">
        <v>0.2941176470588235</v>
      </c>
      <c r="O589">
        <v>1</v>
      </c>
      <c r="P589">
        <v>0</v>
      </c>
      <c r="Q589">
        <v>0.350087250536599</v>
      </c>
      <c r="R589" t="s">
        <v>781</v>
      </c>
      <c r="S589" t="s">
        <v>793</v>
      </c>
      <c r="T589">
        <v>13246.956547</v>
      </c>
      <c r="U589" s="2">
        <v>44506</v>
      </c>
      <c r="V589" t="s">
        <v>795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204.29</v>
      </c>
      <c r="D590">
        <v>118</v>
      </c>
      <c r="E590">
        <v>1.731271186440678</v>
      </c>
      <c r="F590">
        <v>0.02006950903127906</v>
      </c>
      <c r="G590">
        <v>-0.1039608615960349</v>
      </c>
      <c r="H590">
        <v>0.06</v>
      </c>
      <c r="I590">
        <v>-0.0232651443328542</v>
      </c>
      <c r="J590" t="s">
        <v>514</v>
      </c>
      <c r="K590" t="s">
        <v>777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0.5866649703348801</v>
      </c>
      <c r="R590" t="s">
        <v>781</v>
      </c>
      <c r="S590" t="s">
        <v>793</v>
      </c>
      <c r="T590">
        <v>23549.241203</v>
      </c>
      <c r="U590" s="2">
        <v>44509</v>
      </c>
      <c r="V590" t="s">
        <v>802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9.609999999999999</v>
      </c>
      <c r="D591">
        <v>4.25</v>
      </c>
      <c r="E591">
        <v>2.261176470588235</v>
      </c>
      <c r="F591">
        <v>0.03537981269510927</v>
      </c>
      <c r="G591">
        <v>-0.1505592166990755</v>
      </c>
      <c r="H591">
        <v>0.08</v>
      </c>
      <c r="I591">
        <v>-0.02655494864823071</v>
      </c>
      <c r="J591" t="s">
        <v>514</v>
      </c>
      <c r="K591" t="s">
        <v>366</v>
      </c>
      <c r="L591">
        <v>0.85</v>
      </c>
      <c r="M591">
        <v>0.34</v>
      </c>
      <c r="N591">
        <v>0.4</v>
      </c>
      <c r="O591">
        <v>0</v>
      </c>
      <c r="P591">
        <v>0.0801851873035635</v>
      </c>
      <c r="Q591">
        <v>0.896265560165975</v>
      </c>
      <c r="R591" t="s">
        <v>779</v>
      </c>
      <c r="S591" t="s">
        <v>792</v>
      </c>
      <c r="T591">
        <v>108187.953953</v>
      </c>
      <c r="U591" s="2">
        <v>44442</v>
      </c>
      <c r="V591" t="s">
        <v>802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38.46</v>
      </c>
      <c r="D592">
        <v>22</v>
      </c>
      <c r="E592">
        <v>1.748181818181818</v>
      </c>
      <c r="F592">
        <v>0.03536141445657826</v>
      </c>
      <c r="G592">
        <v>-0.1057011337306335</v>
      </c>
      <c r="H592">
        <v>0.03</v>
      </c>
      <c r="I592">
        <v>-0.02777979752356841</v>
      </c>
      <c r="J592" t="s">
        <v>514</v>
      </c>
      <c r="K592" t="s">
        <v>366</v>
      </c>
      <c r="L592">
        <v>2.8</v>
      </c>
      <c r="M592">
        <v>1.36</v>
      </c>
      <c r="N592">
        <v>0.4857142857142858</v>
      </c>
      <c r="O592">
        <v>2</v>
      </c>
      <c r="P592">
        <v>0.0505145404837426</v>
      </c>
      <c r="Q592">
        <v>0.33009264151608</v>
      </c>
      <c r="R592" t="s">
        <v>779</v>
      </c>
      <c r="S592" t="s">
        <v>791</v>
      </c>
      <c r="T592">
        <v>4301.339203</v>
      </c>
      <c r="U592" s="2">
        <v>44515</v>
      </c>
      <c r="V592" t="s">
        <v>801</v>
      </c>
    </row>
    <row r="593" spans="1:22">
      <c r="A593" s="1" t="s">
        <v>613</v>
      </c>
      <c r="B593">
        <f>HYPERLINK("https://www.suredividend.com/sure-analysis-CME/","CME Group Inc")</f>
        <v>0</v>
      </c>
      <c r="C593">
        <v>226.42</v>
      </c>
      <c r="D593">
        <v>133</v>
      </c>
      <c r="E593">
        <v>1.702406015037594</v>
      </c>
      <c r="F593">
        <v>0.01589965550746401</v>
      </c>
      <c r="G593">
        <v>-0.1009427014655295</v>
      </c>
      <c r="H593">
        <v>0.054</v>
      </c>
      <c r="I593">
        <v>-0.03112387524850169</v>
      </c>
      <c r="J593" t="s">
        <v>514</v>
      </c>
      <c r="K593" t="s">
        <v>777</v>
      </c>
      <c r="L593">
        <v>6.65</v>
      </c>
      <c r="M593">
        <v>3.6</v>
      </c>
      <c r="N593">
        <v>0.5413533834586466</v>
      </c>
      <c r="O593">
        <v>17</v>
      </c>
      <c r="P593">
        <v>0.04047680696561917</v>
      </c>
      <c r="Q593">
        <v>0.3800391518685201</v>
      </c>
      <c r="R593" t="s">
        <v>779</v>
      </c>
      <c r="S593" t="s">
        <v>790</v>
      </c>
      <c r="T593">
        <v>81101.33949699999</v>
      </c>
      <c r="U593" s="2">
        <v>44503</v>
      </c>
      <c r="V593" t="s">
        <v>804</v>
      </c>
    </row>
    <row r="594" spans="1:22">
      <c r="A594" s="1" t="s">
        <v>614</v>
      </c>
      <c r="B594">
        <f>HYPERLINK("https://www.suredividend.com/sure-analysis-ACN/","Accenture plc")</f>
        <v>0</v>
      </c>
      <c r="C594">
        <v>372.78</v>
      </c>
      <c r="D594">
        <v>201</v>
      </c>
      <c r="E594">
        <v>1.854626865671642</v>
      </c>
      <c r="F594">
        <v>0.01040828370620741</v>
      </c>
      <c r="G594">
        <v>-0.116210798877135</v>
      </c>
      <c r="H594">
        <v>0.075</v>
      </c>
      <c r="I594">
        <v>-0.034265384243922</v>
      </c>
      <c r="J594" t="s">
        <v>514</v>
      </c>
      <c r="K594" t="s">
        <v>777</v>
      </c>
      <c r="L594">
        <v>10.04</v>
      </c>
      <c r="M594">
        <v>3.88</v>
      </c>
      <c r="N594">
        <v>0.3864541832669323</v>
      </c>
      <c r="O594">
        <v>11</v>
      </c>
      <c r="P594">
        <v>0.07996237680867235</v>
      </c>
      <c r="Q594">
        <v>0.533977629286259</v>
      </c>
      <c r="R594" t="s">
        <v>779</v>
      </c>
      <c r="S594" t="s">
        <v>785</v>
      </c>
      <c r="T594">
        <v>243755.427624</v>
      </c>
      <c r="U594" s="2">
        <v>44476</v>
      </c>
      <c r="V594" t="s">
        <v>797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45.06</v>
      </c>
      <c r="D595">
        <v>42</v>
      </c>
      <c r="E595">
        <v>1.072857142857143</v>
      </c>
      <c r="F595">
        <v>0.0133155792276964</v>
      </c>
      <c r="G595">
        <v>-0.01396661245387409</v>
      </c>
      <c r="H595">
        <v>-0.04</v>
      </c>
      <c r="I595">
        <v>-0.03645870445374277</v>
      </c>
      <c r="J595" t="s">
        <v>514</v>
      </c>
      <c r="K595" t="s">
        <v>777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0.012519203146025</v>
      </c>
      <c r="R595" t="s">
        <v>779</v>
      </c>
      <c r="S595" t="s">
        <v>787</v>
      </c>
      <c r="T595">
        <v>20101.636261</v>
      </c>
      <c r="U595" s="2">
        <v>44428</v>
      </c>
      <c r="V595" t="s">
        <v>799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166.5</v>
      </c>
      <c r="D596">
        <v>97</v>
      </c>
      <c r="E596">
        <v>1.716494845360825</v>
      </c>
      <c r="F596">
        <v>0.01993993993993994</v>
      </c>
      <c r="G596">
        <v>-0.1024234467737796</v>
      </c>
      <c r="H596">
        <v>0.04</v>
      </c>
      <c r="I596">
        <v>-0.03864713299885869</v>
      </c>
      <c r="J596" t="s">
        <v>514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0.6679820408476731</v>
      </c>
      <c r="R596" t="s">
        <v>781</v>
      </c>
      <c r="S596" t="s">
        <v>793</v>
      </c>
      <c r="T596">
        <v>16868.683532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173.1</v>
      </c>
      <c r="D597">
        <v>100</v>
      </c>
      <c r="E597">
        <v>1.731</v>
      </c>
      <c r="F597">
        <v>0.01756210283073368</v>
      </c>
      <c r="G597">
        <v>-0.1039327878307339</v>
      </c>
      <c r="H597">
        <v>0.04</v>
      </c>
      <c r="I597">
        <v>-0.04392783981268766</v>
      </c>
      <c r="J597" t="s">
        <v>514</v>
      </c>
      <c r="K597" t="s">
        <v>777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0.5084880661929421</v>
      </c>
      <c r="R597" t="s">
        <v>779</v>
      </c>
      <c r="S597" t="s">
        <v>786</v>
      </c>
      <c r="T597">
        <v>69276.67999999999</v>
      </c>
      <c r="U597" s="2">
        <v>44502</v>
      </c>
      <c r="V597" t="s">
        <v>795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23.83</v>
      </c>
      <c r="D598">
        <v>12.6</v>
      </c>
      <c r="E598">
        <v>1.891269841269841</v>
      </c>
      <c r="F598">
        <v>0.02853545950482585</v>
      </c>
      <c r="G598">
        <v>-0.1196623002707563</v>
      </c>
      <c r="H598">
        <v>0.035</v>
      </c>
      <c r="I598">
        <v>-0.04428832391774318</v>
      </c>
      <c r="J598" t="s">
        <v>514</v>
      </c>
      <c r="K598" t="s">
        <v>514</v>
      </c>
      <c r="L598">
        <v>1.26</v>
      </c>
      <c r="M598">
        <v>0.68</v>
      </c>
      <c r="N598">
        <v>0.5396825396825398</v>
      </c>
      <c r="O598">
        <v>0</v>
      </c>
      <c r="P598">
        <v>0.0576615571948691</v>
      </c>
      <c r="Q598">
        <v>0.6025946122360171</v>
      </c>
      <c r="R598" t="s">
        <v>781</v>
      </c>
      <c r="S598" t="s">
        <v>793</v>
      </c>
      <c r="T598">
        <v>14529.209327</v>
      </c>
      <c r="U598" s="2">
        <v>44509</v>
      </c>
      <c r="V598" t="s">
        <v>804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37.96</v>
      </c>
      <c r="D599">
        <v>20</v>
      </c>
      <c r="E599">
        <v>1.898</v>
      </c>
      <c r="F599">
        <v>0.01580611169652265</v>
      </c>
      <c r="G599">
        <v>-0.1202875093272848</v>
      </c>
      <c r="H599">
        <v>0.05</v>
      </c>
      <c r="I599">
        <v>-0.0555438215779378</v>
      </c>
      <c r="J599" t="s">
        <v>514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0.6593610312207631</v>
      </c>
      <c r="R599" t="s">
        <v>779</v>
      </c>
      <c r="S599" t="s">
        <v>783</v>
      </c>
      <c r="T599">
        <v>1254.797963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4.45</v>
      </c>
      <c r="D600">
        <v>6.3</v>
      </c>
      <c r="E600">
        <v>0.7063492063492064</v>
      </c>
      <c r="F600">
        <v>0.1078651685393258</v>
      </c>
      <c r="G600">
        <v>0.07200326402548507</v>
      </c>
      <c r="H600">
        <v>0.02</v>
      </c>
      <c r="I600">
        <v>0.1602279925308301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0.120193763245534</v>
      </c>
      <c r="R600" t="s">
        <v>779</v>
      </c>
      <c r="S600" t="s">
        <v>783</v>
      </c>
      <c r="T600">
        <v>25032.957571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48.14</v>
      </c>
      <c r="D601">
        <v>77</v>
      </c>
      <c r="E601">
        <v>0.6251948051948052</v>
      </c>
      <c r="F601">
        <v>0.09347735770668883</v>
      </c>
      <c r="G601">
        <v>0.09849207441395169</v>
      </c>
      <c r="H601">
        <v>0</v>
      </c>
      <c r="I601">
        <v>0.1583473928235197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0.13380321030874</v>
      </c>
      <c r="R601" t="s">
        <v>779</v>
      </c>
      <c r="S601" t="s">
        <v>792</v>
      </c>
      <c r="T601">
        <v>12427.595942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59.43</v>
      </c>
      <c r="D602">
        <v>80</v>
      </c>
      <c r="E602">
        <v>0.742875</v>
      </c>
      <c r="F602">
        <v>0.05384485949856975</v>
      </c>
      <c r="G602">
        <v>0.06124791827064224</v>
      </c>
      <c r="H602">
        <v>0.05</v>
      </c>
      <c r="I602">
        <v>0.1521510690474408</v>
      </c>
      <c r="J602" t="s">
        <v>777</v>
      </c>
      <c r="K602" t="s">
        <v>366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0.143663120687897</v>
      </c>
      <c r="R602" t="s">
        <v>779</v>
      </c>
      <c r="S602" t="s">
        <v>787</v>
      </c>
      <c r="T602">
        <v>46825.532463</v>
      </c>
      <c r="U602" s="2">
        <v>44498</v>
      </c>
      <c r="V602" t="s">
        <v>801</v>
      </c>
    </row>
    <row r="603" spans="1:22">
      <c r="A603" s="1" t="s">
        <v>623</v>
      </c>
      <c r="B603">
        <f>HYPERLINK("https://www.suredividend.com/sure-analysis-APAM/","Artisan Partners Asset Management Inc")</f>
        <v>0</v>
      </c>
      <c r="C603">
        <v>49.59</v>
      </c>
      <c r="D603">
        <v>61</v>
      </c>
      <c r="E603">
        <v>0.8129508196721312</v>
      </c>
      <c r="F603">
        <v>0.08066142367412785</v>
      </c>
      <c r="G603">
        <v>0.0422865783594164</v>
      </c>
      <c r="H603">
        <v>0.05</v>
      </c>
      <c r="I603">
        <v>0.149981532118705</v>
      </c>
      <c r="J603" t="s">
        <v>777</v>
      </c>
      <c r="K603" t="s">
        <v>366</v>
      </c>
      <c r="L603">
        <v>5.1</v>
      </c>
      <c r="M603">
        <v>4</v>
      </c>
      <c r="N603">
        <v>0.7843137254901962</v>
      </c>
      <c r="O603">
        <v>2</v>
      </c>
      <c r="P603">
        <v>0.03012896281839894</v>
      </c>
      <c r="Q603">
        <v>0.16816698246114</v>
      </c>
      <c r="R603" t="s">
        <v>779</v>
      </c>
      <c r="S603" t="s">
        <v>790</v>
      </c>
      <c r="T603">
        <v>3260.79455</v>
      </c>
      <c r="U603" s="2">
        <v>44424</v>
      </c>
      <c r="V603" t="s">
        <v>799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11.06</v>
      </c>
      <c r="D604">
        <v>15</v>
      </c>
      <c r="E604">
        <v>0.7373333333333334</v>
      </c>
      <c r="F604">
        <v>0.09764918625678119</v>
      </c>
      <c r="G604">
        <v>0.06283837425381056</v>
      </c>
      <c r="H604">
        <v>0.02</v>
      </c>
      <c r="I604">
        <v>0.1489051137707862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-0.021826217874783</v>
      </c>
      <c r="R604" t="s">
        <v>779</v>
      </c>
      <c r="S604" t="s">
        <v>783</v>
      </c>
      <c r="T604">
        <v>29545.197229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29.45</v>
      </c>
      <c r="D605">
        <v>40</v>
      </c>
      <c r="E605">
        <v>0.73625</v>
      </c>
      <c r="F605">
        <v>0.09100169779286928</v>
      </c>
      <c r="G605">
        <v>0.06315096675749388</v>
      </c>
      <c r="H605">
        <v>0.02</v>
      </c>
      <c r="I605">
        <v>0.145088762680859</v>
      </c>
      <c r="J605" t="s">
        <v>777</v>
      </c>
      <c r="K605" t="s">
        <v>776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-0.109373939547252</v>
      </c>
      <c r="R605" t="s">
        <v>781</v>
      </c>
      <c r="S605" t="s">
        <v>793</v>
      </c>
      <c r="T605">
        <v>6899.182902</v>
      </c>
      <c r="U605" s="2">
        <v>44424</v>
      </c>
      <c r="V605" t="s">
        <v>799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280.26</v>
      </c>
      <c r="D606">
        <v>158</v>
      </c>
      <c r="E606">
        <v>1.77379746835443</v>
      </c>
      <c r="F606">
        <v>0.02140869192892314</v>
      </c>
      <c r="G606">
        <v>-0.1082991228358102</v>
      </c>
      <c r="H606">
        <v>0.25</v>
      </c>
      <c r="I606">
        <v>0.1383646992648804</v>
      </c>
      <c r="J606" t="s">
        <v>777</v>
      </c>
      <c r="K606" t="s">
        <v>777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0.9014530432830671</v>
      </c>
      <c r="R606" t="s">
        <v>781</v>
      </c>
      <c r="S606" t="s">
        <v>793</v>
      </c>
      <c r="T606">
        <v>6790.134826</v>
      </c>
      <c r="U606" s="2">
        <v>44509</v>
      </c>
      <c r="V606" t="s">
        <v>794</v>
      </c>
    </row>
    <row r="607" spans="1:22">
      <c r="A607" s="1" t="s">
        <v>627</v>
      </c>
      <c r="B607">
        <f>HYPERLINK("https://www.suredividend.com/sure-analysis-PSXP/","Phillips 66 Partners LP")</f>
        <v>0</v>
      </c>
      <c r="C607">
        <v>37.2</v>
      </c>
      <c r="D607">
        <v>44</v>
      </c>
      <c r="E607">
        <v>0.8454545454545456</v>
      </c>
      <c r="F607">
        <v>0.09408602150537634</v>
      </c>
      <c r="G607">
        <v>0.03414621632574555</v>
      </c>
      <c r="H607">
        <v>0.04</v>
      </c>
      <c r="I607">
        <v>0.1381070418168693</v>
      </c>
      <c r="J607" t="s">
        <v>777</v>
      </c>
      <c r="K607" t="s">
        <v>776</v>
      </c>
      <c r="L607">
        <v>4.4</v>
      </c>
      <c r="M607">
        <v>3.5</v>
      </c>
      <c r="N607">
        <v>0.7954545454545454</v>
      </c>
      <c r="O607">
        <v>7</v>
      </c>
      <c r="P607">
        <v>0</v>
      </c>
      <c r="Q607">
        <v>0.703783918126059</v>
      </c>
      <c r="R607" t="s">
        <v>780</v>
      </c>
      <c r="S607" t="s">
        <v>792</v>
      </c>
      <c r="T607">
        <v>8765.978204999999</v>
      </c>
      <c r="U607" s="2">
        <v>44501</v>
      </c>
      <c r="V607" t="s">
        <v>802</v>
      </c>
    </row>
    <row r="608" spans="1:22">
      <c r="A608" s="1" t="s">
        <v>628</v>
      </c>
      <c r="B608">
        <f>HYPERLINK("https://www.suredividend.com/sure-analysis-CLPR/","Clipper Realty Inc")</f>
        <v>0</v>
      </c>
      <c r="C608">
        <v>9.15</v>
      </c>
      <c r="D608">
        <v>11.7</v>
      </c>
      <c r="E608">
        <v>0.7820512820512822</v>
      </c>
      <c r="F608">
        <v>0.04153005464480874</v>
      </c>
      <c r="G608">
        <v>0.05039574430966676</v>
      </c>
      <c r="H608">
        <v>0.055</v>
      </c>
      <c r="I608">
        <v>0.134431278395641</v>
      </c>
      <c r="J608" t="s">
        <v>777</v>
      </c>
      <c r="K608" t="s">
        <v>514</v>
      </c>
      <c r="L608">
        <v>0.35</v>
      </c>
      <c r="M608">
        <v>0.38</v>
      </c>
      <c r="N608">
        <v>1.085714285714286</v>
      </c>
      <c r="O608">
        <v>0</v>
      </c>
      <c r="P608">
        <v>0</v>
      </c>
      <c r="Q608">
        <v>0.613665400703572</v>
      </c>
      <c r="R608" t="s">
        <v>781</v>
      </c>
      <c r="S608" t="s">
        <v>793</v>
      </c>
      <c r="T608">
        <v>148.102962</v>
      </c>
      <c r="U608" s="2">
        <v>44511</v>
      </c>
      <c r="V608" t="s">
        <v>804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52.61</v>
      </c>
      <c r="D609">
        <v>57</v>
      </c>
      <c r="E609">
        <v>0.9229824561403509</v>
      </c>
      <c r="F609">
        <v>0.1520623455616803</v>
      </c>
      <c r="G609">
        <v>0.01615816415196636</v>
      </c>
      <c r="H609">
        <v>0</v>
      </c>
      <c r="I609">
        <v>0.1301619630114874</v>
      </c>
      <c r="J609" t="s">
        <v>777</v>
      </c>
      <c r="K609" t="s">
        <v>366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0.186659346072071</v>
      </c>
      <c r="R609" t="s">
        <v>780</v>
      </c>
      <c r="S609" t="s">
        <v>786</v>
      </c>
      <c r="T609">
        <v>14632.363906</v>
      </c>
      <c r="U609" s="2">
        <v>44513</v>
      </c>
      <c r="V609" t="s">
        <v>794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5.85</v>
      </c>
      <c r="D610">
        <v>6</v>
      </c>
      <c r="E610">
        <v>0.975</v>
      </c>
      <c r="F610">
        <v>0.02222222222222222</v>
      </c>
      <c r="G610">
        <v>0.005076403090295889</v>
      </c>
      <c r="H610">
        <v>0.1</v>
      </c>
      <c r="I610">
        <v>0.1287231367585835</v>
      </c>
      <c r="J610" t="s">
        <v>777</v>
      </c>
      <c r="K610" t="s">
        <v>777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0.133520649705553</v>
      </c>
      <c r="R610" t="s">
        <v>779</v>
      </c>
      <c r="S610" t="s">
        <v>792</v>
      </c>
      <c r="T610">
        <v>1006.002152</v>
      </c>
      <c r="U610" s="2">
        <v>44509</v>
      </c>
      <c r="V610" t="s">
        <v>802</v>
      </c>
    </row>
    <row r="611" spans="1:22">
      <c r="A611" s="1" t="s">
        <v>631</v>
      </c>
      <c r="B611">
        <f>HYPERLINK("https://www.suredividend.com/sure-analysis-GECC/","Great Elm Capital Corp")</f>
        <v>0</v>
      </c>
      <c r="C611">
        <v>3.44</v>
      </c>
      <c r="D611">
        <v>3.5</v>
      </c>
      <c r="E611">
        <v>0.9828571428571429</v>
      </c>
      <c r="F611">
        <v>0.1162790697674419</v>
      </c>
      <c r="G611">
        <v>0.00346428623887074</v>
      </c>
      <c r="H611">
        <v>0.042</v>
      </c>
      <c r="I611">
        <v>0.1286206265763583</v>
      </c>
      <c r="J611" t="s">
        <v>777</v>
      </c>
      <c r="K611" t="s">
        <v>366</v>
      </c>
      <c r="L611">
        <v>0.33</v>
      </c>
      <c r="M611">
        <v>0.4</v>
      </c>
      <c r="N611">
        <v>1.212121212121212</v>
      </c>
      <c r="O611">
        <v>0</v>
      </c>
      <c r="P611">
        <v>0</v>
      </c>
      <c r="Q611">
        <v>0.198540906722251</v>
      </c>
      <c r="R611" t="s">
        <v>782</v>
      </c>
      <c r="S611" t="s">
        <v>790</v>
      </c>
      <c r="T611">
        <v>92.824555</v>
      </c>
      <c r="U611" s="2">
        <v>44509</v>
      </c>
      <c r="V611" t="s">
        <v>804</v>
      </c>
    </row>
    <row r="612" spans="1:22">
      <c r="A612" s="1" t="s">
        <v>632</v>
      </c>
      <c r="B612">
        <f>HYPERLINK("https://www.suredividend.com/sure-analysis-SU/","Suncor Energy, Inc.")</f>
        <v>0</v>
      </c>
      <c r="C612">
        <v>25.56</v>
      </c>
      <c r="D612">
        <v>29</v>
      </c>
      <c r="E612">
        <v>0.8813793103448275</v>
      </c>
      <c r="F612">
        <v>0.05320813771517997</v>
      </c>
      <c r="G612">
        <v>0.02557500941816038</v>
      </c>
      <c r="H612">
        <v>0.05</v>
      </c>
      <c r="I612">
        <v>0.1193492972391104</v>
      </c>
      <c r="J612" t="s">
        <v>777</v>
      </c>
      <c r="K612" t="s">
        <v>514</v>
      </c>
      <c r="L612">
        <v>1.36</v>
      </c>
      <c r="M612">
        <v>1.36</v>
      </c>
      <c r="N612">
        <v>1</v>
      </c>
      <c r="O612">
        <v>1</v>
      </c>
      <c r="P612">
        <v>0.0505145404837426</v>
      </c>
      <c r="Q612">
        <v>0.7678756476683931</v>
      </c>
      <c r="R612" t="s">
        <v>779</v>
      </c>
      <c r="S612" t="s">
        <v>792</v>
      </c>
      <c r="T612">
        <v>37241.585675</v>
      </c>
      <c r="U612" s="2">
        <v>44502</v>
      </c>
      <c r="V612" t="s">
        <v>802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18.65</v>
      </c>
      <c r="D613">
        <v>18.88</v>
      </c>
      <c r="E613">
        <v>0.9878177966101694</v>
      </c>
      <c r="F613">
        <v>0.0546916890080429</v>
      </c>
      <c r="G613">
        <v>0.002454410070396928</v>
      </c>
      <c r="H613">
        <v>0.07000000000000001</v>
      </c>
      <c r="I613">
        <v>0.1192302052316929</v>
      </c>
      <c r="J613" t="s">
        <v>777</v>
      </c>
      <c r="K613" t="s">
        <v>366</v>
      </c>
      <c r="L613">
        <v>1.51</v>
      </c>
      <c r="M613">
        <v>1.02</v>
      </c>
      <c r="N613">
        <v>0.6754966887417219</v>
      </c>
      <c r="O613">
        <v>2</v>
      </c>
      <c r="P613">
        <v>0.06990981876632385</v>
      </c>
      <c r="Q613">
        <v>0.295631501147812</v>
      </c>
      <c r="R613" t="s">
        <v>781</v>
      </c>
      <c r="S613" t="s">
        <v>793</v>
      </c>
      <c r="T613">
        <v>214.985761</v>
      </c>
      <c r="U613" s="2">
        <v>44494</v>
      </c>
      <c r="V613" t="s">
        <v>794</v>
      </c>
    </row>
    <row r="614" spans="1:22">
      <c r="A614" s="1" t="s">
        <v>634</v>
      </c>
      <c r="B614">
        <f>HYPERLINK("https://www.suredividend.com/sure-analysis-USAC/","USA Compression Partners LP")</f>
        <v>0</v>
      </c>
      <c r="C614">
        <v>15.11</v>
      </c>
      <c r="D614">
        <v>14.8</v>
      </c>
      <c r="E614">
        <v>1.020945945945946</v>
      </c>
      <c r="F614">
        <v>0.1389808074123097</v>
      </c>
      <c r="G614">
        <v>-0.004137336645133716</v>
      </c>
      <c r="H614">
        <v>0.01</v>
      </c>
      <c r="I614">
        <v>0.1151291066774274</v>
      </c>
      <c r="J614" t="s">
        <v>777</v>
      </c>
      <c r="K614" t="s">
        <v>366</v>
      </c>
      <c r="L614">
        <v>2.11</v>
      </c>
      <c r="M614">
        <v>2.1</v>
      </c>
      <c r="N614">
        <v>0.9952606635071091</v>
      </c>
      <c r="O614">
        <v>0</v>
      </c>
      <c r="P614">
        <v>0</v>
      </c>
      <c r="Q614">
        <v>0.5005412276433261</v>
      </c>
      <c r="R614" t="s">
        <v>780</v>
      </c>
      <c r="S614" t="s">
        <v>792</v>
      </c>
      <c r="T614">
        <v>1466.685694</v>
      </c>
      <c r="U614" s="2">
        <v>44502</v>
      </c>
      <c r="V614" t="s">
        <v>801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29.17</v>
      </c>
      <c r="D615">
        <v>31</v>
      </c>
      <c r="E615">
        <v>0.9409677419354839</v>
      </c>
      <c r="F615">
        <v>0.0493657867672266</v>
      </c>
      <c r="G615">
        <v>0.01224363113634497</v>
      </c>
      <c r="H615">
        <v>0.06</v>
      </c>
      <c r="I615">
        <v>0.1142335395156331</v>
      </c>
      <c r="J615" t="s">
        <v>777</v>
      </c>
      <c r="K615" t="s">
        <v>366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0.174963982711701</v>
      </c>
      <c r="R615" t="s">
        <v>781</v>
      </c>
      <c r="S615" t="s">
        <v>793</v>
      </c>
      <c r="T615">
        <v>18465.855529</v>
      </c>
      <c r="U615" s="2">
        <v>44509</v>
      </c>
      <c r="V615" t="s">
        <v>802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30.3</v>
      </c>
      <c r="D616">
        <v>30</v>
      </c>
      <c r="E616">
        <v>1.01</v>
      </c>
      <c r="F616">
        <v>0.103960396039604</v>
      </c>
      <c r="G616">
        <v>-0.00198808730186284</v>
      </c>
      <c r="H616">
        <v>0.03</v>
      </c>
      <c r="I616">
        <v>0.1138162152297666</v>
      </c>
      <c r="J616" t="s">
        <v>777</v>
      </c>
      <c r="K616" t="s">
        <v>366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0.907071770574816</v>
      </c>
      <c r="R616" t="s">
        <v>782</v>
      </c>
      <c r="S616" t="s">
        <v>790</v>
      </c>
      <c r="T616">
        <v>686.1158</v>
      </c>
      <c r="U616" s="2">
        <v>44516</v>
      </c>
      <c r="V616" t="s">
        <v>794</v>
      </c>
    </row>
    <row r="617" spans="1:22">
      <c r="A617" s="1" t="s">
        <v>637</v>
      </c>
      <c r="B617">
        <f>HYPERLINK("https://www.suredividend.com/sure-analysis-TWO/","Two Harbors Investment Corp")</f>
        <v>0</v>
      </c>
      <c r="C617">
        <v>6.12</v>
      </c>
      <c r="D617">
        <v>6.3</v>
      </c>
      <c r="E617">
        <v>0.9714285714285714</v>
      </c>
      <c r="F617">
        <v>0.1111111111111111</v>
      </c>
      <c r="G617">
        <v>0.005814345444414393</v>
      </c>
      <c r="H617">
        <v>0.018</v>
      </c>
      <c r="I617">
        <v>0.1107523207989909</v>
      </c>
      <c r="J617" t="s">
        <v>777</v>
      </c>
      <c r="K617" t="s">
        <v>366</v>
      </c>
      <c r="L617">
        <v>0.75</v>
      </c>
      <c r="M617">
        <v>0.68</v>
      </c>
      <c r="N617">
        <v>0.9066666666666667</v>
      </c>
      <c r="O617">
        <v>0</v>
      </c>
      <c r="P617">
        <v>0.005814345444414393</v>
      </c>
      <c r="Q617">
        <v>0.051086919428045</v>
      </c>
      <c r="R617" t="s">
        <v>781</v>
      </c>
      <c r="S617" t="s">
        <v>793</v>
      </c>
      <c r="T617">
        <v>2118.455582</v>
      </c>
      <c r="U617" s="2">
        <v>44511</v>
      </c>
      <c r="V617" t="s">
        <v>804</v>
      </c>
    </row>
    <row r="618" spans="1:22">
      <c r="A618" s="1" t="s">
        <v>638</v>
      </c>
      <c r="B618">
        <f>HYPERLINK("https://www.suredividend.com/sure-analysis-QSR/","Restaurant Brands International Inc")</f>
        <v>0</v>
      </c>
      <c r="C618">
        <v>57.83</v>
      </c>
      <c r="D618">
        <v>53</v>
      </c>
      <c r="E618">
        <v>1.091132075471698</v>
      </c>
      <c r="F618">
        <v>0.03665917343939133</v>
      </c>
      <c r="G618">
        <v>-0.01729190066116792</v>
      </c>
      <c r="H618">
        <v>0.1</v>
      </c>
      <c r="I618">
        <v>0.1092756845461209</v>
      </c>
      <c r="J618" t="s">
        <v>777</v>
      </c>
      <c r="K618" t="s">
        <v>514</v>
      </c>
      <c r="L618">
        <v>2.8</v>
      </c>
      <c r="M618">
        <v>2.12</v>
      </c>
      <c r="N618">
        <v>0.7571428571428572</v>
      </c>
      <c r="O618">
        <v>9</v>
      </c>
      <c r="P618">
        <v>0.03517300006217261</v>
      </c>
      <c r="Q618">
        <v>-0.007429615305663001</v>
      </c>
      <c r="R618" t="s">
        <v>779</v>
      </c>
      <c r="S618" t="s">
        <v>788</v>
      </c>
      <c r="T618">
        <v>18129.231142</v>
      </c>
      <c r="U618" s="2">
        <v>44495</v>
      </c>
      <c r="V618" t="s">
        <v>802</v>
      </c>
    </row>
    <row r="619" spans="1:22">
      <c r="A619" s="1" t="s">
        <v>639</v>
      </c>
      <c r="B619">
        <f>HYPERLINK("https://www.suredividend.com/sure-analysis-LTC/","LTC Properties, Inc.")</f>
        <v>0</v>
      </c>
      <c r="C619">
        <v>34.3</v>
      </c>
      <c r="D619">
        <v>36</v>
      </c>
      <c r="E619">
        <v>0.9527777777777777</v>
      </c>
      <c r="F619">
        <v>0.06647230320699708</v>
      </c>
      <c r="G619">
        <v>0.009721668221540636</v>
      </c>
      <c r="H619">
        <v>0.05</v>
      </c>
      <c r="I619">
        <v>0.108260892492009</v>
      </c>
      <c r="J619" t="s">
        <v>777</v>
      </c>
      <c r="K619" t="s">
        <v>366</v>
      </c>
      <c r="L619">
        <v>2.4</v>
      </c>
      <c r="M619">
        <v>2.28</v>
      </c>
      <c r="N619">
        <v>0.95</v>
      </c>
      <c r="O619">
        <v>0</v>
      </c>
      <c r="P619">
        <v>0</v>
      </c>
      <c r="Q619">
        <v>-0.04590785001949901</v>
      </c>
      <c r="R619" t="s">
        <v>781</v>
      </c>
      <c r="S619" t="s">
        <v>793</v>
      </c>
      <c r="T619">
        <v>1348.561007</v>
      </c>
      <c r="U619" s="2">
        <v>44510</v>
      </c>
      <c r="V619" t="s">
        <v>802</v>
      </c>
    </row>
    <row r="620" spans="1:22">
      <c r="A620" s="1" t="s">
        <v>640</v>
      </c>
      <c r="B620">
        <f>HYPERLINK("https://www.suredividend.com/sure-analysis-CQP/","Cheniere Energy Partners LP")</f>
        <v>0</v>
      </c>
      <c r="C620">
        <v>41.37</v>
      </c>
      <c r="D620">
        <v>45</v>
      </c>
      <c r="E620">
        <v>0.9193333333333332</v>
      </c>
      <c r="F620">
        <v>0.06429780033840948</v>
      </c>
      <c r="G620">
        <v>0.01696357658671754</v>
      </c>
      <c r="H620">
        <v>0.04</v>
      </c>
      <c r="I620">
        <v>0.1078971329767422</v>
      </c>
      <c r="J620" t="s">
        <v>777</v>
      </c>
      <c r="K620" t="s">
        <v>366</v>
      </c>
      <c r="L620">
        <v>2.9</v>
      </c>
      <c r="M620">
        <v>2.66</v>
      </c>
      <c r="N620">
        <v>0.9172413793103449</v>
      </c>
      <c r="O620">
        <v>5</v>
      </c>
      <c r="P620">
        <v>0.02434894295516754</v>
      </c>
      <c r="Q620">
        <v>0.218507147375813</v>
      </c>
      <c r="R620" t="s">
        <v>780</v>
      </c>
      <c r="S620" t="s">
        <v>792</v>
      </c>
      <c r="T620">
        <v>20324.23591</v>
      </c>
      <c r="U620" s="2">
        <v>44509</v>
      </c>
      <c r="V620" t="s">
        <v>802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14.33</v>
      </c>
      <c r="D621">
        <v>14.5</v>
      </c>
      <c r="E621">
        <v>0.9882758620689656</v>
      </c>
      <c r="F621">
        <v>0.0837404047452896</v>
      </c>
      <c r="G621">
        <v>0.002361465394869589</v>
      </c>
      <c r="H621">
        <v>0.038</v>
      </c>
      <c r="I621">
        <v>0.106506563319114</v>
      </c>
      <c r="J621" t="s">
        <v>777</v>
      </c>
      <c r="K621" t="s">
        <v>366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-0.094814263456358</v>
      </c>
      <c r="R621" t="s">
        <v>781</v>
      </c>
      <c r="S621" t="s">
        <v>793</v>
      </c>
      <c r="T621">
        <v>3281.53062</v>
      </c>
      <c r="U621" s="2">
        <v>44509</v>
      </c>
      <c r="V621" t="s">
        <v>804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16.42</v>
      </c>
      <c r="D622">
        <v>20</v>
      </c>
      <c r="E622">
        <v>0.8210000000000001</v>
      </c>
      <c r="F622">
        <v>0.048721071863581</v>
      </c>
      <c r="G622">
        <v>0.04023477607868675</v>
      </c>
      <c r="H622">
        <v>0.03</v>
      </c>
      <c r="I622">
        <v>0.1060958816091091</v>
      </c>
      <c r="J622" t="s">
        <v>777</v>
      </c>
      <c r="K622" t="s">
        <v>514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0.487982031915086</v>
      </c>
      <c r="R622" t="s">
        <v>779</v>
      </c>
      <c r="S622" t="s">
        <v>789</v>
      </c>
      <c r="T622">
        <v>2529.553386</v>
      </c>
      <c r="U622" s="2">
        <v>44454</v>
      </c>
      <c r="V622" t="s">
        <v>798</v>
      </c>
    </row>
    <row r="623" spans="1:22">
      <c r="A623" s="1" t="s">
        <v>643</v>
      </c>
      <c r="B623">
        <f>HYPERLINK("https://www.suredividend.com/sure-analysis-TRP/","TC Energy Corporation")</f>
        <v>0</v>
      </c>
      <c r="C623">
        <v>48.42</v>
      </c>
      <c r="D623">
        <v>53</v>
      </c>
      <c r="E623">
        <v>0.9135849056603774</v>
      </c>
      <c r="F623">
        <v>0.05700123915737298</v>
      </c>
      <c r="G623">
        <v>0.01824014833844756</v>
      </c>
      <c r="H623">
        <v>0.04</v>
      </c>
      <c r="I623">
        <v>0.1044653533606592</v>
      </c>
      <c r="J623" t="s">
        <v>777</v>
      </c>
      <c r="K623" t="s">
        <v>366</v>
      </c>
      <c r="L623">
        <v>3.3</v>
      </c>
      <c r="M623">
        <v>2.76</v>
      </c>
      <c r="N623">
        <v>0.8363636363636363</v>
      </c>
      <c r="O623">
        <v>6</v>
      </c>
      <c r="P623">
        <v>0.03002598081465924</v>
      </c>
      <c r="Q623">
        <v>0.200946185106692</v>
      </c>
      <c r="R623" t="s">
        <v>779</v>
      </c>
      <c r="S623" t="s">
        <v>792</v>
      </c>
      <c r="T623">
        <v>47778.067541</v>
      </c>
      <c r="U623" s="2">
        <v>44510</v>
      </c>
      <c r="V623" t="s">
        <v>802</v>
      </c>
    </row>
    <row r="624" spans="1:22">
      <c r="A624" s="1" t="s">
        <v>644</v>
      </c>
      <c r="B624">
        <f>HYPERLINK("https://www.suredividend.com/sure-analysis-CTRE/","CareTrust REIT Inc")</f>
        <v>0</v>
      </c>
      <c r="C624">
        <v>20.89</v>
      </c>
      <c r="D624">
        <v>22</v>
      </c>
      <c r="E624">
        <v>0.9495454545454546</v>
      </c>
      <c r="F624">
        <v>0.05074198180947822</v>
      </c>
      <c r="G624">
        <v>0.01040816760527519</v>
      </c>
      <c r="H624">
        <v>0.05</v>
      </c>
      <c r="I624">
        <v>0.10374498704639</v>
      </c>
      <c r="J624" t="s">
        <v>777</v>
      </c>
      <c r="K624" t="s">
        <v>366</v>
      </c>
      <c r="L624">
        <v>1.5</v>
      </c>
      <c r="M624">
        <v>1.06</v>
      </c>
      <c r="N624">
        <v>0.7066666666666667</v>
      </c>
      <c r="O624">
        <v>5</v>
      </c>
      <c r="P624">
        <v>0.04955591526723868</v>
      </c>
      <c r="Q624">
        <v>0.10486363418747</v>
      </c>
      <c r="R624" t="s">
        <v>781</v>
      </c>
      <c r="S624" t="s">
        <v>793</v>
      </c>
      <c r="T624">
        <v>2015.372211</v>
      </c>
      <c r="U624" s="2">
        <v>44508</v>
      </c>
      <c r="V624" t="s">
        <v>801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17.8</v>
      </c>
      <c r="D625">
        <v>18.8</v>
      </c>
      <c r="E625">
        <v>0.9468085106382979</v>
      </c>
      <c r="F625">
        <v>0.101123595505618</v>
      </c>
      <c r="G625">
        <v>0.01099165167086835</v>
      </c>
      <c r="H625">
        <v>0.01</v>
      </c>
      <c r="I625">
        <v>0.1027501513243378</v>
      </c>
      <c r="J625" t="s">
        <v>777</v>
      </c>
      <c r="K625" t="s">
        <v>366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0.3428464138190011</v>
      </c>
      <c r="R625" t="s">
        <v>781</v>
      </c>
      <c r="S625" t="s">
        <v>790</v>
      </c>
      <c r="T625">
        <v>1026.806686</v>
      </c>
      <c r="U625" s="2">
        <v>44509</v>
      </c>
      <c r="V625" t="s">
        <v>794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36.53</v>
      </c>
      <c r="D626">
        <v>35</v>
      </c>
      <c r="E626">
        <v>1.043714285714286</v>
      </c>
      <c r="F626">
        <v>0.05036955926635642</v>
      </c>
      <c r="G626">
        <v>-0.008520647615125942</v>
      </c>
      <c r="H626">
        <v>0.07000000000000001</v>
      </c>
      <c r="I626">
        <v>0.1023307374596163</v>
      </c>
      <c r="J626" t="s">
        <v>777</v>
      </c>
      <c r="K626" t="s">
        <v>366</v>
      </c>
      <c r="L626">
        <v>2.3</v>
      </c>
      <c r="M626">
        <v>1.84</v>
      </c>
      <c r="N626">
        <v>0.8</v>
      </c>
      <c r="O626">
        <v>0</v>
      </c>
      <c r="P626">
        <v>0.04012620718096094</v>
      </c>
      <c r="Q626">
        <v>0.26551724137931</v>
      </c>
      <c r="R626" t="s">
        <v>779</v>
      </c>
      <c r="S626" t="s">
        <v>786</v>
      </c>
      <c r="T626">
        <v>1401.525107</v>
      </c>
      <c r="U626" s="2">
        <v>44516</v>
      </c>
      <c r="V626" t="s">
        <v>794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8.58</v>
      </c>
      <c r="D627">
        <v>8.640000000000001</v>
      </c>
      <c r="E627">
        <v>0.9930555555555555</v>
      </c>
      <c r="F627">
        <v>0.08391608391608391</v>
      </c>
      <c r="G627">
        <v>0.001394705561636567</v>
      </c>
      <c r="H627">
        <v>0.03</v>
      </c>
      <c r="I627">
        <v>0.1019307825472333</v>
      </c>
      <c r="J627" t="s">
        <v>777</v>
      </c>
      <c r="K627" t="s">
        <v>366</v>
      </c>
      <c r="L627">
        <v>0.96</v>
      </c>
      <c r="M627">
        <v>0.72</v>
      </c>
      <c r="N627">
        <v>0.75</v>
      </c>
      <c r="O627">
        <v>1</v>
      </c>
      <c r="P627">
        <v>0.02884302866442456</v>
      </c>
      <c r="Q627">
        <v>0.278636121470431</v>
      </c>
      <c r="R627" t="s">
        <v>779</v>
      </c>
      <c r="S627" t="s">
        <v>786</v>
      </c>
      <c r="T627">
        <v>1107.000648</v>
      </c>
      <c r="U627" s="2">
        <v>44517</v>
      </c>
      <c r="V627" t="s">
        <v>794</v>
      </c>
    </row>
    <row r="628" spans="1:22">
      <c r="A628" s="1" t="s">
        <v>648</v>
      </c>
      <c r="B628">
        <f>HYPERLINK("https://www.suredividend.com/sure-analysis-CTO/","CTO Realty Growth Inc")</f>
        <v>0</v>
      </c>
      <c r="C628">
        <v>56.91</v>
      </c>
      <c r="D628">
        <v>56</v>
      </c>
      <c r="E628">
        <v>1.01625</v>
      </c>
      <c r="F628">
        <v>0.07028641714988579</v>
      </c>
      <c r="G628">
        <v>-0.003218685266529575</v>
      </c>
      <c r="H628">
        <v>0.045</v>
      </c>
      <c r="I628">
        <v>0.09849639373425667</v>
      </c>
      <c r="J628" t="s">
        <v>777</v>
      </c>
      <c r="K628" t="s">
        <v>366</v>
      </c>
      <c r="L628">
        <v>4.15</v>
      </c>
      <c r="M628">
        <v>4</v>
      </c>
      <c r="N628">
        <v>0.9638554216867469</v>
      </c>
      <c r="O628">
        <v>8</v>
      </c>
      <c r="P628">
        <v>0.02016978262061087</v>
      </c>
      <c r="Q628">
        <v>0.291247235137453</v>
      </c>
      <c r="R628" t="s">
        <v>781</v>
      </c>
      <c r="S628" t="s">
        <v>793</v>
      </c>
      <c r="T628">
        <v>341.094602</v>
      </c>
      <c r="U628" s="2">
        <v>44502</v>
      </c>
      <c r="V628" t="s">
        <v>801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8.4</v>
      </c>
      <c r="D629">
        <v>9</v>
      </c>
      <c r="E629">
        <v>0.9333333333333333</v>
      </c>
      <c r="F629">
        <v>0.1011904761904762</v>
      </c>
      <c r="G629">
        <v>0.01389421401466451</v>
      </c>
      <c r="H629">
        <v>0</v>
      </c>
      <c r="I629">
        <v>0.09543677971210718</v>
      </c>
      <c r="J629" t="s">
        <v>777</v>
      </c>
      <c r="K629" t="s">
        <v>366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0.228644980107652</v>
      </c>
      <c r="R629" t="s">
        <v>781</v>
      </c>
      <c r="S629" t="s">
        <v>793</v>
      </c>
      <c r="T629">
        <v>1037.454382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20.2</v>
      </c>
      <c r="D630">
        <v>19</v>
      </c>
      <c r="E630">
        <v>1.063157894736842</v>
      </c>
      <c r="F630">
        <v>0.0297029702970297</v>
      </c>
      <c r="G630">
        <v>-0.0121740147618461</v>
      </c>
      <c r="H630">
        <v>0.08</v>
      </c>
      <c r="I630">
        <v>0.09441277715178353</v>
      </c>
      <c r="J630" t="s">
        <v>777</v>
      </c>
      <c r="K630" t="s">
        <v>777</v>
      </c>
      <c r="L630">
        <v>-0.55</v>
      </c>
      <c r="M630">
        <v>0.6</v>
      </c>
      <c r="N630">
        <v>9.99</v>
      </c>
      <c r="O630">
        <v>2</v>
      </c>
      <c r="P630">
        <v>0.0796084730466029</v>
      </c>
      <c r="Q630">
        <v>0.066032471223903</v>
      </c>
      <c r="R630" t="s">
        <v>779</v>
      </c>
      <c r="S630" t="s">
        <v>791</v>
      </c>
      <c r="T630">
        <v>9864.906509</v>
      </c>
      <c r="U630" s="2">
        <v>44515</v>
      </c>
      <c r="V630" t="s">
        <v>801</v>
      </c>
    </row>
    <row r="631" spans="1:22">
      <c r="A631" s="1" t="s">
        <v>651</v>
      </c>
      <c r="B631">
        <f>HYPERLINK("https://www.suredividend.com/sure-analysis-GSBD/","Goldman Sachs BDC Inc")</f>
        <v>0</v>
      </c>
      <c r="C631">
        <v>18.88</v>
      </c>
      <c r="D631">
        <v>20.64</v>
      </c>
      <c r="E631">
        <v>0.9147286821705426</v>
      </c>
      <c r="F631">
        <v>0.09533898305084747</v>
      </c>
      <c r="G631">
        <v>0.01798537943717782</v>
      </c>
      <c r="H631">
        <v>0</v>
      </c>
      <c r="I631">
        <v>0.09439787692729906</v>
      </c>
      <c r="J631" t="s">
        <v>777</v>
      </c>
      <c r="K631" t="s">
        <v>366</v>
      </c>
      <c r="L631">
        <v>2.15</v>
      </c>
      <c r="M631">
        <v>1.8</v>
      </c>
      <c r="N631">
        <v>0.8372093023255814</v>
      </c>
      <c r="O631">
        <v>0</v>
      </c>
      <c r="P631">
        <v>0</v>
      </c>
      <c r="Q631">
        <v>0.205432073648339</v>
      </c>
      <c r="R631" t="s">
        <v>782</v>
      </c>
      <c r="S631" t="s">
        <v>790</v>
      </c>
      <c r="T631">
        <v>1930.484657</v>
      </c>
      <c r="U631" s="2">
        <v>44513</v>
      </c>
      <c r="V631" t="s">
        <v>794</v>
      </c>
    </row>
    <row r="632" spans="1:22">
      <c r="A632" s="1" t="s">
        <v>652</v>
      </c>
      <c r="B632">
        <f>HYPERLINK("https://www.suredividend.com/sure-analysis-FCPT/","Four Corners Property Trust Inc")</f>
        <v>0</v>
      </c>
      <c r="C632">
        <v>28.05</v>
      </c>
      <c r="D632">
        <v>29</v>
      </c>
      <c r="E632">
        <v>0.9672413793103448</v>
      </c>
      <c r="F632">
        <v>0.04527629233511586</v>
      </c>
      <c r="G632">
        <v>0.006683676341155964</v>
      </c>
      <c r="H632">
        <v>0.05</v>
      </c>
      <c r="I632">
        <v>0.09425861822465031</v>
      </c>
      <c r="J632" t="s">
        <v>777</v>
      </c>
      <c r="K632" t="s">
        <v>514</v>
      </c>
      <c r="L632">
        <v>1.53</v>
      </c>
      <c r="M632">
        <v>1.27</v>
      </c>
      <c r="N632">
        <v>0.8300653594771242</v>
      </c>
      <c r="O632">
        <v>4</v>
      </c>
      <c r="P632">
        <v>0.03246778448335941</v>
      </c>
      <c r="Q632">
        <v>0.002463801879266</v>
      </c>
      <c r="R632" t="s">
        <v>781</v>
      </c>
      <c r="S632" t="s">
        <v>793</v>
      </c>
      <c r="T632">
        <v>2196.814777</v>
      </c>
      <c r="U632" s="2">
        <v>44499</v>
      </c>
      <c r="V632" t="s">
        <v>796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47.67</v>
      </c>
      <c r="D633">
        <v>50</v>
      </c>
      <c r="E633">
        <v>0.9534</v>
      </c>
      <c r="F633">
        <v>0.05349276274386406</v>
      </c>
      <c r="G633">
        <v>0.009589837859214301</v>
      </c>
      <c r="H633">
        <v>0.04</v>
      </c>
      <c r="I633">
        <v>0.09306070055304794</v>
      </c>
      <c r="J633" t="s">
        <v>777</v>
      </c>
      <c r="K633" t="s">
        <v>366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0.3490577493864711</v>
      </c>
      <c r="R633" t="s">
        <v>781</v>
      </c>
      <c r="S633" t="s">
        <v>793</v>
      </c>
      <c r="T633">
        <v>5890.783155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4.88</v>
      </c>
      <c r="D634">
        <v>3.6</v>
      </c>
      <c r="E634">
        <v>1.355555555555555</v>
      </c>
      <c r="F634">
        <v>0.1598360655737705</v>
      </c>
      <c r="G634">
        <v>-0.05902835706301524</v>
      </c>
      <c r="H634">
        <v>0.003</v>
      </c>
      <c r="I634">
        <v>0.09304994512257503</v>
      </c>
      <c r="J634" t="s">
        <v>777</v>
      </c>
      <c r="K634" t="s">
        <v>776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0.01547987616099</v>
      </c>
      <c r="R634" t="s">
        <v>781</v>
      </c>
      <c r="S634" t="s">
        <v>793</v>
      </c>
      <c r="T634">
        <v>792.894157</v>
      </c>
      <c r="U634" s="2">
        <v>44506</v>
      </c>
      <c r="V634" t="s">
        <v>804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14.35</v>
      </c>
      <c r="D635">
        <v>14.64</v>
      </c>
      <c r="E635">
        <v>0.980191256830601</v>
      </c>
      <c r="F635">
        <v>0.08641114982578398</v>
      </c>
      <c r="G635">
        <v>0.004009530009182916</v>
      </c>
      <c r="H635">
        <v>0.02</v>
      </c>
      <c r="I635">
        <v>0.09279454436208856</v>
      </c>
      <c r="J635" t="s">
        <v>777</v>
      </c>
      <c r="K635" t="s">
        <v>366</v>
      </c>
      <c r="L635">
        <v>1.22</v>
      </c>
      <c r="M635">
        <v>1.24</v>
      </c>
      <c r="N635">
        <v>1.016393442622951</v>
      </c>
      <c r="O635">
        <v>0</v>
      </c>
      <c r="P635">
        <v>0</v>
      </c>
      <c r="Q635">
        <v>0.156934365295187</v>
      </c>
      <c r="R635" t="s">
        <v>782</v>
      </c>
      <c r="S635" t="s">
        <v>790</v>
      </c>
      <c r="T635">
        <v>5653.533727</v>
      </c>
      <c r="U635" s="2">
        <v>44509</v>
      </c>
      <c r="V635" t="s">
        <v>794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14.11</v>
      </c>
      <c r="D636">
        <v>13</v>
      </c>
      <c r="E636">
        <v>1.085384615384615</v>
      </c>
      <c r="F636">
        <v>0.04819277108433735</v>
      </c>
      <c r="G636">
        <v>-0.01625334713492954</v>
      </c>
      <c r="H636">
        <v>0.065</v>
      </c>
      <c r="I636">
        <v>0.0910879687969377</v>
      </c>
      <c r="J636" t="s">
        <v>777</v>
      </c>
      <c r="K636" t="s">
        <v>514</v>
      </c>
      <c r="L636">
        <v>0.73</v>
      </c>
      <c r="M636">
        <v>0.68</v>
      </c>
      <c r="N636">
        <v>0.9315068493150686</v>
      </c>
      <c r="O636">
        <v>9</v>
      </c>
      <c r="P636">
        <v>0.05530068195228077</v>
      </c>
      <c r="Q636">
        <v>-0.062013191475257</v>
      </c>
      <c r="R636" t="s">
        <v>779</v>
      </c>
      <c r="S636" t="s">
        <v>791</v>
      </c>
      <c r="T636">
        <v>9483.6949</v>
      </c>
      <c r="U636" s="2">
        <v>44513</v>
      </c>
      <c r="V636" t="s">
        <v>803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4.05</v>
      </c>
      <c r="D637">
        <v>4.05</v>
      </c>
      <c r="E637">
        <v>1</v>
      </c>
      <c r="F637">
        <v>0.09876543209876544</v>
      </c>
      <c r="G637">
        <v>0</v>
      </c>
      <c r="H637">
        <v>0.01</v>
      </c>
      <c r="I637">
        <v>0.09087890686241518</v>
      </c>
      <c r="J637" t="s">
        <v>777</v>
      </c>
      <c r="K637" t="s">
        <v>366</v>
      </c>
      <c r="L637">
        <v>0.45</v>
      </c>
      <c r="M637">
        <v>0.4</v>
      </c>
      <c r="N637">
        <v>0.888888888888889</v>
      </c>
      <c r="O637">
        <v>0</v>
      </c>
      <c r="P637">
        <v>0</v>
      </c>
      <c r="Q637">
        <v>0.43310436207678</v>
      </c>
      <c r="R637" t="s">
        <v>779</v>
      </c>
      <c r="S637" t="s">
        <v>793</v>
      </c>
      <c r="T637">
        <v>1558.867412</v>
      </c>
      <c r="U637" s="2">
        <v>44435</v>
      </c>
      <c r="V637" t="s">
        <v>799</v>
      </c>
    </row>
    <row r="638" spans="1:22">
      <c r="A638" s="1" t="s">
        <v>658</v>
      </c>
      <c r="B638">
        <f>HYPERLINK("https://www.suredividend.com/sure-analysis-UMH/","UMH Properties Inc")</f>
        <v>0</v>
      </c>
      <c r="C638">
        <v>23.49</v>
      </c>
      <c r="D638">
        <v>25.7</v>
      </c>
      <c r="E638">
        <v>0.9140077821011673</v>
      </c>
      <c r="F638">
        <v>0.0323541932737335</v>
      </c>
      <c r="G638">
        <v>0.0181459107428108</v>
      </c>
      <c r="H638">
        <v>0.045</v>
      </c>
      <c r="I638">
        <v>0.09057322728520067</v>
      </c>
      <c r="J638" t="s">
        <v>777</v>
      </c>
      <c r="K638" t="s">
        <v>514</v>
      </c>
      <c r="L638">
        <v>0.89</v>
      </c>
      <c r="M638">
        <v>0.76</v>
      </c>
      <c r="N638">
        <v>0.8539325842696629</v>
      </c>
      <c r="O638">
        <v>1</v>
      </c>
      <c r="P638">
        <v>0.03439350143683439</v>
      </c>
      <c r="Q638">
        <v>0.6579412830220841</v>
      </c>
      <c r="R638" t="s">
        <v>781</v>
      </c>
      <c r="S638" t="s">
        <v>793</v>
      </c>
      <c r="T638">
        <v>1143.993599</v>
      </c>
      <c r="U638" s="2">
        <v>44509</v>
      </c>
      <c r="V638" t="s">
        <v>804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28.5</v>
      </c>
      <c r="D639">
        <v>27.05</v>
      </c>
      <c r="E639">
        <v>1.053604436229205</v>
      </c>
      <c r="F639">
        <v>0.03508771929824561</v>
      </c>
      <c r="G639">
        <v>-0.01038907326391758</v>
      </c>
      <c r="H639">
        <v>0.07000000000000001</v>
      </c>
      <c r="I639">
        <v>0.08950550540833535</v>
      </c>
      <c r="J639" t="s">
        <v>777</v>
      </c>
      <c r="K639" t="s">
        <v>514</v>
      </c>
      <c r="L639">
        <v>1.48</v>
      </c>
      <c r="M639">
        <v>1</v>
      </c>
      <c r="N639">
        <v>0.6756756756756757</v>
      </c>
      <c r="O639">
        <v>2</v>
      </c>
      <c r="P639">
        <v>0.05061112176150684</v>
      </c>
      <c r="Q639">
        <v>0.473691740887791</v>
      </c>
      <c r="R639" t="s">
        <v>781</v>
      </c>
      <c r="S639" t="s">
        <v>793</v>
      </c>
      <c r="T639">
        <v>3506.19018</v>
      </c>
      <c r="U639" s="2">
        <v>44508</v>
      </c>
      <c r="V639" t="s">
        <v>801</v>
      </c>
    </row>
    <row r="640" spans="1:22">
      <c r="A640" s="1" t="s">
        <v>660</v>
      </c>
      <c r="B640">
        <f>HYPERLINK("https://www.suredividend.com/sure-analysis-CWCO/","Consolidated Water Co. Ltd.")</f>
        <v>0</v>
      </c>
      <c r="C640">
        <v>11.26</v>
      </c>
      <c r="D640">
        <v>12.4</v>
      </c>
      <c r="E640">
        <v>0.9080645161290322</v>
      </c>
      <c r="F640">
        <v>0.03019538188277087</v>
      </c>
      <c r="G640">
        <v>0.01947518459901088</v>
      </c>
      <c r="H640">
        <v>0.042</v>
      </c>
      <c r="I640">
        <v>0.08905331025296315</v>
      </c>
      <c r="J640" t="s">
        <v>777</v>
      </c>
      <c r="K640" t="s">
        <v>777</v>
      </c>
      <c r="L640">
        <v>0.33</v>
      </c>
      <c r="M640">
        <v>0.34</v>
      </c>
      <c r="N640">
        <v>1.03030303030303</v>
      </c>
      <c r="O640">
        <v>0</v>
      </c>
      <c r="P640">
        <v>0.0576615571948691</v>
      </c>
      <c r="Q640">
        <v>-0.018787688661159</v>
      </c>
      <c r="R640" t="s">
        <v>779</v>
      </c>
      <c r="S640" t="s">
        <v>791</v>
      </c>
      <c r="T640">
        <v>171.272471</v>
      </c>
      <c r="U640" s="2">
        <v>44431</v>
      </c>
      <c r="V640" t="s">
        <v>804</v>
      </c>
    </row>
    <row r="641" spans="1:22">
      <c r="A641" s="1" t="s">
        <v>661</v>
      </c>
      <c r="B641">
        <f>HYPERLINK("https://www.suredividend.com/sure-analysis-WSO/","Watsco Inc.")</f>
        <v>0</v>
      </c>
      <c r="C641">
        <v>304.54</v>
      </c>
      <c r="D641">
        <v>257</v>
      </c>
      <c r="E641">
        <v>1.184980544747082</v>
      </c>
      <c r="F641">
        <v>0.02561239902804229</v>
      </c>
      <c r="G641">
        <v>-0.0333755947163662</v>
      </c>
      <c r="H641">
        <v>0.1</v>
      </c>
      <c r="I641">
        <v>0.08893018222152338</v>
      </c>
      <c r="J641" t="s">
        <v>777</v>
      </c>
      <c r="K641" t="s">
        <v>777</v>
      </c>
      <c r="L641">
        <v>10.29</v>
      </c>
      <c r="M641">
        <v>7.8</v>
      </c>
      <c r="N641">
        <v>0.7580174927113703</v>
      </c>
      <c r="O641">
        <v>8</v>
      </c>
      <c r="P641">
        <v>0.0999653567765697</v>
      </c>
      <c r="Q641">
        <v>0.318930823976181</v>
      </c>
      <c r="R641" t="s">
        <v>781</v>
      </c>
      <c r="S641" t="s">
        <v>793</v>
      </c>
      <c r="T641">
        <v>11723.305921</v>
      </c>
      <c r="U641" s="2">
        <v>44490</v>
      </c>
      <c r="V641" t="s">
        <v>795</v>
      </c>
    </row>
    <row r="642" spans="1:22">
      <c r="A642" s="1" t="s">
        <v>662</v>
      </c>
      <c r="B642">
        <f>HYPERLINK("https://www.suredividend.com/sure-analysis-GNL/","Global Net Lease Inc")</f>
        <v>0</v>
      </c>
      <c r="C642">
        <v>15.38</v>
      </c>
      <c r="D642">
        <v>12.4</v>
      </c>
      <c r="E642">
        <v>1.240322580645161</v>
      </c>
      <c r="F642">
        <v>0.1040312093628088</v>
      </c>
      <c r="G642">
        <v>-0.04215977847050212</v>
      </c>
      <c r="H642">
        <v>0.04</v>
      </c>
      <c r="I642">
        <v>0.08877277487993673</v>
      </c>
      <c r="J642" t="s">
        <v>777</v>
      </c>
      <c r="K642" t="s">
        <v>366</v>
      </c>
      <c r="L642">
        <v>1.77</v>
      </c>
      <c r="M642">
        <v>1.6</v>
      </c>
      <c r="N642">
        <v>0.903954802259887</v>
      </c>
      <c r="O642">
        <v>0</v>
      </c>
      <c r="P642">
        <v>0.01808400232019891</v>
      </c>
      <c r="Q642">
        <v>-0.001743090351255</v>
      </c>
      <c r="R642" t="s">
        <v>781</v>
      </c>
      <c r="S642" t="s">
        <v>793</v>
      </c>
      <c r="T642">
        <v>1607.938395</v>
      </c>
      <c r="U642" s="2">
        <v>44509</v>
      </c>
      <c r="V642" t="s">
        <v>804</v>
      </c>
    </row>
    <row r="643" spans="1:22">
      <c r="A643" s="1" t="s">
        <v>663</v>
      </c>
      <c r="B643">
        <f>HYPERLINK("https://www.suredividend.com/sure-analysis-AAT/","American Assets Trust Inc")</f>
        <v>0</v>
      </c>
      <c r="C643">
        <v>38.27</v>
      </c>
      <c r="D643">
        <v>38</v>
      </c>
      <c r="E643">
        <v>1.007105263157895</v>
      </c>
      <c r="F643">
        <v>0.03135615364515286</v>
      </c>
      <c r="G643">
        <v>-0.001415025847732232</v>
      </c>
      <c r="H643">
        <v>0.06</v>
      </c>
      <c r="I643">
        <v>0.08599970300460646</v>
      </c>
      <c r="J643" t="s">
        <v>777</v>
      </c>
      <c r="K643" t="s">
        <v>514</v>
      </c>
      <c r="L643">
        <v>1.92</v>
      </c>
      <c r="M643">
        <v>1.2</v>
      </c>
      <c r="N643">
        <v>0.625</v>
      </c>
      <c r="O643">
        <v>1</v>
      </c>
      <c r="P643">
        <v>0.04978904632428516</v>
      </c>
      <c r="Q643">
        <v>0.41019035194463</v>
      </c>
      <c r="R643" t="s">
        <v>781</v>
      </c>
      <c r="S643" t="s">
        <v>793</v>
      </c>
      <c r="T643">
        <v>2333.616988</v>
      </c>
      <c r="U643" s="2">
        <v>44502</v>
      </c>
      <c r="V643" t="s">
        <v>802</v>
      </c>
    </row>
    <row r="644" spans="1:22">
      <c r="A644" s="1" t="s">
        <v>664</v>
      </c>
      <c r="B644">
        <f>HYPERLINK("https://www.suredividend.com/sure-analysis-HR/","Healthcare Realty Trust, Inc.")</f>
        <v>0</v>
      </c>
      <c r="C644">
        <v>32.7</v>
      </c>
      <c r="D644">
        <v>32</v>
      </c>
      <c r="E644">
        <v>1.021875</v>
      </c>
      <c r="F644">
        <v>0.03700305810397553</v>
      </c>
      <c r="G644">
        <v>-0.004318483438279119</v>
      </c>
      <c r="H644">
        <v>0.06</v>
      </c>
      <c r="I644">
        <v>0.08448086695923052</v>
      </c>
      <c r="J644" t="s">
        <v>777</v>
      </c>
      <c r="K644" t="s">
        <v>514</v>
      </c>
      <c r="L644">
        <v>1.72</v>
      </c>
      <c r="M644">
        <v>1.21</v>
      </c>
      <c r="N644">
        <v>0.7034883720930233</v>
      </c>
      <c r="O644">
        <v>1</v>
      </c>
      <c r="P644">
        <v>0.00972630418295628</v>
      </c>
      <c r="Q644">
        <v>0.038610113308784</v>
      </c>
      <c r="R644" t="s">
        <v>781</v>
      </c>
      <c r="S644" t="s">
        <v>793</v>
      </c>
      <c r="T644">
        <v>4752.322409</v>
      </c>
      <c r="U644" s="2">
        <v>44513</v>
      </c>
      <c r="V644" t="s">
        <v>801</v>
      </c>
    </row>
    <row r="645" spans="1:22">
      <c r="A645" s="1" t="s">
        <v>665</v>
      </c>
      <c r="B645">
        <f>HYPERLINK("https://www.suredividend.com/sure-analysis-EXR/","Extra Space Storage Inc.")</f>
        <v>0</v>
      </c>
      <c r="C645">
        <v>201.27</v>
      </c>
      <c r="D645">
        <v>150</v>
      </c>
      <c r="E645">
        <v>1.3418</v>
      </c>
      <c r="F645">
        <v>0.02484225170169424</v>
      </c>
      <c r="G645">
        <v>-0.0571069328530921</v>
      </c>
      <c r="H645">
        <v>0.12</v>
      </c>
      <c r="I645">
        <v>0.08232451043294375</v>
      </c>
      <c r="J645" t="s">
        <v>777</v>
      </c>
      <c r="K645" t="s">
        <v>514</v>
      </c>
      <c r="L645">
        <v>6.8</v>
      </c>
      <c r="M645">
        <v>5</v>
      </c>
      <c r="N645">
        <v>0.7352941176470589</v>
      </c>
      <c r="O645">
        <v>12</v>
      </c>
      <c r="P645">
        <v>0.1101240567487265</v>
      </c>
      <c r="Q645">
        <v>0.7354060193567871</v>
      </c>
      <c r="R645" t="s">
        <v>781</v>
      </c>
      <c r="S645" t="s">
        <v>793</v>
      </c>
      <c r="T645">
        <v>26615.012799</v>
      </c>
      <c r="U645" s="2">
        <v>44500</v>
      </c>
      <c r="V645" t="s">
        <v>794</v>
      </c>
    </row>
    <row r="646" spans="1:22">
      <c r="A646" s="1" t="s">
        <v>666</v>
      </c>
      <c r="B646">
        <f>HYPERLINK("https://www.suredividend.com/sure-analysis-NRZ/","New Residential Investment Corp")</f>
        <v>0</v>
      </c>
      <c r="C646">
        <v>11.13</v>
      </c>
      <c r="D646">
        <v>10</v>
      </c>
      <c r="E646">
        <v>1.113</v>
      </c>
      <c r="F646">
        <v>0.08984725965858041</v>
      </c>
      <c r="G646">
        <v>-0.02118420893632789</v>
      </c>
      <c r="H646">
        <v>0.02</v>
      </c>
      <c r="I646">
        <v>0.08207481236833525</v>
      </c>
      <c r="J646" t="s">
        <v>777</v>
      </c>
      <c r="K646" t="s">
        <v>366</v>
      </c>
      <c r="L646">
        <v>1.3</v>
      </c>
      <c r="M646">
        <v>1</v>
      </c>
      <c r="N646">
        <v>0.7692307692307692</v>
      </c>
      <c r="O646">
        <v>1</v>
      </c>
      <c r="P646">
        <v>0.03012896281839894</v>
      </c>
      <c r="Q646">
        <v>0.418867166409261</v>
      </c>
      <c r="R646" t="s">
        <v>781</v>
      </c>
      <c r="S646" t="s">
        <v>793</v>
      </c>
      <c r="T646">
        <v>5272.353096</v>
      </c>
      <c r="U646" s="2">
        <v>44503</v>
      </c>
      <c r="V646" t="s">
        <v>797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18.42</v>
      </c>
      <c r="D647">
        <v>17</v>
      </c>
      <c r="E647">
        <v>1.083529411764706</v>
      </c>
      <c r="F647">
        <v>0.1020629750271444</v>
      </c>
      <c r="G647">
        <v>-0.0159167062123825</v>
      </c>
      <c r="H647">
        <v>0.01</v>
      </c>
      <c r="I647">
        <v>0.0816084977975533</v>
      </c>
      <c r="J647" t="s">
        <v>777</v>
      </c>
      <c r="K647" t="s">
        <v>366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0.203192221371935</v>
      </c>
      <c r="R647" t="s">
        <v>781</v>
      </c>
      <c r="S647" t="s">
        <v>790</v>
      </c>
      <c r="T647">
        <v>1814.995245</v>
      </c>
      <c r="U647" s="2">
        <v>44512</v>
      </c>
      <c r="V647" t="s">
        <v>801</v>
      </c>
    </row>
    <row r="648" spans="1:22">
      <c r="A648" s="1" t="s">
        <v>668</v>
      </c>
      <c r="B648">
        <f>HYPERLINK("https://www.suredividend.com/sure-analysis-SSREY/","Swiss Re Ltd")</f>
        <v>0</v>
      </c>
      <c r="C648">
        <v>23.98</v>
      </c>
      <c r="D648">
        <v>21</v>
      </c>
      <c r="E648">
        <v>1.141904761904762</v>
      </c>
      <c r="F648">
        <v>0.06713928273561301</v>
      </c>
      <c r="G648">
        <v>-0.02619046366784727</v>
      </c>
      <c r="H648">
        <v>0.05</v>
      </c>
      <c r="I648">
        <v>0.08073831669755105</v>
      </c>
      <c r="J648" t="s">
        <v>777</v>
      </c>
      <c r="K648" t="s">
        <v>366</v>
      </c>
      <c r="L648">
        <v>1.75</v>
      </c>
      <c r="M648">
        <v>1.61</v>
      </c>
      <c r="N648">
        <v>0.92</v>
      </c>
      <c r="O648">
        <v>5</v>
      </c>
      <c r="P648">
        <v>0.02027871203234244</v>
      </c>
      <c r="Q648">
        <v>0.087727272727272</v>
      </c>
      <c r="R648" t="s">
        <v>779</v>
      </c>
      <c r="S648" t="s">
        <v>790</v>
      </c>
      <c r="T648">
        <v>30390.84213</v>
      </c>
      <c r="U648" s="2">
        <v>44503</v>
      </c>
      <c r="V648" t="s">
        <v>794</v>
      </c>
    </row>
    <row r="649" spans="1:22">
      <c r="A649" s="1" t="s">
        <v>669</v>
      </c>
      <c r="B649">
        <f>HYPERLINK("https://www.suredividend.com/sure-analysis-NLY/","Annaly Capital Management Inc")</f>
        <v>0</v>
      </c>
      <c r="C649">
        <v>8.42</v>
      </c>
      <c r="D649">
        <v>7.8</v>
      </c>
      <c r="E649">
        <v>1.079487179487179</v>
      </c>
      <c r="F649">
        <v>0.1045130641330166</v>
      </c>
      <c r="G649">
        <v>-0.01518081078793476</v>
      </c>
      <c r="H649">
        <v>-0.004</v>
      </c>
      <c r="I649">
        <v>0.0804773707271349</v>
      </c>
      <c r="J649" t="s">
        <v>777</v>
      </c>
      <c r="K649" t="s">
        <v>776</v>
      </c>
      <c r="L649">
        <v>1.12</v>
      </c>
      <c r="M649">
        <v>0.88</v>
      </c>
      <c r="N649">
        <v>0.7857142857142857</v>
      </c>
      <c r="O649">
        <v>0</v>
      </c>
      <c r="P649">
        <v>0.02589630491023409</v>
      </c>
      <c r="Q649">
        <v>0.219459892207179</v>
      </c>
      <c r="R649" t="s">
        <v>781</v>
      </c>
      <c r="S649" t="s">
        <v>793</v>
      </c>
      <c r="T649">
        <v>12369.529469</v>
      </c>
      <c r="U649" s="2">
        <v>44503</v>
      </c>
      <c r="V649" t="s">
        <v>804</v>
      </c>
    </row>
    <row r="650" spans="1:22">
      <c r="A650" s="1" t="s">
        <v>670</v>
      </c>
      <c r="B650">
        <f>HYPERLINK("https://www.suredividend.com/sure-analysis-KREF/","KKR Real Estate Finance Trust Inc")</f>
        <v>0</v>
      </c>
      <c r="C650">
        <v>21.79</v>
      </c>
      <c r="D650">
        <v>21.53</v>
      </c>
      <c r="E650">
        <v>1.012076172782164</v>
      </c>
      <c r="F650">
        <v>0.07893529141808169</v>
      </c>
      <c r="G650">
        <v>-0.002397887978545898</v>
      </c>
      <c r="H650">
        <v>0.015</v>
      </c>
      <c r="I650">
        <v>0.08030631779133923</v>
      </c>
      <c r="J650" t="s">
        <v>777</v>
      </c>
      <c r="K650" t="s">
        <v>366</v>
      </c>
      <c r="L650">
        <v>2.05</v>
      </c>
      <c r="M650">
        <v>1.72</v>
      </c>
      <c r="N650">
        <v>0.8390243902439025</v>
      </c>
      <c r="O650">
        <v>0</v>
      </c>
      <c r="P650">
        <v>0.01025271344829148</v>
      </c>
      <c r="Q650">
        <v>0.30047871836193</v>
      </c>
      <c r="R650" t="s">
        <v>781</v>
      </c>
      <c r="S650" t="s">
        <v>793</v>
      </c>
      <c r="T650">
        <v>1225.322972</v>
      </c>
      <c r="U650" s="2">
        <v>44495</v>
      </c>
      <c r="V650" t="s">
        <v>794</v>
      </c>
    </row>
    <row r="651" spans="1:22">
      <c r="A651" s="1" t="s">
        <v>671</v>
      </c>
      <c r="B651">
        <f>HYPERLINK("https://www.suredividend.com/sure-analysis-KNOP/","KNOT Offshore Partners LP")</f>
        <v>0</v>
      </c>
      <c r="C651">
        <v>18.33</v>
      </c>
      <c r="D651">
        <v>16.5</v>
      </c>
      <c r="E651">
        <v>1.110909090909091</v>
      </c>
      <c r="F651">
        <v>0.1134751773049646</v>
      </c>
      <c r="G651">
        <v>-0.02081602835928542</v>
      </c>
      <c r="H651">
        <v>0</v>
      </c>
      <c r="I651">
        <v>0.07973694816082921</v>
      </c>
      <c r="J651" t="s">
        <v>777</v>
      </c>
      <c r="K651" t="s">
        <v>776</v>
      </c>
      <c r="L651">
        <v>2.75</v>
      </c>
      <c r="M651">
        <v>2.08</v>
      </c>
      <c r="N651">
        <v>0.7563636363636363</v>
      </c>
      <c r="O651">
        <v>0</v>
      </c>
      <c r="P651">
        <v>0</v>
      </c>
      <c r="Q651">
        <v>0.534740178496955</v>
      </c>
      <c r="R651" t="s">
        <v>780</v>
      </c>
      <c r="S651" t="s">
        <v>786</v>
      </c>
      <c r="T651">
        <v>605.532702</v>
      </c>
      <c r="U651" s="2">
        <v>44435</v>
      </c>
      <c r="V651" t="s">
        <v>794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45.57</v>
      </c>
      <c r="D652">
        <v>43</v>
      </c>
      <c r="E652">
        <v>1.059767441860465</v>
      </c>
      <c r="F652">
        <v>0.03818301514154049</v>
      </c>
      <c r="G652">
        <v>-0.01154276311220725</v>
      </c>
      <c r="H652">
        <v>0.06</v>
      </c>
      <c r="I652">
        <v>0.07941654911671736</v>
      </c>
      <c r="J652" t="s">
        <v>777</v>
      </c>
      <c r="K652" t="s">
        <v>514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0.020465239074354</v>
      </c>
      <c r="R652" t="s">
        <v>781</v>
      </c>
      <c r="S652" t="s">
        <v>793</v>
      </c>
      <c r="T652">
        <v>1139.452099</v>
      </c>
      <c r="U652" s="2">
        <v>44508</v>
      </c>
      <c r="V652" t="s">
        <v>801</v>
      </c>
    </row>
    <row r="653" spans="1:22">
      <c r="A653" s="1" t="s">
        <v>673</v>
      </c>
      <c r="B653">
        <f>HYPERLINK("https://www.suredividend.com/sure-analysis-MRCC/","Monroe Capital Corp")</f>
        <v>0</v>
      </c>
      <c r="C653">
        <v>11.59</v>
      </c>
      <c r="D653">
        <v>11.6</v>
      </c>
      <c r="E653">
        <v>0.9991379310344828</v>
      </c>
      <c r="F653">
        <v>0.08628127696289906</v>
      </c>
      <c r="G653">
        <v>0.0001725030290684604</v>
      </c>
      <c r="H653">
        <v>0</v>
      </c>
      <c r="I653">
        <v>0.0783036131511512</v>
      </c>
      <c r="J653" t="s">
        <v>777</v>
      </c>
      <c r="K653" t="s">
        <v>776</v>
      </c>
      <c r="L653">
        <v>1.45</v>
      </c>
      <c r="M653">
        <v>1</v>
      </c>
      <c r="N653">
        <v>0.6896551724137931</v>
      </c>
      <c r="O653">
        <v>0</v>
      </c>
      <c r="P653">
        <v>0.01924487649145656</v>
      </c>
      <c r="Q653">
        <v>0.6376795011156241</v>
      </c>
      <c r="R653" t="s">
        <v>782</v>
      </c>
      <c r="S653" t="s">
        <v>790</v>
      </c>
      <c r="T653">
        <v>246.673533</v>
      </c>
      <c r="U653" s="2">
        <v>44507</v>
      </c>
      <c r="V653" t="s">
        <v>794</v>
      </c>
    </row>
    <row r="654" spans="1:22">
      <c r="A654" s="1" t="s">
        <v>674</v>
      </c>
      <c r="B654">
        <f>HYPERLINK("https://www.suredividend.com/sure-analysis-EPR/","EPR Properties")</f>
        <v>0</v>
      </c>
      <c r="C654">
        <v>50.75</v>
      </c>
      <c r="D654">
        <v>39</v>
      </c>
      <c r="E654">
        <v>1.301282051282051</v>
      </c>
      <c r="F654">
        <v>0.05911330049261083</v>
      </c>
      <c r="G654">
        <v>-0.05130696511651112</v>
      </c>
      <c r="H654">
        <v>0.08</v>
      </c>
      <c r="I654">
        <v>0.07751749191552837</v>
      </c>
      <c r="J654" t="s">
        <v>777</v>
      </c>
      <c r="K654" t="s">
        <v>514</v>
      </c>
      <c r="L654">
        <v>2.8</v>
      </c>
      <c r="M654">
        <v>3</v>
      </c>
      <c r="N654">
        <v>1.071428571428571</v>
      </c>
      <c r="O654">
        <v>0</v>
      </c>
      <c r="P654">
        <v>0.03012896281839894</v>
      </c>
      <c r="Q654">
        <v>0.6552241483341751</v>
      </c>
      <c r="R654" t="s">
        <v>781</v>
      </c>
      <c r="S654" t="s">
        <v>793</v>
      </c>
      <c r="T654">
        <v>3796.375725</v>
      </c>
      <c r="U654" s="2">
        <v>44428</v>
      </c>
      <c r="V654" t="s">
        <v>799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15.7</v>
      </c>
      <c r="D655">
        <v>15</v>
      </c>
      <c r="E655">
        <v>1.046666666666667</v>
      </c>
      <c r="F655">
        <v>0.06878980891719746</v>
      </c>
      <c r="G655">
        <v>-0.009080622100222313</v>
      </c>
      <c r="H655">
        <v>0.03</v>
      </c>
      <c r="I655">
        <v>0.07737165839791516</v>
      </c>
      <c r="J655" t="s">
        <v>777</v>
      </c>
      <c r="K655" t="s">
        <v>366</v>
      </c>
      <c r="L655">
        <v>1.1</v>
      </c>
      <c r="M655">
        <v>1.08</v>
      </c>
      <c r="N655">
        <v>0.9818181818181818</v>
      </c>
      <c r="O655">
        <v>0</v>
      </c>
      <c r="P655">
        <v>0</v>
      </c>
      <c r="Q655">
        <v>0.022008087194429</v>
      </c>
      <c r="R655" t="s">
        <v>779</v>
      </c>
      <c r="S655" t="s">
        <v>783</v>
      </c>
      <c r="T655">
        <v>44065.994984</v>
      </c>
      <c r="U655" s="2">
        <v>44429</v>
      </c>
      <c r="V655" t="s">
        <v>799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15.5</v>
      </c>
      <c r="D656">
        <v>15.87</v>
      </c>
      <c r="E656">
        <v>0.9766855702583491</v>
      </c>
      <c r="F656">
        <v>0.08516129032258064</v>
      </c>
      <c r="G656">
        <v>0.004729249891652021</v>
      </c>
      <c r="H656">
        <v>0</v>
      </c>
      <c r="I656">
        <v>0.07709565722752898</v>
      </c>
      <c r="J656" t="s">
        <v>777</v>
      </c>
      <c r="K656" t="s">
        <v>366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0.4854201752228121</v>
      </c>
      <c r="R656" t="s">
        <v>781</v>
      </c>
      <c r="S656" t="s">
        <v>793</v>
      </c>
      <c r="T656">
        <v>737.92859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HYPERLINK("https://www.suredividend.com/sure-analysis-NTST/","Netstreit Corp")</f>
        <v>0</v>
      </c>
      <c r="C657">
        <v>23.62</v>
      </c>
      <c r="D657">
        <v>21</v>
      </c>
      <c r="E657">
        <v>1.124761904761905</v>
      </c>
      <c r="F657">
        <v>0.03386960203217612</v>
      </c>
      <c r="G657">
        <v>-0.0232399682983655</v>
      </c>
      <c r="H657">
        <v>0.07000000000000001</v>
      </c>
      <c r="I657">
        <v>0.07615567575386684</v>
      </c>
      <c r="J657" t="s">
        <v>777</v>
      </c>
      <c r="K657" t="s">
        <v>514</v>
      </c>
      <c r="L657">
        <v>0.9399999999999999</v>
      </c>
      <c r="M657">
        <v>0.8</v>
      </c>
      <c r="N657">
        <v>0.8510638297872342</v>
      </c>
      <c r="O657">
        <v>1</v>
      </c>
      <c r="P657">
        <v>0.04978904632428516</v>
      </c>
      <c r="Q657">
        <v>0.306095479323825</v>
      </c>
      <c r="R657" t="s">
        <v>781</v>
      </c>
      <c r="S657" t="s">
        <v>793</v>
      </c>
      <c r="T657">
        <v>939.903197</v>
      </c>
      <c r="U657" s="2">
        <v>44502</v>
      </c>
      <c r="V657" t="s">
        <v>801</v>
      </c>
    </row>
    <row r="658" spans="1:22">
      <c r="A658" s="1" t="s">
        <v>678</v>
      </c>
      <c r="B658">
        <f>HYPERLINK("https://www.suredividend.com/sure-analysis-E/","Eni Spa")</f>
        <v>0</v>
      </c>
      <c r="C658">
        <v>28.34</v>
      </c>
      <c r="D658">
        <v>29</v>
      </c>
      <c r="E658">
        <v>0.9772413793103448</v>
      </c>
      <c r="F658">
        <v>0.05575158786167961</v>
      </c>
      <c r="G658">
        <v>0.004614935309330992</v>
      </c>
      <c r="H658">
        <v>0.02</v>
      </c>
      <c r="I658">
        <v>0.07483044687296458</v>
      </c>
      <c r="J658" t="s">
        <v>777</v>
      </c>
      <c r="K658" t="s">
        <v>366</v>
      </c>
      <c r="L658">
        <v>2.3</v>
      </c>
      <c r="M658">
        <v>1.58</v>
      </c>
      <c r="N658">
        <v>0.6869565217391305</v>
      </c>
      <c r="O658">
        <v>1</v>
      </c>
      <c r="P658">
        <v>0.02981402116536103</v>
      </c>
      <c r="Q658">
        <v>0.600255234832838</v>
      </c>
      <c r="R658" t="s">
        <v>779</v>
      </c>
      <c r="S658" t="s">
        <v>792</v>
      </c>
      <c r="T658">
        <v>51541.978352</v>
      </c>
      <c r="U658" s="2">
        <v>44502</v>
      </c>
      <c r="V658" t="s">
        <v>802</v>
      </c>
    </row>
    <row r="659" spans="1:22">
      <c r="A659" s="1" t="s">
        <v>679</v>
      </c>
      <c r="B659">
        <f>HYPERLINK("https://www.suredividend.com/sure-analysis-ILPT/","Industrial Logistics Properties Trust")</f>
        <v>0</v>
      </c>
      <c r="C659">
        <v>24.37</v>
      </c>
      <c r="D659">
        <v>24</v>
      </c>
      <c r="E659">
        <v>1.015416666666667</v>
      </c>
      <c r="F659">
        <v>0.05416495691423882</v>
      </c>
      <c r="G659">
        <v>-0.003055131017878909</v>
      </c>
      <c r="H659">
        <v>0.03</v>
      </c>
      <c r="I659">
        <v>0.07408061521819054</v>
      </c>
      <c r="J659" t="s">
        <v>777</v>
      </c>
      <c r="K659" t="s">
        <v>366</v>
      </c>
      <c r="L659">
        <v>1.87</v>
      </c>
      <c r="M659">
        <v>1.32</v>
      </c>
      <c r="N659">
        <v>0.7058823529411765</v>
      </c>
      <c r="O659">
        <v>0</v>
      </c>
      <c r="P659">
        <v>0.02036554426441151</v>
      </c>
      <c r="Q659">
        <v>0.171060117580125</v>
      </c>
      <c r="R659" t="s">
        <v>781</v>
      </c>
      <c r="S659" t="s">
        <v>793</v>
      </c>
      <c r="T659">
        <v>1615.493422</v>
      </c>
      <c r="U659" s="2">
        <v>44498</v>
      </c>
      <c r="V659" t="s">
        <v>794</v>
      </c>
    </row>
    <row r="660" spans="1:22">
      <c r="A660" s="1" t="s">
        <v>680</v>
      </c>
      <c r="B660">
        <f>HYPERLINK("https://www.suredividend.com/sure-analysis-NMFC/","New Mountain Finance Corp")</f>
        <v>0</v>
      </c>
      <c r="C660">
        <v>13.75</v>
      </c>
      <c r="D660">
        <v>14</v>
      </c>
      <c r="E660">
        <v>0.9821428571428571</v>
      </c>
      <c r="F660">
        <v>0.08727272727272727</v>
      </c>
      <c r="G660">
        <v>0.003610202238386817</v>
      </c>
      <c r="H660">
        <v>-0.005</v>
      </c>
      <c r="I660">
        <v>0.07306824947264245</v>
      </c>
      <c r="J660" t="s">
        <v>777</v>
      </c>
      <c r="K660" t="s">
        <v>366</v>
      </c>
      <c r="L660">
        <v>1.25</v>
      </c>
      <c r="M660">
        <v>1.2</v>
      </c>
      <c r="N660">
        <v>0.96</v>
      </c>
      <c r="O660">
        <v>0</v>
      </c>
      <c r="P660">
        <v>-0.005050763379468082</v>
      </c>
      <c r="Q660">
        <v>0.343614908283678</v>
      </c>
      <c r="R660" t="s">
        <v>782</v>
      </c>
      <c r="S660" t="s">
        <v>790</v>
      </c>
      <c r="T660">
        <v>1337.316434</v>
      </c>
      <c r="U660" s="2">
        <v>44509</v>
      </c>
      <c r="V660" t="s">
        <v>794</v>
      </c>
    </row>
    <row r="661" spans="1:22">
      <c r="A661" s="1" t="s">
        <v>681</v>
      </c>
      <c r="B661">
        <f>HYPERLINK("https://www.suredividend.com/sure-analysis-XRX/","Xerox Holdings Corp")</f>
        <v>0</v>
      </c>
      <c r="C661">
        <v>19.61</v>
      </c>
      <c r="D661">
        <v>16</v>
      </c>
      <c r="E661">
        <v>1.225625</v>
      </c>
      <c r="F661">
        <v>0.05099439061703213</v>
      </c>
      <c r="G661">
        <v>-0.03987345317055779</v>
      </c>
      <c r="H661">
        <v>0.07000000000000001</v>
      </c>
      <c r="I661">
        <v>0.06950771714762816</v>
      </c>
      <c r="J661" t="s">
        <v>777</v>
      </c>
      <c r="K661" t="s">
        <v>366</v>
      </c>
      <c r="L661">
        <v>1.6</v>
      </c>
      <c r="M661">
        <v>1</v>
      </c>
      <c r="N661">
        <v>0.625</v>
      </c>
      <c r="O661">
        <v>0</v>
      </c>
      <c r="P661">
        <v>0</v>
      </c>
      <c r="Q661">
        <v>-0.09100532509791801</v>
      </c>
      <c r="R661" t="s">
        <v>779</v>
      </c>
      <c r="S661" t="s">
        <v>785</v>
      </c>
      <c r="T661">
        <v>3525.613106</v>
      </c>
      <c r="U661" s="2">
        <v>44512</v>
      </c>
      <c r="V661" t="s">
        <v>799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15.35</v>
      </c>
      <c r="D662">
        <v>15.6</v>
      </c>
      <c r="E662">
        <v>0.9839743589743589</v>
      </c>
      <c r="F662">
        <v>0.0755700325732899</v>
      </c>
      <c r="G662">
        <v>0.003236313636032273</v>
      </c>
      <c r="H662">
        <v>0</v>
      </c>
      <c r="I662">
        <v>0.06871296666941751</v>
      </c>
      <c r="J662" t="s">
        <v>777</v>
      </c>
      <c r="K662" t="s">
        <v>366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0.175803286730439</v>
      </c>
      <c r="R662" t="s">
        <v>782</v>
      </c>
      <c r="S662" t="s">
        <v>790</v>
      </c>
      <c r="T662">
        <v>2594.789486</v>
      </c>
      <c r="U662" s="2">
        <v>44418</v>
      </c>
      <c r="V662" t="s">
        <v>794</v>
      </c>
    </row>
    <row r="663" spans="1:22">
      <c r="A663" s="1" t="s">
        <v>683</v>
      </c>
      <c r="B663">
        <f>HYPERLINK("https://www.suredividend.com/sure-analysis-EIC/","Eagle Point Income Company Inc")</f>
        <v>0</v>
      </c>
      <c r="C663">
        <v>17.92</v>
      </c>
      <c r="D663">
        <v>15.86</v>
      </c>
      <c r="E663">
        <v>1.129886506935687</v>
      </c>
      <c r="F663">
        <v>0.07421875</v>
      </c>
      <c r="G663">
        <v>-0.02412759946047449</v>
      </c>
      <c r="H663">
        <v>0.02</v>
      </c>
      <c r="I663">
        <v>0.06819254361285521</v>
      </c>
      <c r="J663" t="s">
        <v>777</v>
      </c>
      <c r="K663" t="s">
        <v>366</v>
      </c>
      <c r="L663">
        <v>1.22</v>
      </c>
      <c r="M663">
        <v>1.33</v>
      </c>
      <c r="N663">
        <v>1.090163934426229</v>
      </c>
      <c r="O663">
        <v>1</v>
      </c>
      <c r="P663">
        <v>0.03635631157614205</v>
      </c>
      <c r="Q663">
        <v>0.446282651839591</v>
      </c>
      <c r="R663" t="s">
        <v>779</v>
      </c>
      <c r="S663" t="s">
        <v>790</v>
      </c>
      <c r="T663">
        <v>109.916244</v>
      </c>
      <c r="U663" s="2">
        <v>44517</v>
      </c>
      <c r="V663" t="s">
        <v>794</v>
      </c>
    </row>
    <row r="664" spans="1:22">
      <c r="A664" s="1" t="s">
        <v>684</v>
      </c>
      <c r="B664">
        <f>HYPERLINK("https://www.suredividend.com/sure-analysis-GSK/","Glaxosmithkline plc")</f>
        <v>0</v>
      </c>
      <c r="C664">
        <v>42.0266</v>
      </c>
      <c r="D664">
        <v>40</v>
      </c>
      <c r="E664">
        <v>1.050665</v>
      </c>
      <c r="F664">
        <v>0.05234779877506151</v>
      </c>
      <c r="G664">
        <v>-0.009835966729490053</v>
      </c>
      <c r="H664">
        <v>0.03</v>
      </c>
      <c r="I664">
        <v>0.06801700327501026</v>
      </c>
      <c r="J664" t="s">
        <v>777</v>
      </c>
      <c r="K664" t="s">
        <v>366</v>
      </c>
      <c r="L664">
        <v>2.9</v>
      </c>
      <c r="M664">
        <v>2.2</v>
      </c>
      <c r="N664">
        <v>0.7586206896551725</v>
      </c>
      <c r="O664">
        <v>3</v>
      </c>
      <c r="P664">
        <v>0.02996744995959233</v>
      </c>
      <c r="Q664">
        <v>0.165296402541965</v>
      </c>
      <c r="R664" t="s">
        <v>779</v>
      </c>
      <c r="S664" t="s">
        <v>784</v>
      </c>
      <c r="T664">
        <v>106784.592218</v>
      </c>
      <c r="U664" s="2">
        <v>44496</v>
      </c>
      <c r="V664" t="s">
        <v>795</v>
      </c>
    </row>
    <row r="665" spans="1:22">
      <c r="A665" s="1" t="s">
        <v>685</v>
      </c>
      <c r="B665">
        <f>HYPERLINK("https://www.suredividend.com/sure-analysis-CORR/","CorEnergy Infrastructure Trust Inc")</f>
        <v>0</v>
      </c>
      <c r="C665">
        <v>4.52</v>
      </c>
      <c r="D665">
        <v>4.69</v>
      </c>
      <c r="E665">
        <v>0.9637526652452024</v>
      </c>
      <c r="F665">
        <v>0.04424778761061948</v>
      </c>
      <c r="G665">
        <v>0.007411447547549077</v>
      </c>
      <c r="H665">
        <v>0.02</v>
      </c>
      <c r="I665">
        <v>0.06449554347852837</v>
      </c>
      <c r="J665" t="s">
        <v>777</v>
      </c>
      <c r="K665" t="s">
        <v>514</v>
      </c>
      <c r="L665">
        <v>-1.19</v>
      </c>
      <c r="M665">
        <v>0.2</v>
      </c>
      <c r="N665">
        <v>9.99</v>
      </c>
      <c r="O665">
        <v>0</v>
      </c>
      <c r="P665">
        <v>0</v>
      </c>
      <c r="Q665">
        <v>-0.07861283433336701</v>
      </c>
      <c r="R665" t="s">
        <v>779</v>
      </c>
      <c r="S665" t="s">
        <v>793</v>
      </c>
      <c r="T665">
        <v>67.346599</v>
      </c>
      <c r="U665" s="2">
        <v>44514</v>
      </c>
      <c r="V665" t="s">
        <v>795</v>
      </c>
    </row>
    <row r="666" spans="1:22">
      <c r="A666" s="1" t="s">
        <v>686</v>
      </c>
      <c r="B666">
        <f>HYPERLINK("https://www.suredividend.com/sure-analysis-GMRE/","Global Medical REIT Inc")</f>
        <v>0</v>
      </c>
      <c r="C666">
        <v>16.52</v>
      </c>
      <c r="D666">
        <v>14.25</v>
      </c>
      <c r="E666">
        <v>1.159298245614035</v>
      </c>
      <c r="F666">
        <v>0.04963680387409201</v>
      </c>
      <c r="G666">
        <v>-0.02913026216057812</v>
      </c>
      <c r="H666">
        <v>0.05</v>
      </c>
      <c r="I666">
        <v>0.06284963523780518</v>
      </c>
      <c r="J666" t="s">
        <v>777</v>
      </c>
      <c r="K666" t="s">
        <v>514</v>
      </c>
      <c r="L666">
        <v>0.95</v>
      </c>
      <c r="M666">
        <v>0.82</v>
      </c>
      <c r="N666">
        <v>0.8631578947368421</v>
      </c>
      <c r="O666">
        <v>1</v>
      </c>
      <c r="P666">
        <v>0.009571122817161548</v>
      </c>
      <c r="Q666">
        <v>0.213505447274902</v>
      </c>
      <c r="R666" t="s">
        <v>781</v>
      </c>
      <c r="S666" t="s">
        <v>793</v>
      </c>
      <c r="T666">
        <v>1067.777759</v>
      </c>
      <c r="U666" s="2">
        <v>44504</v>
      </c>
      <c r="V666" t="s">
        <v>794</v>
      </c>
    </row>
    <row r="667" spans="1:22">
      <c r="A667" s="1" t="s">
        <v>687</v>
      </c>
      <c r="B667">
        <f>HYPERLINK("https://www.suredividend.com/sure-analysis-IDEXY/","Industria De Diseno Textil SA")</f>
        <v>0</v>
      </c>
      <c r="C667">
        <v>17.894</v>
      </c>
      <c r="D667">
        <v>13.5</v>
      </c>
      <c r="E667">
        <v>1.325481481481481</v>
      </c>
      <c r="F667">
        <v>0.02347155471107634</v>
      </c>
      <c r="G667">
        <v>-0.05479661756438603</v>
      </c>
      <c r="H667">
        <v>0.1</v>
      </c>
      <c r="I667">
        <v>0.06214814494139742</v>
      </c>
      <c r="J667" t="s">
        <v>777</v>
      </c>
      <c r="K667" t="s">
        <v>777</v>
      </c>
      <c r="L667">
        <v>0.54</v>
      </c>
      <c r="M667">
        <v>0.42</v>
      </c>
      <c r="N667">
        <v>0.7777777777777777</v>
      </c>
      <c r="O667">
        <v>0</v>
      </c>
      <c r="P667">
        <v>0.05154749679728043</v>
      </c>
      <c r="Q667">
        <v>0.09456985967053001</v>
      </c>
      <c r="R667" t="s">
        <v>779</v>
      </c>
      <c r="S667" t="s">
        <v>788</v>
      </c>
      <c r="T667">
        <v>111825.47376</v>
      </c>
      <c r="U667" s="2">
        <v>44458</v>
      </c>
      <c r="V667" t="s">
        <v>794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143.04</v>
      </c>
      <c r="D668">
        <v>128</v>
      </c>
      <c r="E668">
        <v>1.1175</v>
      </c>
      <c r="F668">
        <v>0.03635346756152125</v>
      </c>
      <c r="G668">
        <v>-0.0219737897904061</v>
      </c>
      <c r="H668">
        <v>0.052</v>
      </c>
      <c r="I668">
        <v>0.06205230469273348</v>
      </c>
      <c r="J668" t="s">
        <v>777</v>
      </c>
      <c r="K668" t="s">
        <v>514</v>
      </c>
      <c r="L668">
        <v>8.52</v>
      </c>
      <c r="M668">
        <v>5.2</v>
      </c>
      <c r="N668">
        <v>0.6103286384976526</v>
      </c>
      <c r="O668">
        <v>0</v>
      </c>
      <c r="P668">
        <v>0.02903366107118788</v>
      </c>
      <c r="Q668">
        <v>0.055743085312867</v>
      </c>
      <c r="R668" t="s">
        <v>779</v>
      </c>
      <c r="S668" t="s">
        <v>788</v>
      </c>
      <c r="T668">
        <v>3318.699321</v>
      </c>
      <c r="U668" s="2">
        <v>44466</v>
      </c>
      <c r="V668" t="s">
        <v>804</v>
      </c>
    </row>
    <row r="669" spans="1:22">
      <c r="A669" s="1" t="s">
        <v>689</v>
      </c>
      <c r="B669">
        <f>HYPERLINK("https://www.suredividend.com/sure-analysis-TSLX/","Sixth Street Specialty Lending Inc")</f>
        <v>0</v>
      </c>
      <c r="C669">
        <v>24.31</v>
      </c>
      <c r="D669">
        <v>21.78</v>
      </c>
      <c r="E669">
        <v>1.116161616161616</v>
      </c>
      <c r="F669">
        <v>0.067461949814891</v>
      </c>
      <c r="G669">
        <v>-0.02173935293615015</v>
      </c>
      <c r="H669">
        <v>0.02</v>
      </c>
      <c r="I669">
        <v>0.06141624676899848</v>
      </c>
      <c r="J669" t="s">
        <v>777</v>
      </c>
      <c r="K669" t="s">
        <v>366</v>
      </c>
      <c r="L669">
        <v>1.98</v>
      </c>
      <c r="M669">
        <v>1.64</v>
      </c>
      <c r="N669">
        <v>0.8282828282828283</v>
      </c>
      <c r="O669">
        <v>6</v>
      </c>
      <c r="P669">
        <v>0.01992196624507558</v>
      </c>
      <c r="Q669">
        <v>0.421784432389736</v>
      </c>
      <c r="R669" t="s">
        <v>782</v>
      </c>
      <c r="S669" t="s">
        <v>790</v>
      </c>
      <c r="T669">
        <v>1789.577793</v>
      </c>
      <c r="U669" s="2">
        <v>44504</v>
      </c>
      <c r="V669" t="s">
        <v>794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17.37</v>
      </c>
      <c r="D670">
        <v>15.76</v>
      </c>
      <c r="E670">
        <v>1.102157360406091</v>
      </c>
      <c r="F670">
        <v>0.0690846286701209</v>
      </c>
      <c r="G670">
        <v>-0.01926589319191441</v>
      </c>
      <c r="H670">
        <v>0.02</v>
      </c>
      <c r="I670">
        <v>0.06141292381714458</v>
      </c>
      <c r="J670" t="s">
        <v>777</v>
      </c>
      <c r="K670" t="s">
        <v>366</v>
      </c>
      <c r="L670">
        <v>1.37</v>
      </c>
      <c r="M670">
        <v>1.2</v>
      </c>
      <c r="N670">
        <v>0.875912408759124</v>
      </c>
      <c r="O670">
        <v>0</v>
      </c>
      <c r="P670">
        <v>0</v>
      </c>
      <c r="Q670">
        <v>0.6170272796205191</v>
      </c>
      <c r="R670" t="s">
        <v>782</v>
      </c>
      <c r="S670" t="s">
        <v>790</v>
      </c>
      <c r="T670">
        <v>374.635637</v>
      </c>
      <c r="U670" s="2">
        <v>44502</v>
      </c>
      <c r="V670" t="s">
        <v>794</v>
      </c>
    </row>
    <row r="671" spans="1:22">
      <c r="A671" s="1" t="s">
        <v>691</v>
      </c>
      <c r="B671">
        <f>HYPERLINK("https://www.suredividend.com/sure-analysis-ARR/","ARMOUR Residential REIT Inc")</f>
        <v>0</v>
      </c>
      <c r="C671">
        <v>10.35</v>
      </c>
      <c r="D671">
        <v>6.7</v>
      </c>
      <c r="E671">
        <v>1.544776119402985</v>
      </c>
      <c r="F671">
        <v>0.1159420289855072</v>
      </c>
      <c r="G671">
        <v>-0.08330071928698346</v>
      </c>
      <c r="H671">
        <v>0.046</v>
      </c>
      <c r="I671">
        <v>0.06123387314801043</v>
      </c>
      <c r="J671" t="s">
        <v>777</v>
      </c>
      <c r="K671" t="s">
        <v>366</v>
      </c>
      <c r="L671">
        <v>0.96</v>
      </c>
      <c r="M671">
        <v>1.2</v>
      </c>
      <c r="N671">
        <v>1.25</v>
      </c>
      <c r="O671">
        <v>0</v>
      </c>
      <c r="P671">
        <v>-0.0263528193848318</v>
      </c>
      <c r="Q671">
        <v>0.09723879325038301</v>
      </c>
      <c r="R671" t="s">
        <v>781</v>
      </c>
      <c r="S671" t="s">
        <v>793</v>
      </c>
      <c r="T671">
        <v>923.796999</v>
      </c>
      <c r="U671" s="2">
        <v>44503</v>
      </c>
      <c r="V671" t="s">
        <v>804</v>
      </c>
    </row>
    <row r="672" spans="1:22">
      <c r="A672" s="1" t="s">
        <v>692</v>
      </c>
      <c r="B672">
        <f>HYPERLINK("https://www.suredividend.com/sure-analysis-VNO/","Vornado Realty Trust")</f>
        <v>0</v>
      </c>
      <c r="C672">
        <v>44.63</v>
      </c>
      <c r="D672">
        <v>42</v>
      </c>
      <c r="E672">
        <v>1.062619047619048</v>
      </c>
      <c r="F672">
        <v>0.04750168048397939</v>
      </c>
      <c r="G672">
        <v>-0.01207385106699643</v>
      </c>
      <c r="H672">
        <v>0.03</v>
      </c>
      <c r="I672">
        <v>0.06076495740981724</v>
      </c>
      <c r="J672" t="s">
        <v>777</v>
      </c>
      <c r="K672" t="s">
        <v>366</v>
      </c>
      <c r="L672">
        <v>2.8</v>
      </c>
      <c r="M672">
        <v>2.12</v>
      </c>
      <c r="N672">
        <v>0.7571428571428572</v>
      </c>
      <c r="O672">
        <v>0</v>
      </c>
      <c r="P672">
        <v>0.01994322923769842</v>
      </c>
      <c r="Q672">
        <v>0.191133984812844</v>
      </c>
      <c r="R672" t="s">
        <v>781</v>
      </c>
      <c r="S672" t="s">
        <v>793</v>
      </c>
      <c r="T672">
        <v>8671.955424</v>
      </c>
      <c r="U672" s="2">
        <v>44503</v>
      </c>
      <c r="V672" t="s">
        <v>794</v>
      </c>
    </row>
    <row r="673" spans="1:22">
      <c r="A673" s="1" t="s">
        <v>693</v>
      </c>
      <c r="B673">
        <f>HYPERLINK("https://www.suredividend.com/sure-analysis-FDUS/","Fidus Investment Corp")</f>
        <v>0</v>
      </c>
      <c r="C673">
        <v>18.15</v>
      </c>
      <c r="D673">
        <v>17.97</v>
      </c>
      <c r="E673">
        <v>1.010016694490818</v>
      </c>
      <c r="F673">
        <v>0.07052341597796144</v>
      </c>
      <c r="G673">
        <v>-0.001991386536610573</v>
      </c>
      <c r="H673">
        <v>0</v>
      </c>
      <c r="I673">
        <v>0.06070784269201424</v>
      </c>
      <c r="J673" t="s">
        <v>777</v>
      </c>
      <c r="K673" t="s">
        <v>366</v>
      </c>
      <c r="L673">
        <v>1.51</v>
      </c>
      <c r="M673">
        <v>1.28</v>
      </c>
      <c r="N673">
        <v>0.847682119205298</v>
      </c>
      <c r="O673">
        <v>0</v>
      </c>
      <c r="P673">
        <v>0</v>
      </c>
      <c r="Q673">
        <v>0.4988345183093411</v>
      </c>
      <c r="R673" t="s">
        <v>782</v>
      </c>
      <c r="S673" t="s">
        <v>790</v>
      </c>
      <c r="T673">
        <v>438.406956</v>
      </c>
      <c r="U673" s="2">
        <v>44513</v>
      </c>
      <c r="V673" t="s">
        <v>794</v>
      </c>
    </row>
    <row r="674" spans="1:22">
      <c r="A674" s="1" t="s">
        <v>694</v>
      </c>
      <c r="B674">
        <f>HYPERLINK("https://www.suredividend.com/sure-analysis-STWD/","Starwood Property Trust Inc")</f>
        <v>0</v>
      </c>
      <c r="C674">
        <v>25.84</v>
      </c>
      <c r="D674">
        <v>25</v>
      </c>
      <c r="E674">
        <v>1.0336</v>
      </c>
      <c r="F674">
        <v>0.07430340557275542</v>
      </c>
      <c r="G674">
        <v>-0.006587775641437532</v>
      </c>
      <c r="H674">
        <v>0</v>
      </c>
      <c r="I674">
        <v>0.06012412532316325</v>
      </c>
      <c r="J674" t="s">
        <v>777</v>
      </c>
      <c r="K674" t="s">
        <v>366</v>
      </c>
      <c r="L674">
        <v>2</v>
      </c>
      <c r="M674">
        <v>1.92</v>
      </c>
      <c r="N674">
        <v>0.96</v>
      </c>
      <c r="O674">
        <v>0</v>
      </c>
      <c r="P674">
        <v>0</v>
      </c>
      <c r="Q674">
        <v>0.609972559392845</v>
      </c>
      <c r="R674" t="s">
        <v>781</v>
      </c>
      <c r="S674" t="s">
        <v>793</v>
      </c>
      <c r="T674">
        <v>7517.932</v>
      </c>
      <c r="U674" s="2">
        <v>44509</v>
      </c>
      <c r="V674" t="s">
        <v>794</v>
      </c>
    </row>
    <row r="675" spans="1:22">
      <c r="A675" s="1" t="s">
        <v>695</v>
      </c>
      <c r="B675">
        <f>HYPERLINK("https://www.suredividend.com/sure-analysis-GLPI/","Gaming and Leisure Properties Inc")</f>
        <v>0</v>
      </c>
      <c r="C675">
        <v>46.8</v>
      </c>
      <c r="D675">
        <v>49</v>
      </c>
      <c r="E675">
        <v>0.9551020408163264</v>
      </c>
      <c r="F675">
        <v>0.05726495726495727</v>
      </c>
      <c r="G675">
        <v>0.009229752918738177</v>
      </c>
      <c r="H675">
        <v>-0.001</v>
      </c>
      <c r="I675">
        <v>0.05960850473812318</v>
      </c>
      <c r="J675" t="s">
        <v>777</v>
      </c>
      <c r="K675" t="s">
        <v>366</v>
      </c>
      <c r="L675">
        <v>3.47</v>
      </c>
      <c r="M675">
        <v>2.68</v>
      </c>
      <c r="N675">
        <v>0.7723342939481268</v>
      </c>
      <c r="O675">
        <v>0</v>
      </c>
      <c r="P675">
        <v>0.008799010229586735</v>
      </c>
      <c r="Q675">
        <v>0.186919238698497</v>
      </c>
      <c r="R675" t="s">
        <v>781</v>
      </c>
      <c r="S675" t="s">
        <v>793</v>
      </c>
      <c r="T675">
        <v>11362.197318</v>
      </c>
      <c r="U675" s="2">
        <v>44506</v>
      </c>
      <c r="V675" t="s">
        <v>804</v>
      </c>
    </row>
    <row r="676" spans="1:22">
      <c r="A676" s="1" t="s">
        <v>696</v>
      </c>
      <c r="B676">
        <f>HYPERLINK("https://www.suredividend.com/sure-analysis-NEM/","Newmont Corp")</f>
        <v>0</v>
      </c>
      <c r="C676">
        <v>57.95</v>
      </c>
      <c r="D676">
        <v>56</v>
      </c>
      <c r="E676">
        <v>1.034821428571429</v>
      </c>
      <c r="F676">
        <v>0.03796376186367558</v>
      </c>
      <c r="G676">
        <v>-0.006822396866324465</v>
      </c>
      <c r="H676">
        <v>0.03</v>
      </c>
      <c r="I676">
        <v>0.05937408403063782</v>
      </c>
      <c r="J676" t="s">
        <v>777</v>
      </c>
      <c r="K676" t="s">
        <v>514</v>
      </c>
      <c r="L676">
        <v>3.1</v>
      </c>
      <c r="M676">
        <v>2.2</v>
      </c>
      <c r="N676">
        <v>0.7096774193548387</v>
      </c>
      <c r="O676">
        <v>6</v>
      </c>
      <c r="P676">
        <v>0.04026125343417397</v>
      </c>
      <c r="Q676">
        <v>-0.08462279657654501</v>
      </c>
      <c r="R676" t="s">
        <v>779</v>
      </c>
      <c r="S676" t="s">
        <v>787</v>
      </c>
      <c r="T676">
        <v>46362.888575</v>
      </c>
      <c r="U676" s="2">
        <v>44502</v>
      </c>
      <c r="V676" t="s">
        <v>797</v>
      </c>
    </row>
    <row r="677" spans="1:22">
      <c r="A677" s="1" t="s">
        <v>697</v>
      </c>
      <c r="B677">
        <f>HYPERLINK("https://www.suredividend.com/sure-analysis-NSA/","National Storage Affiliates Trust")</f>
        <v>0</v>
      </c>
      <c r="C677">
        <v>61.7</v>
      </c>
      <c r="D677">
        <v>49</v>
      </c>
      <c r="E677">
        <v>1.259183673469388</v>
      </c>
      <c r="F677">
        <v>0.02658022690437601</v>
      </c>
      <c r="G677">
        <v>-0.04504659145953049</v>
      </c>
      <c r="H677">
        <v>0.08</v>
      </c>
      <c r="I677">
        <v>0.05876326401302867</v>
      </c>
      <c r="J677" t="s">
        <v>777</v>
      </c>
      <c r="K677" t="s">
        <v>514</v>
      </c>
      <c r="L677">
        <v>2.21</v>
      </c>
      <c r="M677">
        <v>1.64</v>
      </c>
      <c r="N677">
        <v>0.7420814479638008</v>
      </c>
      <c r="O677">
        <v>6</v>
      </c>
      <c r="P677">
        <v>0.06998280282640246</v>
      </c>
      <c r="Q677">
        <v>0.7324141200640021</v>
      </c>
      <c r="R677" t="s">
        <v>781</v>
      </c>
      <c r="S677" t="s">
        <v>793</v>
      </c>
      <c r="T677">
        <v>5467.919574</v>
      </c>
      <c r="U677" s="2">
        <v>44505</v>
      </c>
      <c r="V677" t="s">
        <v>794</v>
      </c>
    </row>
    <row r="678" spans="1:22">
      <c r="A678" s="1" t="s">
        <v>698</v>
      </c>
      <c r="B678">
        <f>HYPERLINK("https://www.suredividend.com/sure-analysis-CSWC/","Capital Southwest Corp.")</f>
        <v>0</v>
      </c>
      <c r="C678">
        <v>27.77</v>
      </c>
      <c r="D678">
        <v>23</v>
      </c>
      <c r="E678">
        <v>1.207391304347826</v>
      </c>
      <c r="F678">
        <v>0.06769895570759812</v>
      </c>
      <c r="G678">
        <v>-0.03699089950482559</v>
      </c>
      <c r="H678">
        <v>0.03</v>
      </c>
      <c r="I678">
        <v>0.05875929814115555</v>
      </c>
      <c r="J678" t="s">
        <v>777</v>
      </c>
      <c r="K678" t="s">
        <v>514</v>
      </c>
      <c r="L678">
        <v>1.65</v>
      </c>
      <c r="M678">
        <v>1.88</v>
      </c>
      <c r="N678">
        <v>1.139393939393939</v>
      </c>
      <c r="O678">
        <v>5</v>
      </c>
      <c r="P678">
        <v>0.03005337366563188</v>
      </c>
      <c r="Q678">
        <v>0.784330415560326</v>
      </c>
      <c r="R678" t="s">
        <v>782</v>
      </c>
      <c r="S678" t="s">
        <v>790</v>
      </c>
      <c r="T678">
        <v>655.6497859999999</v>
      </c>
      <c r="U678" s="2">
        <v>44504</v>
      </c>
      <c r="V678" t="s">
        <v>794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9.970000000000001</v>
      </c>
      <c r="D679">
        <v>7.8</v>
      </c>
      <c r="E679">
        <v>1.278205128205128</v>
      </c>
      <c r="F679">
        <v>0.08425275827482447</v>
      </c>
      <c r="G679">
        <v>-0.0479058671697804</v>
      </c>
      <c r="H679">
        <v>0.03</v>
      </c>
      <c r="I679">
        <v>0.05840991753116898</v>
      </c>
      <c r="J679" t="s">
        <v>777</v>
      </c>
      <c r="K679" t="s">
        <v>366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0.05626371771061901</v>
      </c>
      <c r="R679" t="s">
        <v>781</v>
      </c>
      <c r="S679" t="s">
        <v>793</v>
      </c>
      <c r="T679">
        <v>1328.245348</v>
      </c>
      <c r="U679" s="2">
        <v>44509</v>
      </c>
      <c r="V679" t="s">
        <v>795</v>
      </c>
    </row>
    <row r="680" spans="1:22">
      <c r="A680" s="1" t="s">
        <v>700</v>
      </c>
      <c r="B680">
        <f>HYPERLINK("https://www.suredividend.com/sure-analysis-VLO/","Valero Energy Corp.")</f>
        <v>0</v>
      </c>
      <c r="C680">
        <v>73.45</v>
      </c>
      <c r="D680">
        <v>64</v>
      </c>
      <c r="E680">
        <v>1.14765625</v>
      </c>
      <c r="F680">
        <v>0.05336963921034717</v>
      </c>
      <c r="G680">
        <v>-0.0271684769576509</v>
      </c>
      <c r="H680">
        <v>0.04</v>
      </c>
      <c r="I680">
        <v>0.0582105272400486</v>
      </c>
      <c r="J680" t="s">
        <v>777</v>
      </c>
      <c r="K680" t="s">
        <v>514</v>
      </c>
      <c r="L680">
        <v>0.5</v>
      </c>
      <c r="M680">
        <v>3.92</v>
      </c>
      <c r="N680">
        <v>7.84</v>
      </c>
      <c r="O680">
        <v>10</v>
      </c>
      <c r="P680">
        <v>0</v>
      </c>
      <c r="Q680">
        <v>0.486483354322313</v>
      </c>
      <c r="R680" t="s">
        <v>779</v>
      </c>
      <c r="S680" t="s">
        <v>792</v>
      </c>
      <c r="T680">
        <v>31463.98893</v>
      </c>
      <c r="U680" s="2">
        <v>44491</v>
      </c>
      <c r="V680" t="s">
        <v>802</v>
      </c>
    </row>
    <row r="681" spans="1:22">
      <c r="A681" s="1" t="s">
        <v>701</v>
      </c>
      <c r="B681">
        <f>HYPERLINK("https://www.suredividend.com/sure-analysis-SACH/","Sachem Capital Corp")</f>
        <v>0</v>
      </c>
      <c r="C681">
        <v>6.22</v>
      </c>
      <c r="D681">
        <v>5.26</v>
      </c>
      <c r="E681">
        <v>1.182509505703422</v>
      </c>
      <c r="F681">
        <v>0.07717041800643087</v>
      </c>
      <c r="G681">
        <v>-0.03297194931305469</v>
      </c>
      <c r="H681">
        <v>0.02</v>
      </c>
      <c r="I681">
        <v>0.0570212813926807</v>
      </c>
      <c r="J681" t="s">
        <v>777</v>
      </c>
      <c r="K681" t="s">
        <v>366</v>
      </c>
      <c r="L681">
        <v>0.47</v>
      </c>
      <c r="M681">
        <v>0.48</v>
      </c>
      <c r="N681">
        <v>1.021276595744681</v>
      </c>
      <c r="O681">
        <v>0</v>
      </c>
      <c r="P681">
        <v>0</v>
      </c>
      <c r="Q681">
        <v>0.64738871363477</v>
      </c>
      <c r="R681" t="s">
        <v>781</v>
      </c>
      <c r="S681" t="s">
        <v>793</v>
      </c>
      <c r="T681">
        <v>179.898062</v>
      </c>
      <c r="U681" s="2">
        <v>44517</v>
      </c>
      <c r="V681" t="s">
        <v>794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33.83</v>
      </c>
      <c r="D682">
        <v>29</v>
      </c>
      <c r="E682">
        <v>1.166551724137931</v>
      </c>
      <c r="F682">
        <v>0.04552172627845108</v>
      </c>
      <c r="G682">
        <v>-0.03034062656276826</v>
      </c>
      <c r="H682">
        <v>0.04</v>
      </c>
      <c r="I682">
        <v>0.05587854254246216</v>
      </c>
      <c r="J682" t="s">
        <v>777</v>
      </c>
      <c r="K682" t="s">
        <v>366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0.08867686353413001</v>
      </c>
      <c r="R682" t="s">
        <v>781</v>
      </c>
      <c r="S682" t="s">
        <v>793</v>
      </c>
      <c r="T682">
        <v>9265.472884000001</v>
      </c>
      <c r="U682" s="2">
        <v>44439</v>
      </c>
      <c r="V682" t="s">
        <v>798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53.98</v>
      </c>
      <c r="D683">
        <v>41</v>
      </c>
      <c r="E683">
        <v>1.316585365853658</v>
      </c>
      <c r="F683">
        <v>0.03334568358651353</v>
      </c>
      <c r="G683">
        <v>-0.05352271558009158</v>
      </c>
      <c r="H683">
        <v>0.08</v>
      </c>
      <c r="I683">
        <v>0.05559754985243281</v>
      </c>
      <c r="J683" t="s">
        <v>777</v>
      </c>
      <c r="K683" t="s">
        <v>514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0.094298619051094</v>
      </c>
      <c r="R683" t="s">
        <v>781</v>
      </c>
      <c r="S683" t="s">
        <v>793</v>
      </c>
      <c r="T683">
        <v>21547.51465</v>
      </c>
      <c r="U683" s="2">
        <v>44518</v>
      </c>
      <c r="V683" t="s">
        <v>802</v>
      </c>
    </row>
    <row r="684" spans="1:22">
      <c r="A684" s="1" t="s">
        <v>704</v>
      </c>
      <c r="B684">
        <f>HYPERLINK("https://www.suredividend.com/sure-analysis-BEP/","Brookfield Renewable Partners LP")</f>
        <v>0</v>
      </c>
      <c r="C684">
        <v>38.33</v>
      </c>
      <c r="D684">
        <v>32</v>
      </c>
      <c r="E684">
        <v>1.1978125</v>
      </c>
      <c r="F684">
        <v>0.03182885468301592</v>
      </c>
      <c r="G684">
        <v>-0.03545558248124148</v>
      </c>
      <c r="H684">
        <v>0.06</v>
      </c>
      <c r="I684">
        <v>0.05421559561454159</v>
      </c>
      <c r="J684" t="s">
        <v>777</v>
      </c>
      <c r="K684" t="s">
        <v>514</v>
      </c>
      <c r="L684">
        <v>1.9</v>
      </c>
      <c r="M684">
        <v>1.22</v>
      </c>
      <c r="N684">
        <v>0.6421052631578947</v>
      </c>
      <c r="O684">
        <v>0</v>
      </c>
      <c r="P684">
        <v>0.05039574430966676</v>
      </c>
      <c r="Q684">
        <v>0.022374478107269</v>
      </c>
      <c r="R684" t="s">
        <v>780</v>
      </c>
      <c r="S684" t="s">
        <v>791</v>
      </c>
      <c r="T684">
        <v>10505.363129</v>
      </c>
      <c r="U684" s="2">
        <v>44439</v>
      </c>
      <c r="V684" t="s">
        <v>802</v>
      </c>
    </row>
    <row r="685" spans="1:22">
      <c r="A685" s="1" t="s">
        <v>705</v>
      </c>
      <c r="B685">
        <f>HYPERLINK("https://www.suredividend.com/sure-analysis-PFLT/","PennantPark Floating Rate Capital Ltd")</f>
        <v>0</v>
      </c>
      <c r="C685">
        <v>13.64</v>
      </c>
      <c r="D685">
        <v>12</v>
      </c>
      <c r="E685">
        <v>1.136666666666667</v>
      </c>
      <c r="F685">
        <v>0.08357771260997067</v>
      </c>
      <c r="G685">
        <v>-0.02529459321346617</v>
      </c>
      <c r="H685">
        <v>0.001</v>
      </c>
      <c r="I685">
        <v>0.05420799538839072</v>
      </c>
      <c r="J685" t="s">
        <v>777</v>
      </c>
      <c r="K685" t="s">
        <v>366</v>
      </c>
      <c r="L685">
        <v>1.62</v>
      </c>
      <c r="M685">
        <v>1.14</v>
      </c>
      <c r="N685">
        <v>0.7037037037037036</v>
      </c>
      <c r="O685">
        <v>0</v>
      </c>
      <c r="P685">
        <v>0</v>
      </c>
      <c r="Q685">
        <v>0.6138560052928801</v>
      </c>
      <c r="R685" t="s">
        <v>782</v>
      </c>
      <c r="S685" t="s">
        <v>790</v>
      </c>
      <c r="T685">
        <v>529.626531</v>
      </c>
      <c r="U685" s="2">
        <v>44420</v>
      </c>
      <c r="V685" t="s">
        <v>804</v>
      </c>
    </row>
    <row r="686" spans="1:22">
      <c r="A686" s="1" t="s">
        <v>706</v>
      </c>
      <c r="B686">
        <f>HYPERLINK("https://www.suredividend.com/sure-analysis-ARCC/","Ares Capital Corp")</f>
        <v>0</v>
      </c>
      <c r="C686">
        <v>20.7</v>
      </c>
      <c r="D686">
        <v>16.4</v>
      </c>
      <c r="E686">
        <v>1.26219512195122</v>
      </c>
      <c r="F686">
        <v>0.07922705314009662</v>
      </c>
      <c r="G686">
        <v>-0.04550270817218605</v>
      </c>
      <c r="H686">
        <v>0.019</v>
      </c>
      <c r="I686">
        <v>0.0526243813758569</v>
      </c>
      <c r="J686" t="s">
        <v>777</v>
      </c>
      <c r="K686" t="s">
        <v>366</v>
      </c>
      <c r="L686">
        <v>1.82</v>
      </c>
      <c r="M686">
        <v>1.64</v>
      </c>
      <c r="N686">
        <v>0.901098901098901</v>
      </c>
      <c r="O686">
        <v>4</v>
      </c>
      <c r="P686">
        <v>0.02104646949148603</v>
      </c>
      <c r="Q686">
        <v>0.4186424871171741</v>
      </c>
      <c r="R686" t="s">
        <v>782</v>
      </c>
      <c r="S686" t="s">
        <v>790</v>
      </c>
      <c r="T686">
        <v>9602.112089</v>
      </c>
      <c r="U686" s="2">
        <v>44496</v>
      </c>
      <c r="V686" t="s">
        <v>804</v>
      </c>
    </row>
    <row r="687" spans="1:22">
      <c r="A687" s="1" t="s">
        <v>707</v>
      </c>
      <c r="B687">
        <f>HYPERLINK("https://www.suredividend.com/sure-analysis-LWSCF/","Sienna Senior Living, Inc.")</f>
        <v>0</v>
      </c>
      <c r="C687">
        <v>12.1245</v>
      </c>
      <c r="D687">
        <v>11.88</v>
      </c>
      <c r="E687">
        <v>1.020580808080808</v>
      </c>
      <c r="F687">
        <v>0.06185822095756526</v>
      </c>
      <c r="G687">
        <v>-0.004066087972508181</v>
      </c>
      <c r="H687">
        <v>0</v>
      </c>
      <c r="I687">
        <v>0.05210486311476026</v>
      </c>
      <c r="J687" t="s">
        <v>777</v>
      </c>
      <c r="K687" t="s">
        <v>366</v>
      </c>
      <c r="L687">
        <v>0.88</v>
      </c>
      <c r="M687">
        <v>0.75</v>
      </c>
      <c r="N687">
        <v>0.8522727272727273</v>
      </c>
      <c r="O687">
        <v>0</v>
      </c>
      <c r="P687">
        <v>0</v>
      </c>
      <c r="Q687">
        <v>0.224798387096774</v>
      </c>
      <c r="R687" t="s">
        <v>779</v>
      </c>
      <c r="S687" t="s">
        <v>784</v>
      </c>
      <c r="T687">
        <v>814.525344</v>
      </c>
      <c r="U687" s="2">
        <v>44516</v>
      </c>
      <c r="V687" t="s">
        <v>794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17.77</v>
      </c>
      <c r="D688">
        <v>15.6</v>
      </c>
      <c r="E688">
        <v>1.139102564102564</v>
      </c>
      <c r="F688">
        <v>0.08778840742824986</v>
      </c>
      <c r="G688">
        <v>-0.02571181919217636</v>
      </c>
      <c r="H688">
        <v>-0.0016</v>
      </c>
      <c r="I688">
        <v>0.04986202423246189</v>
      </c>
      <c r="J688" t="s">
        <v>777</v>
      </c>
      <c r="K688" t="s">
        <v>366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0.081199148146125</v>
      </c>
      <c r="R688" t="s">
        <v>781</v>
      </c>
      <c r="S688" t="s">
        <v>793</v>
      </c>
      <c r="T688">
        <v>653.384645</v>
      </c>
      <c r="U688" s="2">
        <v>44503</v>
      </c>
      <c r="V688" t="s">
        <v>804</v>
      </c>
    </row>
    <row r="689" spans="1:22">
      <c r="A689" s="1" t="s">
        <v>709</v>
      </c>
      <c r="B689">
        <f>HYPERLINK("https://www.suredividend.com/sure-analysis-AM/","Antero Midstream Corp")</f>
        <v>0</v>
      </c>
      <c r="C689">
        <v>10.47</v>
      </c>
      <c r="D689">
        <v>8.800000000000001</v>
      </c>
      <c r="E689">
        <v>1.189772727272727</v>
      </c>
      <c r="F689">
        <v>0.08595988538681948</v>
      </c>
      <c r="G689">
        <v>-0.0341555288474511</v>
      </c>
      <c r="H689">
        <v>0</v>
      </c>
      <c r="I689">
        <v>0.04901329369921514</v>
      </c>
      <c r="J689" t="s">
        <v>777</v>
      </c>
      <c r="K689" t="s">
        <v>776</v>
      </c>
      <c r="L689">
        <v>1.25</v>
      </c>
      <c r="M689">
        <v>0.9</v>
      </c>
      <c r="N689">
        <v>0.72</v>
      </c>
      <c r="O689">
        <v>0</v>
      </c>
      <c r="P689">
        <v>0</v>
      </c>
      <c r="Q689">
        <v>0.8437287010013801</v>
      </c>
      <c r="R689" t="s">
        <v>779</v>
      </c>
      <c r="S689" t="s">
        <v>792</v>
      </c>
      <c r="T689">
        <v>5037.664953</v>
      </c>
      <c r="U689" s="2">
        <v>44504</v>
      </c>
      <c r="V689" t="s">
        <v>804</v>
      </c>
    </row>
    <row r="690" spans="1:22">
      <c r="A690" s="1" t="s">
        <v>710</v>
      </c>
      <c r="B690">
        <f>HYPERLINK("https://www.suredividend.com/sure-analysis-DANOY/","Danone")</f>
        <v>0</v>
      </c>
      <c r="C690">
        <v>12.84</v>
      </c>
      <c r="D690">
        <v>12.6</v>
      </c>
      <c r="E690">
        <v>1.019047619047619</v>
      </c>
      <c r="F690">
        <v>0.03426791277258567</v>
      </c>
      <c r="G690">
        <v>-0.003766585415170165</v>
      </c>
      <c r="H690">
        <v>0.02</v>
      </c>
      <c r="I690">
        <v>0.04835213058475674</v>
      </c>
      <c r="J690" t="s">
        <v>777</v>
      </c>
      <c r="K690" t="s">
        <v>514</v>
      </c>
      <c r="L690">
        <v>0.7</v>
      </c>
      <c r="M690">
        <v>0.44</v>
      </c>
      <c r="N690">
        <v>0.6285714285714287</v>
      </c>
      <c r="O690">
        <v>0</v>
      </c>
      <c r="P690">
        <v>0.02175949146424117</v>
      </c>
      <c r="Q690">
        <v>0.017084146390028</v>
      </c>
      <c r="R690" t="s">
        <v>779</v>
      </c>
      <c r="S690" t="s">
        <v>789</v>
      </c>
      <c r="T690">
        <v>43905.814</v>
      </c>
      <c r="U690" s="2">
        <v>44490</v>
      </c>
      <c r="V690" t="s">
        <v>805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18.79</v>
      </c>
      <c r="D691">
        <v>15</v>
      </c>
      <c r="E691">
        <v>1.252666666666667</v>
      </c>
      <c r="F691">
        <v>0.07663650878126663</v>
      </c>
      <c r="G691">
        <v>-0.04405502246293924</v>
      </c>
      <c r="H691">
        <v>0.02</v>
      </c>
      <c r="I691">
        <v>0.04806534743524904</v>
      </c>
      <c r="J691" t="s">
        <v>777</v>
      </c>
      <c r="K691" t="s">
        <v>366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0.672550750220653</v>
      </c>
      <c r="R691" t="s">
        <v>782</v>
      </c>
      <c r="S691" t="s">
        <v>790</v>
      </c>
      <c r="T691">
        <v>587.148221</v>
      </c>
      <c r="U691" s="2">
        <v>44506</v>
      </c>
      <c r="V691" t="s">
        <v>794</v>
      </c>
    </row>
    <row r="692" spans="1:22">
      <c r="A692" s="1" t="s">
        <v>712</v>
      </c>
      <c r="B692">
        <f>HYPERLINK("https://www.suredividend.com/sure-analysis-MAIN/","Main Street Capital Corporation")</f>
        <v>0</v>
      </c>
      <c r="C692">
        <v>46.13</v>
      </c>
      <c r="D692">
        <v>40</v>
      </c>
      <c r="E692">
        <v>1.15325</v>
      </c>
      <c r="F692">
        <v>0.05462822458270106</v>
      </c>
      <c r="G692">
        <v>-0.02811404212206603</v>
      </c>
      <c r="H692">
        <v>0.025</v>
      </c>
      <c r="I692">
        <v>0.04773902350721793</v>
      </c>
      <c r="J692" t="s">
        <v>777</v>
      </c>
      <c r="K692" t="s">
        <v>366</v>
      </c>
      <c r="L692">
        <v>2.55</v>
      </c>
      <c r="M692">
        <v>2.52</v>
      </c>
      <c r="N692">
        <v>0.9882352941176471</v>
      </c>
      <c r="O692">
        <v>6</v>
      </c>
      <c r="P692">
        <v>0.01011092110060052</v>
      </c>
      <c r="Q692">
        <v>0.5550449415422041</v>
      </c>
      <c r="R692" t="s">
        <v>782</v>
      </c>
      <c r="S692" t="s">
        <v>790</v>
      </c>
      <c r="T692">
        <v>3202.21845</v>
      </c>
      <c r="U692" s="2">
        <v>44511</v>
      </c>
      <c r="V692" t="s">
        <v>801</v>
      </c>
    </row>
    <row r="693" spans="1:22">
      <c r="A693" s="1" t="s">
        <v>713</v>
      </c>
      <c r="B693">
        <f>HYPERLINK("https://www.suredividend.com/sure-analysis-VIA/","Via Renewables Inc")</f>
        <v>0</v>
      </c>
      <c r="C693">
        <v>12.22</v>
      </c>
      <c r="D693">
        <v>10.6</v>
      </c>
      <c r="E693">
        <v>1.152830188679245</v>
      </c>
      <c r="F693">
        <v>0.05973813420621931</v>
      </c>
      <c r="G693">
        <v>-0.02804326859221318</v>
      </c>
      <c r="H693">
        <v>0.02</v>
      </c>
      <c r="I693">
        <v>0.04670876282893044</v>
      </c>
      <c r="J693" t="s">
        <v>777</v>
      </c>
      <c r="K693" t="s">
        <v>366</v>
      </c>
      <c r="L693">
        <v>0.85</v>
      </c>
      <c r="M693">
        <v>0.73</v>
      </c>
      <c r="N693">
        <v>0.8588235294117647</v>
      </c>
      <c r="O693">
        <v>0</v>
      </c>
      <c r="P693">
        <v>0</v>
      </c>
      <c r="Q693">
        <v>0.336535102070242</v>
      </c>
      <c r="R693" t="s">
        <v>779</v>
      </c>
      <c r="S693" t="s">
        <v>791</v>
      </c>
      <c r="T693">
        <v>187.647275</v>
      </c>
      <c r="U693" s="2">
        <v>44442</v>
      </c>
      <c r="V693" t="s">
        <v>802</v>
      </c>
    </row>
    <row r="694" spans="1:22">
      <c r="A694" s="1" t="s">
        <v>714</v>
      </c>
      <c r="B694">
        <f>HYPERLINK("https://www.suredividend.com/sure-analysis-APTS/","Preferred Apartment Communities Inc")</f>
        <v>0</v>
      </c>
      <c r="C694">
        <v>14.11</v>
      </c>
      <c r="D694">
        <v>12.3</v>
      </c>
      <c r="E694">
        <v>1.147154471544715</v>
      </c>
      <c r="F694">
        <v>0.04961020552799433</v>
      </c>
      <c r="G694">
        <v>-0.02708338632248986</v>
      </c>
      <c r="H694">
        <v>0.02</v>
      </c>
      <c r="I694">
        <v>0.04590751041100005</v>
      </c>
      <c r="J694" t="s">
        <v>777</v>
      </c>
      <c r="K694" t="s">
        <v>366</v>
      </c>
      <c r="L694">
        <v>1.04</v>
      </c>
      <c r="M694">
        <v>0.7</v>
      </c>
      <c r="N694">
        <v>0.673076923076923</v>
      </c>
      <c r="O694">
        <v>0</v>
      </c>
      <c r="P694">
        <v>0.05154749679728043</v>
      </c>
      <c r="Q694">
        <v>0.9344365169229091</v>
      </c>
      <c r="R694" t="s">
        <v>781</v>
      </c>
      <c r="S694" t="s">
        <v>793</v>
      </c>
      <c r="T694">
        <v>750.77645</v>
      </c>
      <c r="U694" s="2">
        <v>44515</v>
      </c>
      <c r="V694" t="s">
        <v>802</v>
      </c>
    </row>
    <row r="695" spans="1:22">
      <c r="A695" s="1" t="s">
        <v>715</v>
      </c>
      <c r="B695">
        <f>HYPERLINK("https://www.suredividend.com/sure-analysis-ARI/","Apollo Commercial Real Estate Finance Inc")</f>
        <v>0</v>
      </c>
      <c r="C695">
        <v>14.34</v>
      </c>
      <c r="D695">
        <v>11</v>
      </c>
      <c r="E695">
        <v>1.303636363636364</v>
      </c>
      <c r="F695">
        <v>0.09762900976290097</v>
      </c>
      <c r="G695">
        <v>-0.05164987284789313</v>
      </c>
      <c r="H695">
        <v>0.003</v>
      </c>
      <c r="I695">
        <v>0.04491554488089111</v>
      </c>
      <c r="J695" t="s">
        <v>777</v>
      </c>
      <c r="K695" t="s">
        <v>366</v>
      </c>
      <c r="L695">
        <v>1.38</v>
      </c>
      <c r="M695">
        <v>1.4</v>
      </c>
      <c r="N695">
        <v>1.014492753623188</v>
      </c>
      <c r="O695">
        <v>0</v>
      </c>
      <c r="P695">
        <v>-0.01471229526229867</v>
      </c>
      <c r="Q695">
        <v>0.497372399395292</v>
      </c>
      <c r="R695" t="s">
        <v>781</v>
      </c>
      <c r="S695" t="s">
        <v>793</v>
      </c>
      <c r="T695">
        <v>2036.857514</v>
      </c>
      <c r="U695" s="2">
        <v>44503</v>
      </c>
      <c r="V695" t="s">
        <v>804</v>
      </c>
    </row>
    <row r="696" spans="1:22">
      <c r="A696" s="1" t="s">
        <v>716</v>
      </c>
      <c r="B696">
        <f>HYPERLINK("https://www.suredividend.com/sure-analysis-GOOD/","Gladstone Commercial Corp")</f>
        <v>0</v>
      </c>
      <c r="C696">
        <v>22.8847</v>
      </c>
      <c r="D696">
        <v>19</v>
      </c>
      <c r="E696">
        <v>1.204457894736842</v>
      </c>
      <c r="F696">
        <v>0.06554597613252523</v>
      </c>
      <c r="G696">
        <v>-0.03652228168021576</v>
      </c>
      <c r="H696">
        <v>0.02</v>
      </c>
      <c r="I696">
        <v>0.04469961569397318</v>
      </c>
      <c r="J696" t="s">
        <v>777</v>
      </c>
      <c r="K696" t="s">
        <v>366</v>
      </c>
      <c r="L696">
        <v>1.56</v>
      </c>
      <c r="M696">
        <v>1.5</v>
      </c>
      <c r="N696">
        <v>0.9615384615384615</v>
      </c>
      <c r="O696">
        <v>0</v>
      </c>
      <c r="P696">
        <v>0</v>
      </c>
      <c r="Q696">
        <v>0.3417609877995</v>
      </c>
      <c r="R696" t="s">
        <v>781</v>
      </c>
      <c r="S696" t="s">
        <v>793</v>
      </c>
      <c r="T696">
        <v>850.465253</v>
      </c>
      <c r="U696" s="2">
        <v>44424</v>
      </c>
      <c r="V696" t="s">
        <v>799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15.62</v>
      </c>
      <c r="D697">
        <v>12.1</v>
      </c>
      <c r="E697">
        <v>1.290909090909091</v>
      </c>
      <c r="F697">
        <v>0.0768245838668374</v>
      </c>
      <c r="G697">
        <v>-0.0497872179494856</v>
      </c>
      <c r="H697">
        <v>0.02</v>
      </c>
      <c r="I697">
        <v>0.04385955949849052</v>
      </c>
      <c r="J697" t="s">
        <v>777</v>
      </c>
      <c r="K697" t="s">
        <v>366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0.179259573436742</v>
      </c>
      <c r="R697" t="s">
        <v>782</v>
      </c>
      <c r="S697" t="s">
        <v>790</v>
      </c>
      <c r="T697">
        <v>249.883459</v>
      </c>
      <c r="U697" s="2">
        <v>44504</v>
      </c>
      <c r="V697" t="s">
        <v>794</v>
      </c>
    </row>
    <row r="698" spans="1:22">
      <c r="A698" s="1" t="s">
        <v>718</v>
      </c>
      <c r="B698">
        <f>HYPERLINK("https://www.suredividend.com/sure-analysis-CIM/","Chimera Investment Corp")</f>
        <v>0</v>
      </c>
      <c r="C698">
        <v>16.45</v>
      </c>
      <c r="D698">
        <v>12</v>
      </c>
      <c r="E698">
        <v>1.370833333333333</v>
      </c>
      <c r="F698">
        <v>0.08024316109422493</v>
      </c>
      <c r="G698">
        <v>-0.06113517407199387</v>
      </c>
      <c r="H698">
        <v>0.02</v>
      </c>
      <c r="I698">
        <v>0.04257897846930758</v>
      </c>
      <c r="J698" t="s">
        <v>777</v>
      </c>
      <c r="K698" t="s">
        <v>366</v>
      </c>
      <c r="L698">
        <v>1.5</v>
      </c>
      <c r="M698">
        <v>1.32</v>
      </c>
      <c r="N698">
        <v>0.88</v>
      </c>
      <c r="O698">
        <v>1</v>
      </c>
      <c r="P698">
        <v>0.02036554426441151</v>
      </c>
      <c r="Q698">
        <v>0.739579926787842</v>
      </c>
      <c r="R698" t="s">
        <v>779</v>
      </c>
      <c r="S698" t="s">
        <v>793</v>
      </c>
      <c r="T698">
        <v>3906.228851</v>
      </c>
      <c r="U698" s="2">
        <v>44515</v>
      </c>
      <c r="V698" t="s">
        <v>802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3.13</v>
      </c>
      <c r="D699">
        <v>2.95</v>
      </c>
      <c r="E699">
        <v>1.061016949152542</v>
      </c>
      <c r="F699">
        <v>0.02555910543130991</v>
      </c>
      <c r="G699">
        <v>-0.01177568431804688</v>
      </c>
      <c r="H699">
        <v>0.03</v>
      </c>
      <c r="I699">
        <v>0.04224413243353387</v>
      </c>
      <c r="J699" t="s">
        <v>777</v>
      </c>
      <c r="K699" t="s">
        <v>514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0.121132631427647</v>
      </c>
      <c r="R699" t="s">
        <v>779</v>
      </c>
      <c r="S699" t="s">
        <v>789</v>
      </c>
      <c r="T699">
        <v>49113.340208</v>
      </c>
      <c r="U699" s="2">
        <v>44439</v>
      </c>
      <c r="V699" t="s">
        <v>798</v>
      </c>
    </row>
    <row r="700" spans="1:22">
      <c r="A700" s="1" t="s">
        <v>720</v>
      </c>
      <c r="B700">
        <f>HYPERLINK("https://www.suredividend.com/sure-analysis-HTA/","Healthcare Trust of America Inc")</f>
        <v>0</v>
      </c>
      <c r="C700">
        <v>34.72</v>
      </c>
      <c r="D700">
        <v>31</v>
      </c>
      <c r="E700">
        <v>1.12</v>
      </c>
      <c r="F700">
        <v>0.03715437788018434</v>
      </c>
      <c r="G700">
        <v>-0.02241079899542509</v>
      </c>
      <c r="H700">
        <v>0.03</v>
      </c>
      <c r="I700">
        <v>0.04216891929933242</v>
      </c>
      <c r="J700" t="s">
        <v>777</v>
      </c>
      <c r="K700" t="s">
        <v>514</v>
      </c>
      <c r="L700">
        <v>1.77</v>
      </c>
      <c r="M700">
        <v>1.29</v>
      </c>
      <c r="N700">
        <v>0.728813559322034</v>
      </c>
      <c r="O700">
        <v>8</v>
      </c>
      <c r="P700">
        <v>0.01504434962783696</v>
      </c>
      <c r="Q700">
        <v>0.278464057151361</v>
      </c>
      <c r="R700" t="s">
        <v>781</v>
      </c>
      <c r="S700" t="s">
        <v>793</v>
      </c>
      <c r="T700">
        <v>7587.997185</v>
      </c>
      <c r="U700" s="2">
        <v>44432</v>
      </c>
      <c r="V700" t="s">
        <v>796</v>
      </c>
    </row>
    <row r="701" spans="1:22">
      <c r="A701" s="1" t="s">
        <v>721</v>
      </c>
      <c r="B701">
        <f>HYPERLINK("https://www.suredividend.com/sure-analysis-HTGC/","Hercules Capital Inc")</f>
        <v>0</v>
      </c>
      <c r="C701">
        <v>16.94</v>
      </c>
      <c r="D701">
        <v>13.7</v>
      </c>
      <c r="E701">
        <v>1.236496350364964</v>
      </c>
      <c r="F701">
        <v>0.07792207792207792</v>
      </c>
      <c r="G701">
        <v>-0.04156772021568789</v>
      </c>
      <c r="H701">
        <v>0.001</v>
      </c>
      <c r="I701">
        <v>0.04144574356642172</v>
      </c>
      <c r="J701" t="s">
        <v>777</v>
      </c>
      <c r="K701" t="s">
        <v>366</v>
      </c>
      <c r="L701">
        <v>1.28</v>
      </c>
      <c r="M701">
        <v>1.32</v>
      </c>
      <c r="N701">
        <v>1.03125</v>
      </c>
      <c r="O701">
        <v>0</v>
      </c>
      <c r="P701">
        <v>0.01896393794917839</v>
      </c>
      <c r="Q701">
        <v>0.407707342014332</v>
      </c>
      <c r="R701" t="s">
        <v>782</v>
      </c>
      <c r="S701" t="s">
        <v>790</v>
      </c>
      <c r="T701">
        <v>1978.403134</v>
      </c>
      <c r="U701" s="2">
        <v>44506</v>
      </c>
      <c r="V701" t="s">
        <v>804</v>
      </c>
    </row>
    <row r="702" spans="1:22">
      <c r="A702" s="1" t="s">
        <v>722</v>
      </c>
      <c r="B702">
        <f>HYPERLINK("https://www.suredividend.com/sure-analysis-PRT/","PermRock Royalty Trust")</f>
        <v>0</v>
      </c>
      <c r="C702">
        <v>7.03</v>
      </c>
      <c r="D702">
        <v>4.13</v>
      </c>
      <c r="E702">
        <v>1.702179176755448</v>
      </c>
      <c r="F702">
        <v>0.07823613086770982</v>
      </c>
      <c r="G702">
        <v>-0.1009187404459527</v>
      </c>
      <c r="H702">
        <v>0.05</v>
      </c>
      <c r="I702">
        <v>0.03764301371574441</v>
      </c>
      <c r="J702" t="s">
        <v>777</v>
      </c>
      <c r="K702" t="s">
        <v>366</v>
      </c>
      <c r="L702">
        <v>0.55</v>
      </c>
      <c r="M702">
        <v>0.55</v>
      </c>
      <c r="N702">
        <v>1</v>
      </c>
      <c r="O702">
        <v>0</v>
      </c>
      <c r="P702">
        <v>0.04941452284458392</v>
      </c>
      <c r="Q702">
        <v>2.493383359529483</v>
      </c>
      <c r="R702" t="s">
        <v>779</v>
      </c>
      <c r="S702" t="s">
        <v>792</v>
      </c>
      <c r="T702">
        <v>83.821893</v>
      </c>
      <c r="U702" s="2">
        <v>44516</v>
      </c>
      <c r="V702" t="s">
        <v>801</v>
      </c>
    </row>
    <row r="703" spans="1:22">
      <c r="A703" s="1" t="s">
        <v>723</v>
      </c>
      <c r="B703">
        <f>HYPERLINK("https://www.suredividend.com/sure-analysis-SCM/","Stellus Capital Investment Corp")</f>
        <v>0</v>
      </c>
      <c r="C703">
        <v>14.1</v>
      </c>
      <c r="D703">
        <v>11.5</v>
      </c>
      <c r="E703">
        <v>1.226086956521739</v>
      </c>
      <c r="F703">
        <v>0.07659574468085108</v>
      </c>
      <c r="G703">
        <v>-0.03994581403824859</v>
      </c>
      <c r="H703">
        <v>0</v>
      </c>
      <c r="I703">
        <v>0.03689198720670794</v>
      </c>
      <c r="J703" t="s">
        <v>777</v>
      </c>
      <c r="K703" t="s">
        <v>366</v>
      </c>
      <c r="L703">
        <v>1.15</v>
      </c>
      <c r="M703">
        <v>1.08</v>
      </c>
      <c r="N703">
        <v>0.9391304347826088</v>
      </c>
      <c r="O703">
        <v>0</v>
      </c>
      <c r="P703">
        <v>0</v>
      </c>
      <c r="Q703">
        <v>0.468310513598909</v>
      </c>
      <c r="R703" t="s">
        <v>782</v>
      </c>
      <c r="S703" t="s">
        <v>790</v>
      </c>
      <c r="T703">
        <v>277.090963</v>
      </c>
      <c r="U703" s="2">
        <v>44435</v>
      </c>
      <c r="V703" t="s">
        <v>799</v>
      </c>
    </row>
    <row r="704" spans="1:22">
      <c r="A704" s="1" t="s">
        <v>724</v>
      </c>
      <c r="B704">
        <f>HYPERLINK("https://www.suredividend.com/sure-analysis-ACC/","American Campus Communities Inc.")</f>
        <v>0</v>
      </c>
      <c r="C704">
        <v>53.33</v>
      </c>
      <c r="D704">
        <v>40</v>
      </c>
      <c r="E704">
        <v>1.33325</v>
      </c>
      <c r="F704">
        <v>0.03525220326270392</v>
      </c>
      <c r="G704">
        <v>-0.05590068716864549</v>
      </c>
      <c r="H704">
        <v>0.06</v>
      </c>
      <c r="I704">
        <v>0.03606722385179362</v>
      </c>
      <c r="J704" t="s">
        <v>777</v>
      </c>
      <c r="K704" t="s">
        <v>514</v>
      </c>
      <c r="L704">
        <v>2.1</v>
      </c>
      <c r="M704">
        <v>1.88</v>
      </c>
      <c r="N704">
        <v>0.8952380952380952</v>
      </c>
      <c r="O704">
        <v>8</v>
      </c>
      <c r="P704">
        <v>0.02528440313403202</v>
      </c>
      <c r="Q704">
        <v>0.344418981330578</v>
      </c>
      <c r="R704" t="s">
        <v>781</v>
      </c>
      <c r="S704" t="s">
        <v>793</v>
      </c>
      <c r="T704">
        <v>7461.580699</v>
      </c>
      <c r="U704" s="2">
        <v>44498</v>
      </c>
      <c r="V704" t="s">
        <v>794</v>
      </c>
    </row>
    <row r="705" spans="1:22">
      <c r="A705" s="1" t="s">
        <v>725</v>
      </c>
      <c r="B705">
        <f>HYPERLINK("https://www.suredividend.com/sure-analysis-BGS/","B&amp;G Foods, Inc")</f>
        <v>0</v>
      </c>
      <c r="C705">
        <v>32.38</v>
      </c>
      <c r="D705">
        <v>25</v>
      </c>
      <c r="E705">
        <v>1.2952</v>
      </c>
      <c r="F705">
        <v>0.05867819641754168</v>
      </c>
      <c r="G705">
        <v>-0.05041765194043779</v>
      </c>
      <c r="H705">
        <v>0.03</v>
      </c>
      <c r="I705">
        <v>0.03513221271946776</v>
      </c>
      <c r="J705" t="s">
        <v>777</v>
      </c>
      <c r="K705" t="s">
        <v>514</v>
      </c>
      <c r="L705">
        <v>1.9</v>
      </c>
      <c r="M705">
        <v>1.9</v>
      </c>
      <c r="N705">
        <v>1</v>
      </c>
      <c r="O705">
        <v>0</v>
      </c>
      <c r="P705">
        <v>0</v>
      </c>
      <c r="Q705">
        <v>0.296891577330525</v>
      </c>
      <c r="R705" t="s">
        <v>779</v>
      </c>
      <c r="S705" t="s">
        <v>789</v>
      </c>
      <c r="T705">
        <v>2126.022739</v>
      </c>
      <c r="U705" s="2">
        <v>44511</v>
      </c>
      <c r="V705" t="s">
        <v>800</v>
      </c>
    </row>
    <row r="706" spans="1:22">
      <c r="A706" s="1" t="s">
        <v>726</v>
      </c>
      <c r="B706">
        <f>HYPERLINK("https://www.suredividend.com/sure-analysis-BCE/","BCE Inc")</f>
        <v>0</v>
      </c>
      <c r="C706">
        <v>51.03</v>
      </c>
      <c r="D706">
        <v>40</v>
      </c>
      <c r="E706">
        <v>1.27575</v>
      </c>
      <c r="F706">
        <v>0.054673721340388</v>
      </c>
      <c r="G706">
        <v>-0.04753969576388983</v>
      </c>
      <c r="H706">
        <v>0.03</v>
      </c>
      <c r="I706">
        <v>0.03473563838036453</v>
      </c>
      <c r="J706" t="s">
        <v>777</v>
      </c>
      <c r="K706" t="s">
        <v>514</v>
      </c>
      <c r="L706">
        <v>2.55</v>
      </c>
      <c r="M706">
        <v>2.79</v>
      </c>
      <c r="N706">
        <v>1.094117647058824</v>
      </c>
      <c r="O706">
        <v>12</v>
      </c>
      <c r="P706">
        <v>0.004968307109833203</v>
      </c>
      <c r="Q706">
        <v>0.253640872234905</v>
      </c>
      <c r="R706" t="s">
        <v>779</v>
      </c>
      <c r="S706" t="s">
        <v>783</v>
      </c>
      <c r="T706">
        <v>46310.276951</v>
      </c>
      <c r="U706" s="2">
        <v>44425</v>
      </c>
      <c r="V706" t="s">
        <v>803</v>
      </c>
    </row>
    <row r="707" spans="1:22">
      <c r="A707" s="1" t="s">
        <v>727</v>
      </c>
      <c r="B707">
        <f>HYPERLINK("https://www.suredividend.com/sure-analysis-BX/","Blackstone Inc")</f>
        <v>0</v>
      </c>
      <c r="C707">
        <v>145.08</v>
      </c>
      <c r="D707">
        <v>92</v>
      </c>
      <c r="E707">
        <v>1.576956521739131</v>
      </c>
      <c r="F707">
        <v>0.03005238489109457</v>
      </c>
      <c r="G707">
        <v>-0.08707299059768014</v>
      </c>
      <c r="H707">
        <v>0.1</v>
      </c>
      <c r="I707">
        <v>0.03462353934857543</v>
      </c>
      <c r="J707" t="s">
        <v>777</v>
      </c>
      <c r="K707" t="s">
        <v>777</v>
      </c>
      <c r="L707">
        <v>4.6</v>
      </c>
      <c r="M707">
        <v>4.36</v>
      </c>
      <c r="N707">
        <v>0.9478260869565219</v>
      </c>
      <c r="O707">
        <v>0</v>
      </c>
      <c r="P707">
        <v>0.02981918386499416</v>
      </c>
      <c r="Q707">
        <v>1.620585643289996</v>
      </c>
      <c r="R707" t="s">
        <v>779</v>
      </c>
      <c r="S707" t="s">
        <v>790</v>
      </c>
      <c r="T707">
        <v>99060.652871</v>
      </c>
      <c r="U707" s="2">
        <v>44494</v>
      </c>
      <c r="V707" t="s">
        <v>794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33.07</v>
      </c>
      <c r="D708">
        <v>24</v>
      </c>
      <c r="E708">
        <v>1.377916666666667</v>
      </c>
      <c r="F708">
        <v>0.06047777441790142</v>
      </c>
      <c r="G708">
        <v>-0.06210243277992733</v>
      </c>
      <c r="H708">
        <v>0.04</v>
      </c>
      <c r="I708">
        <v>0.03459325437386984</v>
      </c>
      <c r="J708" t="s">
        <v>777</v>
      </c>
      <c r="K708" t="s">
        <v>366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0.5065999089667731</v>
      </c>
      <c r="R708" t="s">
        <v>779</v>
      </c>
      <c r="S708" t="s">
        <v>792</v>
      </c>
      <c r="T708">
        <v>18207.603613</v>
      </c>
      <c r="U708" s="2">
        <v>44512</v>
      </c>
      <c r="V708" t="s">
        <v>802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4.36</v>
      </c>
      <c r="D709">
        <v>3.4</v>
      </c>
      <c r="E709">
        <v>1.282352941176471</v>
      </c>
      <c r="F709">
        <v>0.09633027522935779</v>
      </c>
      <c r="G709">
        <v>-0.04852258158812939</v>
      </c>
      <c r="H709">
        <v>0</v>
      </c>
      <c r="I709">
        <v>0.03413298238693963</v>
      </c>
      <c r="J709" t="s">
        <v>777</v>
      </c>
      <c r="K709" t="s">
        <v>366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0.6949152542372881</v>
      </c>
      <c r="R709" t="s">
        <v>782</v>
      </c>
      <c r="S709" t="s">
        <v>790</v>
      </c>
      <c r="T709">
        <v>217.490105</v>
      </c>
      <c r="U709" s="2">
        <v>44502</v>
      </c>
      <c r="V709" t="s">
        <v>794</v>
      </c>
    </row>
    <row r="710" spans="1:22">
      <c r="A710" s="1" t="s">
        <v>730</v>
      </c>
      <c r="B710">
        <f>HYPERLINK("https://www.suredividend.com/sure-analysis-GWRS/","Global Water Resources Inc")</f>
        <v>0</v>
      </c>
      <c r="C710">
        <v>18.43</v>
      </c>
      <c r="D710">
        <v>15</v>
      </c>
      <c r="E710">
        <v>1.228666666666667</v>
      </c>
      <c r="F710">
        <v>0.01573521432447097</v>
      </c>
      <c r="G710">
        <v>-0.04034929924954744</v>
      </c>
      <c r="H710">
        <v>0.06</v>
      </c>
      <c r="I710">
        <v>0.03236848616334087</v>
      </c>
      <c r="J710" t="s">
        <v>777</v>
      </c>
      <c r="K710" t="s">
        <v>777</v>
      </c>
      <c r="L710">
        <v>0.4</v>
      </c>
      <c r="M710">
        <v>0.29</v>
      </c>
      <c r="N710">
        <v>0.7249999999999999</v>
      </c>
      <c r="O710">
        <v>6</v>
      </c>
      <c r="P710">
        <v>0.01988310171094443</v>
      </c>
      <c r="Q710">
        <v>0.499055999870351</v>
      </c>
      <c r="R710" t="s">
        <v>779</v>
      </c>
      <c r="S710" t="s">
        <v>791</v>
      </c>
      <c r="T710">
        <v>419.009941</v>
      </c>
      <c r="U710" s="2">
        <v>44513</v>
      </c>
      <c r="V710" t="s">
        <v>794</v>
      </c>
    </row>
    <row r="711" spans="1:22">
      <c r="A711" s="1" t="s">
        <v>731</v>
      </c>
      <c r="B711">
        <f>HYPERLINK("https://www.suredividend.com/sure-analysis-CMP/","Compass Minerals International Inc")</f>
        <v>0</v>
      </c>
      <c r="C711">
        <v>56.63</v>
      </c>
      <c r="D711">
        <v>52</v>
      </c>
      <c r="E711">
        <v>1.089038461538462</v>
      </c>
      <c r="F711">
        <v>0.05085643651774677</v>
      </c>
      <c r="G711">
        <v>-0.01691435089373028</v>
      </c>
      <c r="H711">
        <v>0</v>
      </c>
      <c r="I711">
        <v>0.03234368040889701</v>
      </c>
      <c r="J711" t="s">
        <v>777</v>
      </c>
      <c r="K711" t="s">
        <v>514</v>
      </c>
      <c r="L711">
        <v>2.25</v>
      </c>
      <c r="M711">
        <v>2.88</v>
      </c>
      <c r="N711">
        <v>1.28</v>
      </c>
      <c r="O711">
        <v>0</v>
      </c>
      <c r="P711">
        <v>0</v>
      </c>
      <c r="Q711">
        <v>-0.063867519437762</v>
      </c>
      <c r="R711" t="s">
        <v>779</v>
      </c>
      <c r="S711" t="s">
        <v>787</v>
      </c>
      <c r="T711">
        <v>1940.547484</v>
      </c>
      <c r="U711" s="2">
        <v>44432</v>
      </c>
      <c r="V711" t="s">
        <v>794</v>
      </c>
    </row>
    <row r="712" spans="1:22">
      <c r="A712" s="1" t="s">
        <v>732</v>
      </c>
      <c r="B712">
        <f>HYPERLINK("https://www.suredividend.com/sure-analysis-LSI/","Life Storage Inc")</f>
        <v>0</v>
      </c>
      <c r="C712">
        <v>132.73</v>
      </c>
      <c r="D712">
        <v>88</v>
      </c>
      <c r="E712">
        <v>1.508295454545454</v>
      </c>
      <c r="F712">
        <v>0.02591727567241769</v>
      </c>
      <c r="G712">
        <v>-0.07890862518057618</v>
      </c>
      <c r="H712">
        <v>0.09</v>
      </c>
      <c r="I712">
        <v>0.03126581507091886</v>
      </c>
      <c r="J712" t="s">
        <v>777</v>
      </c>
      <c r="K712" t="s">
        <v>514</v>
      </c>
      <c r="L712">
        <v>4.85</v>
      </c>
      <c r="M712">
        <v>3.44</v>
      </c>
      <c r="N712">
        <v>0.709278350515464</v>
      </c>
      <c r="O712">
        <v>3</v>
      </c>
      <c r="P712">
        <v>0.04073022977591667</v>
      </c>
      <c r="Q712">
        <v>0.7477626592241401</v>
      </c>
      <c r="R712" t="s">
        <v>781</v>
      </c>
      <c r="S712" t="s">
        <v>793</v>
      </c>
      <c r="T712">
        <v>10790.882354</v>
      </c>
      <c r="U712" s="2">
        <v>44470</v>
      </c>
      <c r="V712" t="s">
        <v>802</v>
      </c>
    </row>
    <row r="713" spans="1:22">
      <c r="A713" s="1" t="s">
        <v>733</v>
      </c>
      <c r="B713">
        <f>HYPERLINK("https://www.suredividend.com/sure-analysis-EVA/","Enviva Partners LP")</f>
        <v>0</v>
      </c>
      <c r="C713">
        <v>69.06999999999999</v>
      </c>
      <c r="D713">
        <v>45</v>
      </c>
      <c r="E713">
        <v>1.534888888888889</v>
      </c>
      <c r="F713">
        <v>0.04864630085420588</v>
      </c>
      <c r="G713">
        <v>-0.08212273785365876</v>
      </c>
      <c r="H713">
        <v>0.055</v>
      </c>
      <c r="I713">
        <v>0.02696989006200745</v>
      </c>
      <c r="J713" t="s">
        <v>777</v>
      </c>
      <c r="K713" t="s">
        <v>514</v>
      </c>
      <c r="L713">
        <v>3.78</v>
      </c>
      <c r="M713">
        <v>3.36</v>
      </c>
      <c r="N713">
        <v>0.888888888888889</v>
      </c>
      <c r="O713">
        <v>5</v>
      </c>
      <c r="P713">
        <v>0.06016789231717445</v>
      </c>
      <c r="Q713">
        <v>0.594245710775694</v>
      </c>
      <c r="R713" t="s">
        <v>779</v>
      </c>
      <c r="S713" t="s">
        <v>787</v>
      </c>
      <c r="T713">
        <v>4149.176604</v>
      </c>
      <c r="U713" s="2">
        <v>44512</v>
      </c>
      <c r="V713" t="s">
        <v>801</v>
      </c>
    </row>
    <row r="714" spans="1:22">
      <c r="A714" s="1" t="s">
        <v>734</v>
      </c>
      <c r="B714">
        <f>HYPERLINK("https://www.suredividend.com/sure-analysis-IRM/","Iron Mountain Inc.")</f>
        <v>0</v>
      </c>
      <c r="C714">
        <v>47.16</v>
      </c>
      <c r="D714">
        <v>37</v>
      </c>
      <c r="E714">
        <v>1.274594594594594</v>
      </c>
      <c r="F714">
        <v>0.05237489397794742</v>
      </c>
      <c r="G714">
        <v>-0.04736707947047381</v>
      </c>
      <c r="H714">
        <v>0.02</v>
      </c>
      <c r="I714">
        <v>0.02588640198337533</v>
      </c>
      <c r="J714" t="s">
        <v>777</v>
      </c>
      <c r="K714" t="s">
        <v>366</v>
      </c>
      <c r="L714">
        <v>3.39</v>
      </c>
      <c r="M714">
        <v>2.47</v>
      </c>
      <c r="N714">
        <v>0.728613569321534</v>
      </c>
      <c r="O714">
        <v>10</v>
      </c>
      <c r="P714">
        <v>0.01031145931793609</v>
      </c>
      <c r="Q714">
        <v>0.9484367146283951</v>
      </c>
      <c r="R714" t="s">
        <v>781</v>
      </c>
      <c r="S714" t="s">
        <v>793</v>
      </c>
      <c r="T714">
        <v>13805.720065</v>
      </c>
      <c r="U714" s="2">
        <v>44511</v>
      </c>
      <c r="V714" t="s">
        <v>797</v>
      </c>
    </row>
    <row r="715" spans="1:22">
      <c r="A715" s="1" t="s">
        <v>735</v>
      </c>
      <c r="B715">
        <f>HYPERLINK("https://www.suredividend.com/sure-analysis-BKR/","Baker Hughes Co")</f>
        <v>0</v>
      </c>
      <c r="C715">
        <v>24.34</v>
      </c>
      <c r="D715">
        <v>13</v>
      </c>
      <c r="E715">
        <v>1.872307692307692</v>
      </c>
      <c r="F715">
        <v>0.02958093672966311</v>
      </c>
      <c r="G715">
        <v>-0.1178863232000021</v>
      </c>
      <c r="H715">
        <v>0.13</v>
      </c>
      <c r="I715">
        <v>0.02509810549302172</v>
      </c>
      <c r="J715" t="s">
        <v>777</v>
      </c>
      <c r="K715" t="s">
        <v>777</v>
      </c>
      <c r="L715">
        <v>0.75</v>
      </c>
      <c r="M715">
        <v>0.72</v>
      </c>
      <c r="N715">
        <v>0.96</v>
      </c>
      <c r="O715">
        <v>0</v>
      </c>
      <c r="P715">
        <v>0</v>
      </c>
      <c r="Q715">
        <v>0.384451544195953</v>
      </c>
      <c r="R715" t="s">
        <v>779</v>
      </c>
      <c r="S715" t="s">
        <v>792</v>
      </c>
      <c r="T715">
        <v>26108.7528</v>
      </c>
      <c r="U715" s="2">
        <v>44491</v>
      </c>
      <c r="V715" t="s">
        <v>802</v>
      </c>
    </row>
    <row r="716" spans="1:22">
      <c r="A716" s="1" t="s">
        <v>736</v>
      </c>
      <c r="B716">
        <f>HYPERLINK("https://www.suredividend.com/sure-analysis-BXMT/","Blackstone Mortgage Trust Inc")</f>
        <v>0</v>
      </c>
      <c r="C716">
        <v>33.07</v>
      </c>
      <c r="D716">
        <v>24.3</v>
      </c>
      <c r="E716">
        <v>1.360905349794239</v>
      </c>
      <c r="F716">
        <v>0.07499244027819776</v>
      </c>
      <c r="G716">
        <v>-0.0597693254157029</v>
      </c>
      <c r="H716">
        <v>0.004</v>
      </c>
      <c r="I716">
        <v>0.02376003432782081</v>
      </c>
      <c r="J716" t="s">
        <v>777</v>
      </c>
      <c r="K716" t="s">
        <v>366</v>
      </c>
      <c r="L716">
        <v>2.43</v>
      </c>
      <c r="M716">
        <v>2.48</v>
      </c>
      <c r="N716">
        <v>1.020576131687243</v>
      </c>
      <c r="O716">
        <v>0</v>
      </c>
      <c r="P716">
        <v>0</v>
      </c>
      <c r="Q716">
        <v>0.383088354938438</v>
      </c>
      <c r="R716" t="s">
        <v>781</v>
      </c>
      <c r="S716" t="s">
        <v>793</v>
      </c>
      <c r="T716">
        <v>5207.233526</v>
      </c>
      <c r="U716" s="2">
        <v>44503</v>
      </c>
      <c r="V716" t="s">
        <v>804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43.5</v>
      </c>
      <c r="D717">
        <v>30</v>
      </c>
      <c r="E717">
        <v>1.45</v>
      </c>
      <c r="F717">
        <v>0.06781609195402299</v>
      </c>
      <c r="G717">
        <v>-0.07161866687692386</v>
      </c>
      <c r="H717">
        <v>0.02</v>
      </c>
      <c r="I717">
        <v>0.02321848229095891</v>
      </c>
      <c r="J717" t="s">
        <v>777</v>
      </c>
      <c r="K717" t="s">
        <v>366</v>
      </c>
      <c r="L717">
        <v>2.95</v>
      </c>
      <c r="M717">
        <v>2.95</v>
      </c>
      <c r="N717">
        <v>1</v>
      </c>
      <c r="O717">
        <v>0</v>
      </c>
      <c r="P717">
        <v>0.02018543011640217</v>
      </c>
      <c r="Q717">
        <v>0.61283793977708</v>
      </c>
      <c r="R717" t="s">
        <v>779</v>
      </c>
      <c r="S717" t="s">
        <v>792</v>
      </c>
      <c r="T717">
        <v>639.012691</v>
      </c>
      <c r="U717" s="2">
        <v>44438</v>
      </c>
      <c r="V717" t="s">
        <v>802</v>
      </c>
    </row>
    <row r="718" spans="1:22">
      <c r="A718" s="1" t="s">
        <v>738</v>
      </c>
      <c r="B718">
        <f>HYPERLINK("https://www.suredividend.com/sure-analysis-IRT/","Independence Realty Trust Inc")</f>
        <v>0</v>
      </c>
      <c r="C718">
        <v>25.24</v>
      </c>
      <c r="D718">
        <v>18.7</v>
      </c>
      <c r="E718">
        <v>1.349732620320856</v>
      </c>
      <c r="F718">
        <v>0.01901743264659271</v>
      </c>
      <c r="G718">
        <v>-0.05821785785597722</v>
      </c>
      <c r="H718">
        <v>0.059</v>
      </c>
      <c r="I718">
        <v>0.0224399878171182</v>
      </c>
      <c r="J718" t="s">
        <v>777</v>
      </c>
      <c r="K718" t="s">
        <v>777</v>
      </c>
      <c r="L718">
        <v>0.79</v>
      </c>
      <c r="M718">
        <v>0.48</v>
      </c>
      <c r="N718">
        <v>0.6075949367088607</v>
      </c>
      <c r="O718">
        <v>0</v>
      </c>
      <c r="P718">
        <v>0.1075663432482901</v>
      </c>
      <c r="Q718">
        <v>0.85249731172828</v>
      </c>
      <c r="R718" t="s">
        <v>781</v>
      </c>
      <c r="S718" t="s">
        <v>793</v>
      </c>
      <c r="T718">
        <v>2625.696336</v>
      </c>
      <c r="U718" s="2">
        <v>44503</v>
      </c>
      <c r="V718" t="s">
        <v>804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12.1</v>
      </c>
      <c r="D719">
        <v>8.5</v>
      </c>
      <c r="E719">
        <v>1.423529411764706</v>
      </c>
      <c r="F719">
        <v>0.06611570247933884</v>
      </c>
      <c r="G719">
        <v>-0.06819140710749372</v>
      </c>
      <c r="H719">
        <v>0.02</v>
      </c>
      <c r="I719">
        <v>0.0221974861310168</v>
      </c>
      <c r="J719" t="s">
        <v>777</v>
      </c>
      <c r="K719" t="s">
        <v>514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0.493508087278796</v>
      </c>
      <c r="R719" t="s">
        <v>781</v>
      </c>
      <c r="S719" t="s">
        <v>793</v>
      </c>
      <c r="T719">
        <v>1526.861198</v>
      </c>
      <c r="U719" s="2">
        <v>44513</v>
      </c>
      <c r="V719" t="s">
        <v>801</v>
      </c>
    </row>
    <row r="720" spans="1:22">
      <c r="A720" s="1" t="s">
        <v>740</v>
      </c>
      <c r="B720">
        <f>HYPERLINK("https://www.suredividend.com/sure-analysis-OLP/","One Liberty Properties, Inc.")</f>
        <v>0</v>
      </c>
      <c r="C720">
        <v>34.31</v>
      </c>
      <c r="D720">
        <v>25</v>
      </c>
      <c r="E720">
        <v>1.3724</v>
      </c>
      <c r="F720">
        <v>0.05246283882250073</v>
      </c>
      <c r="G720">
        <v>-0.06134962471701599</v>
      </c>
      <c r="H720">
        <v>0.03</v>
      </c>
      <c r="I720">
        <v>0.02197991601825255</v>
      </c>
      <c r="J720" t="s">
        <v>777</v>
      </c>
      <c r="K720" t="s">
        <v>514</v>
      </c>
      <c r="L720">
        <v>1.9</v>
      </c>
      <c r="M720">
        <v>1.8</v>
      </c>
      <c r="N720">
        <v>0.9473684210526316</v>
      </c>
      <c r="O720">
        <v>0</v>
      </c>
      <c r="P720">
        <v>0.009805797673485328</v>
      </c>
      <c r="Q720">
        <v>1.047065631479963</v>
      </c>
      <c r="R720" t="s">
        <v>781</v>
      </c>
      <c r="S720" t="s">
        <v>793</v>
      </c>
      <c r="T720">
        <v>710.143775</v>
      </c>
      <c r="U720" s="2">
        <v>44513</v>
      </c>
      <c r="V720" t="s">
        <v>801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29.25</v>
      </c>
      <c r="D721">
        <v>22</v>
      </c>
      <c r="E721">
        <v>1.329545454545455</v>
      </c>
      <c r="F721">
        <v>0.03282051282051282</v>
      </c>
      <c r="G721">
        <v>-0.0553751590962388</v>
      </c>
      <c r="H721">
        <v>0.045</v>
      </c>
      <c r="I721">
        <v>0.02081779039200859</v>
      </c>
      <c r="J721" t="s">
        <v>777</v>
      </c>
      <c r="K721" t="s">
        <v>514</v>
      </c>
      <c r="L721">
        <v>1.26</v>
      </c>
      <c r="M721">
        <v>0.96</v>
      </c>
      <c r="N721">
        <v>0.7619047619047619</v>
      </c>
      <c r="O721">
        <v>0</v>
      </c>
      <c r="P721">
        <v>0.01417569496143978</v>
      </c>
      <c r="Q721">
        <v>0.716786026405776</v>
      </c>
      <c r="R721" t="s">
        <v>779</v>
      </c>
      <c r="S721" t="s">
        <v>783</v>
      </c>
      <c r="T721">
        <v>13949.369422</v>
      </c>
      <c r="U721" s="2">
        <v>44514</v>
      </c>
      <c r="V721" t="s">
        <v>801</v>
      </c>
    </row>
    <row r="722" spans="1:22">
      <c r="A722" s="1" t="s">
        <v>742</v>
      </c>
      <c r="B722">
        <f>HYPERLINK("https://www.suredividend.com/sure-analysis-EQR/","Equity Residential Properties Trust")</f>
        <v>0</v>
      </c>
      <c r="C722">
        <v>87.17</v>
      </c>
      <c r="D722">
        <v>65</v>
      </c>
      <c r="E722">
        <v>1.341076923076923</v>
      </c>
      <c r="F722">
        <v>0.02776184467133188</v>
      </c>
      <c r="G722">
        <v>-0.05700527765153862</v>
      </c>
      <c r="H722">
        <v>0.048</v>
      </c>
      <c r="I722">
        <v>0.01940304425774464</v>
      </c>
      <c r="J722" t="s">
        <v>777</v>
      </c>
      <c r="K722" t="s">
        <v>777</v>
      </c>
      <c r="L722">
        <v>2.95</v>
      </c>
      <c r="M722">
        <v>2.42</v>
      </c>
      <c r="N722">
        <v>0.8203389830508474</v>
      </c>
      <c r="O722">
        <v>1</v>
      </c>
      <c r="P722">
        <v>0.04390548076893097</v>
      </c>
      <c r="Q722">
        <v>0.42886811361059</v>
      </c>
      <c r="R722" t="s">
        <v>781</v>
      </c>
      <c r="S722" t="s">
        <v>793</v>
      </c>
      <c r="T722">
        <v>32510.156285</v>
      </c>
      <c r="U722" s="2">
        <v>44496</v>
      </c>
      <c r="V722" t="s">
        <v>804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8.85</v>
      </c>
      <c r="D723">
        <v>6.1</v>
      </c>
      <c r="E723">
        <v>1.450819672131147</v>
      </c>
      <c r="F723">
        <v>0.08135593220338982</v>
      </c>
      <c r="G723">
        <v>-0.07172359243714566</v>
      </c>
      <c r="H723">
        <v>0</v>
      </c>
      <c r="I723">
        <v>0.01851092715113656</v>
      </c>
      <c r="J723" t="s">
        <v>777</v>
      </c>
      <c r="K723" t="s">
        <v>366</v>
      </c>
      <c r="L723">
        <v>0.72</v>
      </c>
      <c r="M723">
        <v>0.72</v>
      </c>
      <c r="N723">
        <v>1</v>
      </c>
      <c r="O723">
        <v>0</v>
      </c>
      <c r="P723">
        <v>0</v>
      </c>
      <c r="Q723">
        <v>0.8625871125714161</v>
      </c>
      <c r="R723" t="s">
        <v>782</v>
      </c>
      <c r="S723" t="s">
        <v>790</v>
      </c>
      <c r="T723">
        <v>3469.81185</v>
      </c>
      <c r="U723" s="2">
        <v>44444</v>
      </c>
      <c r="V723" t="s">
        <v>799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42.88</v>
      </c>
      <c r="D724">
        <v>31</v>
      </c>
      <c r="E724">
        <v>1.383225806451613</v>
      </c>
      <c r="F724">
        <v>0.03381529850746268</v>
      </c>
      <c r="G724">
        <v>-0.06282351415327747</v>
      </c>
      <c r="H724">
        <v>0.05</v>
      </c>
      <c r="I724">
        <v>0.01836192605312403</v>
      </c>
      <c r="J724" t="s">
        <v>777</v>
      </c>
      <c r="K724" t="s">
        <v>514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0.4179879434530021</v>
      </c>
      <c r="R724" t="s">
        <v>781</v>
      </c>
      <c r="S724" t="s">
        <v>793</v>
      </c>
      <c r="T724">
        <v>7256.023781</v>
      </c>
      <c r="U724" s="2">
        <v>44516</v>
      </c>
      <c r="V724" t="s">
        <v>802</v>
      </c>
    </row>
    <row r="725" spans="1:22">
      <c r="A725" s="1" t="s">
        <v>745</v>
      </c>
      <c r="B725">
        <f>HYPERLINK("https://www.suredividend.com/sure-analysis-CRT/","Cross Timbers Royalty Trust")</f>
        <v>0</v>
      </c>
      <c r="C725">
        <v>13.52</v>
      </c>
      <c r="D725">
        <v>9</v>
      </c>
      <c r="E725">
        <v>1.502222222222222</v>
      </c>
      <c r="F725">
        <v>0.07396449704142012</v>
      </c>
      <c r="G725">
        <v>-0.07816506308106819</v>
      </c>
      <c r="H725">
        <v>0.01</v>
      </c>
      <c r="I725">
        <v>0.01560187886116715</v>
      </c>
      <c r="J725" t="s">
        <v>777</v>
      </c>
      <c r="K725" t="s">
        <v>366</v>
      </c>
      <c r="L725">
        <v>1</v>
      </c>
      <c r="M725">
        <v>1</v>
      </c>
      <c r="N725">
        <v>1</v>
      </c>
      <c r="O725">
        <v>0</v>
      </c>
      <c r="P725">
        <v>0.009805797673485328</v>
      </c>
      <c r="Q725">
        <v>0.8368601047344231</v>
      </c>
      <c r="R725" t="s">
        <v>779</v>
      </c>
      <c r="S725" t="s">
        <v>792</v>
      </c>
      <c r="T725">
        <v>82.5</v>
      </c>
      <c r="U725" s="2">
        <v>44438</v>
      </c>
      <c r="V725" t="s">
        <v>802</v>
      </c>
    </row>
    <row r="726" spans="1:22">
      <c r="A726" s="1" t="s">
        <v>746</v>
      </c>
      <c r="B726">
        <f>HYPERLINK("https://www.suredividend.com/sure-analysis-UDR/","UDR Inc")</f>
        <v>0</v>
      </c>
      <c r="C726">
        <v>56.32</v>
      </c>
      <c r="D726">
        <v>40</v>
      </c>
      <c r="E726">
        <v>1.408</v>
      </c>
      <c r="F726">
        <v>0.02574573863636364</v>
      </c>
      <c r="G726">
        <v>-0.06614495563184952</v>
      </c>
      <c r="H726">
        <v>0.055</v>
      </c>
      <c r="I726">
        <v>0.01505628949296312</v>
      </c>
      <c r="J726" t="s">
        <v>777</v>
      </c>
      <c r="K726" t="s">
        <v>777</v>
      </c>
      <c r="L726">
        <v>1.82</v>
      </c>
      <c r="M726">
        <v>1.45</v>
      </c>
      <c r="N726">
        <v>0.7967032967032966</v>
      </c>
      <c r="O726">
        <v>11</v>
      </c>
      <c r="P726">
        <v>0.0499309672496191</v>
      </c>
      <c r="Q726">
        <v>0.438644245038561</v>
      </c>
      <c r="R726" t="s">
        <v>781</v>
      </c>
      <c r="S726" t="s">
        <v>793</v>
      </c>
      <c r="T726">
        <v>17354.631453</v>
      </c>
      <c r="U726" s="2">
        <v>44512</v>
      </c>
      <c r="V726" t="s">
        <v>801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34.99</v>
      </c>
      <c r="D727">
        <v>24</v>
      </c>
      <c r="E727">
        <v>1.457916666666667</v>
      </c>
      <c r="F727">
        <v>0.03429551300371535</v>
      </c>
      <c r="G727">
        <v>-0.07262910894273211</v>
      </c>
      <c r="H727">
        <v>0.05</v>
      </c>
      <c r="I727">
        <v>0.01242491099680687</v>
      </c>
      <c r="J727" t="s">
        <v>777</v>
      </c>
      <c r="K727" t="s">
        <v>514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0.152813566639234</v>
      </c>
      <c r="R727" t="s">
        <v>781</v>
      </c>
      <c r="S727" t="s">
        <v>793</v>
      </c>
      <c r="T727">
        <v>18425.488582</v>
      </c>
      <c r="U727" s="2">
        <v>44515</v>
      </c>
      <c r="V727" t="s">
        <v>802</v>
      </c>
    </row>
    <row r="728" spans="1:22">
      <c r="A728" s="1" t="s">
        <v>748</v>
      </c>
      <c r="B728">
        <f>HYPERLINK("https://www.suredividend.com/sure-analysis-GAIN/","Gladstone Investment Corporation")</f>
        <v>0</v>
      </c>
      <c r="C728">
        <v>16.775</v>
      </c>
      <c r="D728">
        <v>11</v>
      </c>
      <c r="E728">
        <v>1.525</v>
      </c>
      <c r="F728">
        <v>0.05365126676602087</v>
      </c>
      <c r="G728">
        <v>-0.08093541535990179</v>
      </c>
      <c r="H728">
        <v>0.03</v>
      </c>
      <c r="I728">
        <v>0.008712250327189031</v>
      </c>
      <c r="J728" t="s">
        <v>777</v>
      </c>
      <c r="K728" t="s">
        <v>514</v>
      </c>
      <c r="L728">
        <v>0.8</v>
      </c>
      <c r="M728">
        <v>0.9</v>
      </c>
      <c r="N728">
        <v>1.125</v>
      </c>
      <c r="O728">
        <v>1</v>
      </c>
      <c r="P728">
        <v>0.01924487649145656</v>
      </c>
      <c r="Q728">
        <v>0.8678351701854551</v>
      </c>
      <c r="R728" t="s">
        <v>782</v>
      </c>
      <c r="S728" t="s">
        <v>790</v>
      </c>
      <c r="T728">
        <v>560.5007879999999</v>
      </c>
      <c r="U728" s="2">
        <v>44512</v>
      </c>
      <c r="V728" t="s">
        <v>797</v>
      </c>
    </row>
    <row r="729" spans="1:22">
      <c r="A729" s="1" t="s">
        <v>749</v>
      </c>
      <c r="B729">
        <f>HYPERLINK("https://www.suredividend.com/sure-analysis-SJT/","San Juan Basin Royalty Trust")</f>
        <v>0</v>
      </c>
      <c r="C729">
        <v>7.45</v>
      </c>
      <c r="D729">
        <v>5.45</v>
      </c>
      <c r="E729">
        <v>1.36697247706422</v>
      </c>
      <c r="F729">
        <v>0.09127516778523491</v>
      </c>
      <c r="G729">
        <v>-0.06060542910947875</v>
      </c>
      <c r="H729">
        <v>-0.03</v>
      </c>
      <c r="I729">
        <v>0.008543778938158164</v>
      </c>
      <c r="J729" t="s">
        <v>777</v>
      </c>
      <c r="K729" t="s">
        <v>366</v>
      </c>
      <c r="L729">
        <v>0.68</v>
      </c>
      <c r="M729">
        <v>0.68</v>
      </c>
      <c r="N729">
        <v>1</v>
      </c>
      <c r="O729">
        <v>1</v>
      </c>
      <c r="P729">
        <v>-0.03131223109334913</v>
      </c>
      <c r="Q729">
        <v>1.450344021809684</v>
      </c>
      <c r="R729" t="s">
        <v>779</v>
      </c>
      <c r="S729" t="s">
        <v>792</v>
      </c>
      <c r="T729">
        <v>351.89641</v>
      </c>
      <c r="U729" s="2">
        <v>44473</v>
      </c>
      <c r="V729" t="s">
        <v>802</v>
      </c>
    </row>
    <row r="730" spans="1:22">
      <c r="A730" s="1" t="s">
        <v>750</v>
      </c>
      <c r="B730">
        <f>HYPERLINK("https://www.suredividend.com/sure-analysis-DREUF/","Dream Industrial Real Estate Investment Trust")</f>
        <v>0</v>
      </c>
      <c r="C730">
        <v>13.264</v>
      </c>
      <c r="D730">
        <v>9</v>
      </c>
      <c r="E730">
        <v>1.473777777777778</v>
      </c>
      <c r="F730">
        <v>0.04372738238841978</v>
      </c>
      <c r="G730">
        <v>-0.0746338705952645</v>
      </c>
      <c r="H730">
        <v>0.035</v>
      </c>
      <c r="I730">
        <v>0.005298032335036007</v>
      </c>
      <c r="J730" t="s">
        <v>777</v>
      </c>
      <c r="K730" t="s">
        <v>514</v>
      </c>
      <c r="L730">
        <v>0.65</v>
      </c>
      <c r="M730">
        <v>0.58</v>
      </c>
      <c r="N730">
        <v>0.8923076923076922</v>
      </c>
      <c r="O730">
        <v>0</v>
      </c>
      <c r="P730">
        <v>0.003424737731033467</v>
      </c>
      <c r="Q730">
        <v>0.3894954721862871</v>
      </c>
      <c r="R730" t="s">
        <v>781</v>
      </c>
      <c r="S730" t="s">
        <v>790</v>
      </c>
      <c r="T730">
        <v>3084.321442</v>
      </c>
      <c r="U730" s="2">
        <v>44513</v>
      </c>
      <c r="V730" t="s">
        <v>801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18.74</v>
      </c>
      <c r="D731">
        <v>11.5</v>
      </c>
      <c r="E731">
        <v>1.629565217391304</v>
      </c>
      <c r="F731">
        <v>0.0768409818569904</v>
      </c>
      <c r="G731">
        <v>-0.09304518508948412</v>
      </c>
      <c r="H731">
        <v>0.008</v>
      </c>
      <c r="I731">
        <v>0.003254819933542707</v>
      </c>
      <c r="J731" t="s">
        <v>777</v>
      </c>
      <c r="K731" t="s">
        <v>366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0.5769583805373401</v>
      </c>
      <c r="R731" t="s">
        <v>781</v>
      </c>
      <c r="S731" t="s">
        <v>793</v>
      </c>
      <c r="T731">
        <v>2727.136987</v>
      </c>
      <c r="U731" s="2">
        <v>44506</v>
      </c>
      <c r="V731" t="s">
        <v>804</v>
      </c>
    </row>
    <row r="732" spans="1:22">
      <c r="A732" s="1" t="s">
        <v>752</v>
      </c>
      <c r="B732">
        <f>HYPERLINK("https://www.suredividend.com/sure-analysis-MNR/","Monmouth Real Estate Investment Corp.")</f>
        <v>0</v>
      </c>
      <c r="C732">
        <v>20.86</v>
      </c>
      <c r="D732">
        <v>15</v>
      </c>
      <c r="E732">
        <v>1.390666666666667</v>
      </c>
      <c r="F732">
        <v>0.03451581975071908</v>
      </c>
      <c r="G732">
        <v>-0.06382855326941184</v>
      </c>
      <c r="H732">
        <v>0.03</v>
      </c>
      <c r="I732">
        <v>0.003205780837612693</v>
      </c>
      <c r="J732" t="s">
        <v>777</v>
      </c>
      <c r="K732" t="s">
        <v>514</v>
      </c>
      <c r="L732">
        <v>0.75</v>
      </c>
      <c r="M732">
        <v>0.72</v>
      </c>
      <c r="N732">
        <v>0.96</v>
      </c>
      <c r="O732">
        <v>1</v>
      </c>
      <c r="P732">
        <v>0.01872958559274807</v>
      </c>
      <c r="Q732">
        <v>0.4682740403529471</v>
      </c>
      <c r="R732" t="s">
        <v>781</v>
      </c>
      <c r="S732" t="s">
        <v>793</v>
      </c>
      <c r="T732">
        <v>2055.293794</v>
      </c>
      <c r="U732" s="2">
        <v>44426</v>
      </c>
      <c r="V732" t="s">
        <v>794</v>
      </c>
    </row>
    <row r="733" spans="1:22">
      <c r="A733" s="1" t="s">
        <v>753</v>
      </c>
      <c r="B733">
        <f>HYPERLINK("https://www.suredividend.com/sure-analysis-LXP/","Lexington Realty Trust")</f>
        <v>0</v>
      </c>
      <c r="C733">
        <v>15.34</v>
      </c>
      <c r="D733">
        <v>11</v>
      </c>
      <c r="E733">
        <v>1.394545454545455</v>
      </c>
      <c r="F733">
        <v>0.03129074315514994</v>
      </c>
      <c r="G733">
        <v>-0.06434990696813658</v>
      </c>
      <c r="H733">
        <v>0.035</v>
      </c>
      <c r="I733">
        <v>0.002390406306695958</v>
      </c>
      <c r="J733" t="s">
        <v>777</v>
      </c>
      <c r="K733" t="s">
        <v>514</v>
      </c>
      <c r="L733">
        <v>0.76</v>
      </c>
      <c r="M733">
        <v>0.48</v>
      </c>
      <c r="N733">
        <v>0.631578947368421</v>
      </c>
      <c r="O733">
        <v>2</v>
      </c>
      <c r="P733">
        <v>0.008197818497166498</v>
      </c>
      <c r="Q733">
        <v>0.422984497950337</v>
      </c>
      <c r="R733" t="s">
        <v>781</v>
      </c>
      <c r="S733" t="s">
        <v>793</v>
      </c>
      <c r="T733">
        <v>4270.543223</v>
      </c>
      <c r="U733" s="2">
        <v>44513</v>
      </c>
      <c r="V733" t="s">
        <v>801</v>
      </c>
    </row>
    <row r="734" spans="1:22">
      <c r="A734" s="1" t="s">
        <v>754</v>
      </c>
      <c r="B734">
        <f>HYPERLINK("https://www.suredividend.com/sure-analysis-UBA/","Urstadt Biddle Properties, Inc.")</f>
        <v>0</v>
      </c>
      <c r="C734">
        <v>20.23</v>
      </c>
      <c r="D734">
        <v>14</v>
      </c>
      <c r="E734">
        <v>1.445</v>
      </c>
      <c r="F734">
        <v>0.04547701433514582</v>
      </c>
      <c r="G734">
        <v>-0.07097707584748003</v>
      </c>
      <c r="H734">
        <v>0.018</v>
      </c>
      <c r="I734">
        <v>0.002002102167647291</v>
      </c>
      <c r="J734" t="s">
        <v>777</v>
      </c>
      <c r="K734" t="s">
        <v>366</v>
      </c>
      <c r="L734">
        <v>1.37</v>
      </c>
      <c r="M734">
        <v>0.92</v>
      </c>
      <c r="N734">
        <v>0.6715328467153284</v>
      </c>
      <c r="O734">
        <v>0</v>
      </c>
      <c r="P734">
        <v>0.03638464900130689</v>
      </c>
      <c r="Q734">
        <v>0.701932703239271</v>
      </c>
      <c r="R734" t="s">
        <v>781</v>
      </c>
      <c r="S734" t="s">
        <v>793</v>
      </c>
      <c r="T734">
        <v>781.472853</v>
      </c>
      <c r="U734" s="2">
        <v>44452</v>
      </c>
      <c r="V734" t="s">
        <v>804</v>
      </c>
    </row>
    <row r="735" spans="1:22">
      <c r="A735" s="1" t="s">
        <v>755</v>
      </c>
      <c r="B735">
        <f>HYPERLINK("https://www.suredividend.com/sure-analysis-MPC/","Marathon Petroleum Corp")</f>
        <v>0</v>
      </c>
      <c r="C735">
        <v>63.58</v>
      </c>
      <c r="D735">
        <v>49</v>
      </c>
      <c r="E735">
        <v>1.297551020408163</v>
      </c>
      <c r="F735">
        <v>0.03648946209499843</v>
      </c>
      <c r="G735">
        <v>-0.05076200945929887</v>
      </c>
      <c r="H735">
        <v>0.01</v>
      </c>
      <c r="I735">
        <v>-0.000386987415745943</v>
      </c>
      <c r="J735" t="s">
        <v>777</v>
      </c>
      <c r="K735" t="s">
        <v>514</v>
      </c>
      <c r="L735">
        <v>1.5</v>
      </c>
      <c r="M735">
        <v>2.32</v>
      </c>
      <c r="N735">
        <v>1.546666666666667</v>
      </c>
      <c r="O735">
        <v>9</v>
      </c>
      <c r="P735">
        <v>0.01013720758985226</v>
      </c>
      <c r="Q735">
        <v>0.661247883087502</v>
      </c>
      <c r="R735" t="s">
        <v>779</v>
      </c>
      <c r="S735" t="s">
        <v>792</v>
      </c>
      <c r="T735">
        <v>39914.705236</v>
      </c>
      <c r="U735" s="2">
        <v>44504</v>
      </c>
      <c r="V735" t="s">
        <v>802</v>
      </c>
    </row>
    <row r="736" spans="1:22">
      <c r="A736" s="1" t="s">
        <v>756</v>
      </c>
      <c r="B736">
        <f>HYPERLINK("https://www.suredividend.com/sure-analysis-GLAD/","Gladstone Capital Corp.")</f>
        <v>0</v>
      </c>
      <c r="C736">
        <v>12.285</v>
      </c>
      <c r="D736">
        <v>8</v>
      </c>
      <c r="E736">
        <v>1.535625</v>
      </c>
      <c r="F736">
        <v>0.06349206349206349</v>
      </c>
      <c r="G736">
        <v>-0.08221075273244605</v>
      </c>
      <c r="H736">
        <v>0</v>
      </c>
      <c r="I736">
        <v>-0.006347887660106077</v>
      </c>
      <c r="J736" t="s">
        <v>777</v>
      </c>
      <c r="K736" t="s">
        <v>366</v>
      </c>
      <c r="L736">
        <v>0.8</v>
      </c>
      <c r="M736">
        <v>0.78</v>
      </c>
      <c r="N736">
        <v>0.975</v>
      </c>
      <c r="O736">
        <v>0</v>
      </c>
      <c r="P736">
        <v>0</v>
      </c>
      <c r="Q736">
        <v>0.561032565931416</v>
      </c>
      <c r="R736" t="s">
        <v>779</v>
      </c>
      <c r="S736" t="s">
        <v>790</v>
      </c>
      <c r="T736">
        <v>421.943763</v>
      </c>
      <c r="U736" s="2">
        <v>44424</v>
      </c>
      <c r="V736" t="s">
        <v>799</v>
      </c>
    </row>
    <row r="737" spans="1:22">
      <c r="A737" s="1" t="s">
        <v>757</v>
      </c>
      <c r="B737">
        <f>HYPERLINK("https://www.suredividend.com/sure-analysis-PPRQF/","Choice Properties Real Estate Investment Trust")</f>
        <v>0</v>
      </c>
      <c r="C737">
        <v>11.93</v>
      </c>
      <c r="D737">
        <v>6.7</v>
      </c>
      <c r="E737">
        <v>1.780597014925373</v>
      </c>
      <c r="F737">
        <v>0.04945515507124895</v>
      </c>
      <c r="G737">
        <v>-0.1089811911757241</v>
      </c>
      <c r="H737">
        <v>0.049</v>
      </c>
      <c r="I737">
        <v>-0.009044468535842176</v>
      </c>
      <c r="J737" t="s">
        <v>777</v>
      </c>
      <c r="K737" t="s">
        <v>514</v>
      </c>
      <c r="L737">
        <v>0.67</v>
      </c>
      <c r="M737">
        <v>0.59</v>
      </c>
      <c r="N737">
        <v>0.880597014925373</v>
      </c>
      <c r="O737">
        <v>1</v>
      </c>
      <c r="P737">
        <v>-0.006873503878979115</v>
      </c>
      <c r="Q737">
        <v>0.163929815032153</v>
      </c>
      <c r="R737" t="s">
        <v>781</v>
      </c>
      <c r="S737" t="s">
        <v>790</v>
      </c>
      <c r="T737">
        <v>3930.188628</v>
      </c>
      <c r="U737" s="2">
        <v>44509</v>
      </c>
      <c r="V737" t="s">
        <v>804</v>
      </c>
    </row>
    <row r="738" spans="1:22">
      <c r="A738" s="1" t="s">
        <v>758</v>
      </c>
      <c r="B738">
        <f>HYPERLINK("https://www.suredividend.com/sure-analysis-DRETF/","Dream Office Real Estate Investment Trust")</f>
        <v>0</v>
      </c>
      <c r="C738">
        <v>19.205</v>
      </c>
      <c r="D738">
        <v>11.2</v>
      </c>
      <c r="E738">
        <v>1.714732142857143</v>
      </c>
      <c r="F738">
        <v>0.04217651653215309</v>
      </c>
      <c r="G738">
        <v>-0.1022389852791538</v>
      </c>
      <c r="H738">
        <v>0.039</v>
      </c>
      <c r="I738">
        <v>-0.01751431592386432</v>
      </c>
      <c r="J738" t="s">
        <v>777</v>
      </c>
      <c r="K738" t="s">
        <v>366</v>
      </c>
      <c r="L738">
        <v>1.24</v>
      </c>
      <c r="M738">
        <v>0.8100000000000001</v>
      </c>
      <c r="N738">
        <v>0.653225806451613</v>
      </c>
      <c r="O738">
        <v>0</v>
      </c>
      <c r="P738">
        <v>-0.002481420174103466</v>
      </c>
      <c r="Q738">
        <v>0.22395003505194</v>
      </c>
      <c r="R738" t="s">
        <v>779</v>
      </c>
      <c r="S738" t="s">
        <v>790</v>
      </c>
      <c r="T738">
        <v>954.50252</v>
      </c>
      <c r="U738" s="2">
        <v>44509</v>
      </c>
      <c r="V738" t="s">
        <v>804</v>
      </c>
    </row>
    <row r="739" spans="1:22">
      <c r="A739" s="1" t="s">
        <v>759</v>
      </c>
      <c r="B739">
        <f>HYPERLINK("https://www.suredividend.com/sure-analysis-WELL/","Welltower Inc")</f>
        <v>0</v>
      </c>
      <c r="C739">
        <v>86.22</v>
      </c>
      <c r="D739">
        <v>56</v>
      </c>
      <c r="E739">
        <v>1.539642857142857</v>
      </c>
      <c r="F739">
        <v>0.02829969844583623</v>
      </c>
      <c r="G739">
        <v>-0.08269026670760715</v>
      </c>
      <c r="H739">
        <v>0.012</v>
      </c>
      <c r="I739">
        <v>-0.03119089828660837</v>
      </c>
      <c r="J739" t="s">
        <v>777</v>
      </c>
      <c r="K739" t="s">
        <v>514</v>
      </c>
      <c r="L739">
        <v>3.19</v>
      </c>
      <c r="M739">
        <v>2.44</v>
      </c>
      <c r="N739">
        <v>0.7648902821316614</v>
      </c>
      <c r="O739">
        <v>0</v>
      </c>
      <c r="P739">
        <v>0.04972154879615531</v>
      </c>
      <c r="Q739">
        <v>0.305207155021318</v>
      </c>
      <c r="R739" t="s">
        <v>781</v>
      </c>
      <c r="S739" t="s">
        <v>793</v>
      </c>
      <c r="T739">
        <v>36563.060352</v>
      </c>
      <c r="U739" s="2">
        <v>44505</v>
      </c>
      <c r="V739" t="s">
        <v>803</v>
      </c>
    </row>
    <row r="740" spans="1:22">
      <c r="A740" s="1" t="s">
        <v>760</v>
      </c>
      <c r="B740">
        <f>HYPERLINK("https://www.suredividend.com/sure-analysis-LAMR/","Lamar Advertising Co")</f>
        <v>0</v>
      </c>
      <c r="C740">
        <v>116.81</v>
      </c>
      <c r="D740">
        <v>78</v>
      </c>
      <c r="E740">
        <v>1.497564102564103</v>
      </c>
      <c r="F740">
        <v>0.03424364352367092</v>
      </c>
      <c r="G740">
        <v>-0.07759230832182429</v>
      </c>
      <c r="H740">
        <v>0.001</v>
      </c>
      <c r="I740">
        <v>-0.03373805308598887</v>
      </c>
      <c r="J740" t="s">
        <v>777</v>
      </c>
      <c r="K740" t="s">
        <v>514</v>
      </c>
      <c r="L740">
        <v>6.48</v>
      </c>
      <c r="M740">
        <v>4</v>
      </c>
      <c r="N740">
        <v>0.6172839506172839</v>
      </c>
      <c r="O740">
        <v>1</v>
      </c>
      <c r="P740">
        <v>0</v>
      </c>
      <c r="Q740">
        <v>0.555465963382994</v>
      </c>
      <c r="R740" t="s">
        <v>781</v>
      </c>
      <c r="S740" t="s">
        <v>793</v>
      </c>
      <c r="T740">
        <v>10082.336341</v>
      </c>
      <c r="U740" s="2">
        <v>44509</v>
      </c>
      <c r="V740" t="s">
        <v>804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31.32</v>
      </c>
      <c r="D741">
        <v>9</v>
      </c>
      <c r="E741">
        <v>3.48</v>
      </c>
      <c r="F741">
        <v>0.03192848020434227</v>
      </c>
      <c r="G741">
        <v>-0.220736829334498</v>
      </c>
      <c r="H741">
        <v>0.17</v>
      </c>
      <c r="I741">
        <v>-0.04613346955280639</v>
      </c>
      <c r="J741" t="s">
        <v>777</v>
      </c>
      <c r="K741" t="s">
        <v>777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0.8050661525164551</v>
      </c>
      <c r="R741" t="s">
        <v>779</v>
      </c>
      <c r="S741" t="s">
        <v>792</v>
      </c>
      <c r="T741">
        <v>3515.342318</v>
      </c>
      <c r="U741" s="2">
        <v>44427</v>
      </c>
      <c r="V741" t="s">
        <v>802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55.22</v>
      </c>
      <c r="D742">
        <v>35.5</v>
      </c>
      <c r="E742">
        <v>1.555492957746479</v>
      </c>
      <c r="F742">
        <v>0.06483158275986961</v>
      </c>
      <c r="G742">
        <v>-0.0845673665448311</v>
      </c>
      <c r="H742">
        <v>-0.053</v>
      </c>
      <c r="I742">
        <v>-0.04809970136369524</v>
      </c>
      <c r="J742" t="s">
        <v>777</v>
      </c>
      <c r="K742" t="s">
        <v>366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0.8957473957102641</v>
      </c>
      <c r="R742" t="s">
        <v>779</v>
      </c>
      <c r="S742" t="s">
        <v>790</v>
      </c>
      <c r="T742">
        <v>5546.032952</v>
      </c>
      <c r="U742" s="2">
        <v>44504</v>
      </c>
      <c r="V742" t="s">
        <v>804</v>
      </c>
    </row>
    <row r="743" spans="1:22">
      <c r="A743" s="1" t="s">
        <v>763</v>
      </c>
      <c r="B743">
        <f>HYPERLINK("https://www.suredividend.com/sure-analysis-LAND/","Gladstone Land Corp")</f>
        <v>0</v>
      </c>
      <c r="C743">
        <v>28.1948</v>
      </c>
      <c r="D743">
        <v>14</v>
      </c>
      <c r="E743">
        <v>2.013914285714286</v>
      </c>
      <c r="F743">
        <v>0.01915246783094755</v>
      </c>
      <c r="G743">
        <v>-0.1306557149352403</v>
      </c>
      <c r="H743">
        <v>0.06</v>
      </c>
      <c r="I743">
        <v>-0.0510210353523034</v>
      </c>
      <c r="J743" t="s">
        <v>777</v>
      </c>
      <c r="K743" t="s">
        <v>777</v>
      </c>
      <c r="L743">
        <v>0.65</v>
      </c>
      <c r="M743">
        <v>0.54</v>
      </c>
      <c r="N743">
        <v>0.8307692307692308</v>
      </c>
      <c r="O743">
        <v>7</v>
      </c>
      <c r="P743">
        <v>0.03131030647754507</v>
      </c>
      <c r="Q743">
        <v>0.9425900267316061</v>
      </c>
      <c r="R743" t="s">
        <v>781</v>
      </c>
      <c r="S743" t="s">
        <v>793</v>
      </c>
      <c r="T743">
        <v>949.6699609999999</v>
      </c>
      <c r="U743" s="2">
        <v>44424</v>
      </c>
      <c r="V743" t="s">
        <v>799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8.369999999999999</v>
      </c>
      <c r="D744">
        <v>3.1</v>
      </c>
      <c r="E744">
        <v>2.7</v>
      </c>
      <c r="F744">
        <v>0.02867383512544803</v>
      </c>
      <c r="G744">
        <v>-0.1801635047168789</v>
      </c>
      <c r="H744">
        <v>0.07000000000000001</v>
      </c>
      <c r="I744">
        <v>-0.06964584361132842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2.237178272241385</v>
      </c>
      <c r="R744" t="s">
        <v>779</v>
      </c>
      <c r="S744" t="s">
        <v>792</v>
      </c>
      <c r="T744">
        <v>398.039118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6.13</v>
      </c>
      <c r="D745">
        <v>3.1</v>
      </c>
      <c r="E745">
        <v>1.97741935483871</v>
      </c>
      <c r="F745">
        <v>0.009787928221859706</v>
      </c>
      <c r="G745">
        <v>-0.1274702496734545</v>
      </c>
      <c r="H745">
        <v>0.026</v>
      </c>
      <c r="I745">
        <v>-0.08730913085264869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0.9693311173131801</v>
      </c>
      <c r="R745" t="s">
        <v>779</v>
      </c>
      <c r="S745" t="s">
        <v>790</v>
      </c>
      <c r="T745">
        <v>81.504823</v>
      </c>
      <c r="U745" s="2">
        <v>44336</v>
      </c>
      <c r="V745" t="s">
        <v>804</v>
      </c>
    </row>
    <row r="746" spans="1:22">
      <c r="A746" s="1" t="s">
        <v>766</v>
      </c>
      <c r="B746">
        <f>HYPERLINK("https://www.suredividend.com/sure-analysis-PPL/","PPL Corp")</f>
        <v>0</v>
      </c>
      <c r="C746">
        <v>28.49</v>
      </c>
      <c r="D746">
        <v>11</v>
      </c>
      <c r="E746">
        <v>2.59</v>
      </c>
      <c r="F746">
        <v>0.05826605826605827</v>
      </c>
      <c r="G746">
        <v>-0.1733150196953648</v>
      </c>
      <c r="H746">
        <v>0.02</v>
      </c>
      <c r="I746">
        <v>-0.09243974116026177</v>
      </c>
      <c r="J746" t="s">
        <v>777</v>
      </c>
      <c r="K746" t="s">
        <v>366</v>
      </c>
      <c r="L746">
        <v>1.12</v>
      </c>
      <c r="M746">
        <v>1.66</v>
      </c>
      <c r="N746">
        <v>1.482142857142857</v>
      </c>
      <c r="O746">
        <v>20</v>
      </c>
      <c r="P746">
        <v>-0.1402002729120276</v>
      </c>
      <c r="Q746">
        <v>0.003093161840518</v>
      </c>
      <c r="R746" t="s">
        <v>779</v>
      </c>
      <c r="S746" t="s">
        <v>791</v>
      </c>
      <c r="T746">
        <v>22087.687178</v>
      </c>
      <c r="U746" s="2">
        <v>44506</v>
      </c>
      <c r="V746" t="s">
        <v>795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20.24</v>
      </c>
      <c r="D747">
        <v>5.55</v>
      </c>
      <c r="E747">
        <v>3.646846846846847</v>
      </c>
      <c r="F747">
        <v>0.0158102766798419</v>
      </c>
      <c r="G747">
        <v>-0.2280014315760364</v>
      </c>
      <c r="H747">
        <v>0.1</v>
      </c>
      <c r="I747">
        <v>-0.1223683813157173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0.7530936947554501</v>
      </c>
      <c r="R747" t="s">
        <v>779</v>
      </c>
      <c r="S747" t="s">
        <v>786</v>
      </c>
      <c r="T747">
        <v>2690.775752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8.33</v>
      </c>
      <c r="D748">
        <v>5.95</v>
      </c>
      <c r="E748">
        <v>1.4</v>
      </c>
      <c r="F748">
        <v>0.009603841536614645</v>
      </c>
      <c r="G748">
        <v>-0.06508012385152984</v>
      </c>
      <c r="H748">
        <v>-0.1</v>
      </c>
      <c r="I748">
        <v>-0.1402301886772774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1.189927840494808</v>
      </c>
      <c r="R748" t="s">
        <v>779</v>
      </c>
      <c r="S748" t="s">
        <v>792</v>
      </c>
      <c r="T748">
        <v>1873.627227</v>
      </c>
      <c r="U748" s="2">
        <v>44516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45.51</v>
      </c>
      <c r="D749">
        <v>12</v>
      </c>
      <c r="E749">
        <v>3.7925</v>
      </c>
      <c r="F749">
        <v>0.0002197319270490002</v>
      </c>
      <c r="G749">
        <v>-0.2340244941485989</v>
      </c>
      <c r="H749">
        <v>0.06</v>
      </c>
      <c r="I749">
        <v>-0.1845333282900876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0.722446515488812</v>
      </c>
      <c r="R749" t="s">
        <v>779</v>
      </c>
      <c r="S749" t="s">
        <v>788</v>
      </c>
      <c r="T749">
        <v>21408.016833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32.54</v>
      </c>
      <c r="D750">
        <v>39</v>
      </c>
      <c r="E750">
        <v>0.8343589743589743</v>
      </c>
      <c r="F750">
        <v>0</v>
      </c>
      <c r="G750">
        <v>0.03688218235968321</v>
      </c>
      <c r="H750">
        <v>0.03</v>
      </c>
      <c r="I750">
        <v>0.08713237663276718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0.469677824232298</v>
      </c>
      <c r="R750" t="s">
        <v>779</v>
      </c>
      <c r="S750" t="s">
        <v>792</v>
      </c>
      <c r="T750">
        <v>5632.119505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2.38</v>
      </c>
      <c r="D751">
        <v>3.46</v>
      </c>
      <c r="E751">
        <v>0.6878612716763005</v>
      </c>
      <c r="F751">
        <v>0</v>
      </c>
      <c r="G751">
        <v>0.07770482773673204</v>
      </c>
      <c r="H751">
        <v>-0.015</v>
      </c>
      <c r="I751">
        <v>0.06153925532068105</v>
      </c>
      <c r="J751" t="s">
        <v>778</v>
      </c>
      <c r="K751" t="s">
        <v>778</v>
      </c>
      <c r="L751">
        <v>1.15</v>
      </c>
      <c r="M751">
        <v>0</v>
      </c>
      <c r="N751">
        <v>0</v>
      </c>
      <c r="O751">
        <v>0</v>
      </c>
      <c r="P751">
        <v>0</v>
      </c>
      <c r="Q751">
        <v>-0.088803088803088</v>
      </c>
      <c r="R751" t="s">
        <v>780</v>
      </c>
      <c r="S751" t="s">
        <v>792</v>
      </c>
      <c r="T751">
        <v>305.841696</v>
      </c>
      <c r="U751" s="2">
        <v>44515</v>
      </c>
      <c r="V751" t="s">
        <v>801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12.84</v>
      </c>
      <c r="D752">
        <v>11</v>
      </c>
      <c r="E752">
        <v>1.167272727272727</v>
      </c>
      <c r="F752">
        <v>0</v>
      </c>
      <c r="G752">
        <v>-0.03046044436215012</v>
      </c>
      <c r="H752">
        <v>0.05</v>
      </c>
      <c r="I752">
        <v>0.04287697720131023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0.2320230105465</v>
      </c>
      <c r="R752" t="s">
        <v>781</v>
      </c>
      <c r="S752" t="s">
        <v>793</v>
      </c>
      <c r="T752">
        <v>626.671126</v>
      </c>
      <c r="U752" s="2">
        <v>44512</v>
      </c>
      <c r="V752" t="s">
        <v>801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19.19</v>
      </c>
      <c r="D753">
        <v>18</v>
      </c>
      <c r="E753">
        <v>1.066111111111111</v>
      </c>
      <c r="F753">
        <v>0</v>
      </c>
      <c r="G753">
        <v>-0.01272189418123004</v>
      </c>
      <c r="H753">
        <v>0.015</v>
      </c>
      <c r="I753">
        <v>0.03949654470208719</v>
      </c>
      <c r="J753" t="s">
        <v>778</v>
      </c>
      <c r="K753" t="s">
        <v>778</v>
      </c>
      <c r="L753">
        <v>-0.6899999999999999</v>
      </c>
      <c r="M753">
        <v>0</v>
      </c>
      <c r="N753">
        <v>-0</v>
      </c>
      <c r="O753">
        <v>0</v>
      </c>
      <c r="P753">
        <v>0.06016789231717445</v>
      </c>
      <c r="Q753">
        <v>0.338397790055248</v>
      </c>
      <c r="R753" t="s">
        <v>781</v>
      </c>
      <c r="S753" t="s">
        <v>793</v>
      </c>
      <c r="T753">
        <v>4582.966489</v>
      </c>
      <c r="U753" s="2">
        <v>44513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3.2</v>
      </c>
      <c r="D754">
        <v>2.24</v>
      </c>
      <c r="E754">
        <v>1.428571428571429</v>
      </c>
      <c r="F754">
        <v>0</v>
      </c>
      <c r="G754">
        <v>-0.06885008490516231</v>
      </c>
      <c r="H754">
        <v>0.03</v>
      </c>
      <c r="I754">
        <v>-0.009765506325068674</v>
      </c>
      <c r="J754" t="s">
        <v>778</v>
      </c>
      <c r="K754" t="s">
        <v>778</v>
      </c>
      <c r="L754">
        <v>0.27</v>
      </c>
      <c r="M754">
        <v>0</v>
      </c>
      <c r="N754">
        <v>0</v>
      </c>
      <c r="O754">
        <v>0</v>
      </c>
      <c r="P754">
        <v>0.06000153927394081</v>
      </c>
      <c r="Q754">
        <v>0.119453924914675</v>
      </c>
      <c r="R754" t="s">
        <v>779</v>
      </c>
      <c r="S754" t="s">
        <v>786</v>
      </c>
      <c r="T754">
        <v>582.694913</v>
      </c>
      <c r="U754" s="2">
        <v>44515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473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709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390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673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634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631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666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395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691</v>
      </c>
      <c r="B293">
        <v>43826</v>
      </c>
    </row>
    <row r="294" spans="1:2">
      <c r="A294" s="1" t="s">
        <v>496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725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701</v>
      </c>
      <c r="B342">
        <v>43760</v>
      </c>
    </row>
    <row r="343" spans="1:2">
      <c r="A343" s="1" t="s">
        <v>637</v>
      </c>
      <c r="B343">
        <v>43854</v>
      </c>
    </row>
    <row r="344" spans="1:2">
      <c r="A344" s="1" t="s">
        <v>671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362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572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662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669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693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745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715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680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718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608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588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723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487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449</v>
      </c>
      <c r="B483">
        <v>43832</v>
      </c>
    </row>
    <row r="484" spans="1:2">
      <c r="A484" s="1" t="s">
        <v>376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705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683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706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651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670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623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450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587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756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714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734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722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694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387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388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216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733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689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698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356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506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685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375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716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695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736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402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740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674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503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510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501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197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679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686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640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627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582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364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712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585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748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262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372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347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421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593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488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382</v>
      </c>
      <c r="B1630">
        <v>43823</v>
      </c>
    </row>
    <row r="1631" spans="1:2">
      <c r="A1631" s="1" t="s">
        <v>327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546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230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726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639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507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513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551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738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492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248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396</v>
      </c>
      <c r="B1777">
        <v>43783</v>
      </c>
    </row>
    <row r="1778" spans="1:2">
      <c r="A1778" s="1" t="s">
        <v>613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728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419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731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212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559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744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543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754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577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658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766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752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547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759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652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704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209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760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329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678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544</v>
      </c>
      <c r="B2124" t="s">
        <v>778</v>
      </c>
    </row>
    <row r="2125" spans="1:2">
      <c r="A2125" s="1" t="s">
        <v>579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505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643</v>
      </c>
      <c r="B2147">
        <v>43861</v>
      </c>
    </row>
    <row r="2148" spans="1:2">
      <c r="A2148" s="1" t="s">
        <v>644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535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524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720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397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550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763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241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724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692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697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211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483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205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429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222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427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753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276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567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225</v>
      </c>
      <c r="B2440">
        <v>43861</v>
      </c>
    </row>
    <row r="2441" spans="1:2">
      <c r="A2441" s="1" t="s">
        <v>322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632</v>
      </c>
      <c r="B2444">
        <v>43823</v>
      </c>
    </row>
    <row r="2445" spans="1:2">
      <c r="A2445" s="1" t="s">
        <v>684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441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389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462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511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404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519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700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75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521</v>
      </c>
      <c r="B2584">
        <v>43846</v>
      </c>
    </row>
    <row r="2585" spans="1:2">
      <c r="A2585" s="1" t="s">
        <v>443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601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664</v>
      </c>
      <c r="B2602">
        <v>43798</v>
      </c>
    </row>
    <row r="2603" spans="1:2">
      <c r="A2603" s="1" t="s">
        <v>349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628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490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555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727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337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413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661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232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206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570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355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260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59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238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56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548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526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688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224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508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32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533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353</v>
      </c>
      <c r="B2987">
        <v>43803</v>
      </c>
    </row>
    <row r="2988" spans="1:2">
      <c r="A2988" s="1" t="s">
        <v>278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128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201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561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378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250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325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271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713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455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255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423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499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243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746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384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175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603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409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379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228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97</v>
      </c>
      <c r="B3280">
        <v>43831</v>
      </c>
    </row>
    <row r="3281" spans="1:2">
      <c r="A3281" s="1" t="s">
        <v>373</v>
      </c>
      <c r="B3281">
        <v>43800</v>
      </c>
    </row>
    <row r="3282" spans="1:2">
      <c r="A3282" s="1" t="s">
        <v>102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575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235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742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560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86</v>
      </c>
      <c r="B3364">
        <v>43818</v>
      </c>
    </row>
    <row r="3365" spans="1:2">
      <c r="A3365" s="1" t="s">
        <v>283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104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368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571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500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363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456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218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45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203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681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663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272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259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563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562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710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110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493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366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43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408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284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415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219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607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414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600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281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125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202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227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244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136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303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399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586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391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84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452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385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565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335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554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94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730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74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95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120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365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247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417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292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88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431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51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502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67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341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286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221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210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111</v>
      </c>
      <c r="B4207">
        <v>43879</v>
      </c>
    </row>
    <row r="4208" spans="1:2">
      <c r="A4208" s="1" t="s">
        <v>220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650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40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293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660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295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346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687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100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302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465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280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403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66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137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64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107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254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253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277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261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78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71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288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106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317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485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72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305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61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207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240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141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53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121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495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196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592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434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204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428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504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351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436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160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549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299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370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242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249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155</v>
      </c>
      <c r="B4990">
        <v>43791</v>
      </c>
    </row>
    <row r="4991" spans="1:2">
      <c r="A4991" s="1" t="s">
        <v>454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112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26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54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583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62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425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135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146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217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91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105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476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153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131</v>
      </c>
      <c r="B5207">
        <v>43871</v>
      </c>
    </row>
    <row r="5208" spans="1:2">
      <c r="A5208" s="1" t="s">
        <v>696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118</v>
      </c>
      <c r="B5274">
        <v>43801</v>
      </c>
    </row>
    <row r="5275" spans="1:2">
      <c r="A5275" s="1" t="s">
        <v>333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108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81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435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265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158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47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127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123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239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237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400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352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268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90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481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39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433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140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458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58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300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73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213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152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63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42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453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258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185</v>
      </c>
      <c r="B5882">
        <v>43613</v>
      </c>
    </row>
    <row r="5883" spans="1:2">
      <c r="A5883" s="1" t="s">
        <v>383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591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129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648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115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405</v>
      </c>
      <c r="B5927">
        <v>43784</v>
      </c>
    </row>
    <row r="5928" spans="1:2">
      <c r="A5928" s="1" t="s">
        <v>312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721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85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609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614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350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517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83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279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50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69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569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381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580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416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420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270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719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462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214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540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344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539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2021-11-18T07:13:19Z</dcterms:created>
  <dcterms:modified xsi:type="dcterms:W3CDTF">2021-11-18T07:13:19Z</dcterms:modified>
</cp:coreProperties>
</file>